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5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4.xml"/>
  <Override ContentType="application/vnd.openxmlformats-officedocument.spreadsheetml.pivotCacheDefinition+xml" PartName="/xl/pivotCache/pivotCacheDefinition2.xml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PS suivant la section" sheetId="1" r:id="rId4"/>
    <sheet state="visible" name="IPS suivant secteur" sheetId="2" r:id="rId5"/>
    <sheet state="visible" name="Corrélation IPS-BAC" sheetId="3" r:id="rId6"/>
    <sheet state="visible" name="IPS par académie" sheetId="4" r:id="rId7"/>
    <sheet state="visible" name="100 les plus favorisés" sheetId="5" r:id="rId8"/>
    <sheet state="visible" name="100 les plus défavorisés" sheetId="6" r:id="rId9"/>
    <sheet state="visible" name="données" sheetId="7" r:id="rId10"/>
    <sheet state="visible" name="Doc travail Répartition" sheetId="8" r:id="rId11"/>
    <sheet state="visible" name="Doc travail comparaison à la mo" sheetId="9" r:id="rId12"/>
    <sheet state="visible" name="Donc travail taux reussite bac" sheetId="10" r:id="rId13"/>
  </sheets>
  <definedNames>
    <definedName hidden="1" localSheetId="7" name="_xlnm._FilterDatabase">'Doc travail Répartition'!$A$1:$E$3608</definedName>
    <definedName hidden="1" localSheetId="7" name="Z_E1DD9E4C_D646_41F4_9057_4F4DB3543482_.wvu.FilterData">'Doc travail Répartition'!$A$1:$B$3610</definedName>
  </definedNames>
  <calcPr/>
  <customWorkbookViews>
    <customWorkbookView activeSheetId="0" maximized="1" windowHeight="0" windowWidth="0" guid="{E1DD9E4C-D646-41F4-9057-4F4DB3543482}" name="Filtre 1"/>
  </customWorkbookViews>
  <pivotCaches>
    <pivotCache cacheId="0" r:id="rId14"/>
    <pivotCache cacheId="1" r:id="rId15"/>
    <pivotCache cacheId="2" r:id="rId16"/>
    <pivotCache cacheId="3" r:id="rId17"/>
    <pivotCache cacheId="4" r:id="rId18"/>
  </pivotCaches>
</workbook>
</file>

<file path=xl/sharedStrings.xml><?xml version="1.0" encoding="utf-8"?>
<sst xmlns="http://schemas.openxmlformats.org/spreadsheetml/2006/main" count="56659" uniqueCount="8374">
  <si>
    <t>IPS suivant la section</t>
  </si>
  <si>
    <t>Statistiques par section</t>
  </si>
  <si>
    <t>Sections Générales et Technologiques</t>
  </si>
  <si>
    <t>Pourcentage des établissements dont l'IPS est supérieur à la moyenne de l'ensemble des établissements</t>
  </si>
  <si>
    <t>Type de lycée</t>
  </si>
  <si>
    <t>IPS moyen</t>
  </si>
  <si>
    <t>IPS médian</t>
  </si>
  <si>
    <t>IPS minimal</t>
  </si>
  <si>
    <t>IPS maximal</t>
  </si>
  <si>
    <t>IPS moyen GT</t>
  </si>
  <si>
    <t>secteur</t>
  </si>
  <si>
    <t>Type</t>
  </si>
  <si>
    <t>LGT</t>
  </si>
  <si>
    <t>LP</t>
  </si>
  <si>
    <t>LPO</t>
  </si>
  <si>
    <t>LEGT</t>
  </si>
  <si>
    <t>type_de_lycee</t>
  </si>
  <si>
    <t>privé sous contrat</t>
  </si>
  <si>
    <t>public</t>
  </si>
  <si>
    <t>Total général</t>
  </si>
  <si>
    <t>Pourcentage</t>
  </si>
  <si>
    <t>Nombre d'établissements parmi les 100 plus favorisés (LGT)</t>
  </si>
  <si>
    <t>Effectif</t>
  </si>
  <si>
    <t>Sections Professionnelles</t>
  </si>
  <si>
    <t>IPS moyen Pro</t>
  </si>
  <si>
    <t>type</t>
  </si>
  <si>
    <t>Lycées Polyvalents</t>
  </si>
  <si>
    <t>IPS moyen voie GT</t>
  </si>
  <si>
    <t>IPS moyen voie Pro</t>
  </si>
  <si>
    <t>IPS moyen ensemble</t>
  </si>
  <si>
    <t>Secteur</t>
  </si>
  <si>
    <t>Public</t>
  </si>
  <si>
    <t>Privé</t>
  </si>
  <si>
    <t>Lycée pro</t>
  </si>
  <si>
    <t>Ensemble</t>
  </si>
  <si>
    <t>IPS suivant le secteur</t>
  </si>
  <si>
    <t>Statistiques par secteur</t>
  </si>
  <si>
    <t>Nombre d'établissements parmi les 100 plus défavorisés</t>
  </si>
  <si>
    <t>Corrélation IPS-réussite au bac</t>
  </si>
  <si>
    <t>Pourcentage des lycées avec un taux de réussite au bac supérieur ou égal à 90 %</t>
  </si>
  <si>
    <t>IPS &lt; 100</t>
  </si>
  <si>
    <t>IPS &gt;= 100</t>
  </si>
  <si>
    <t>Taux de réussite moyen</t>
  </si>
  <si>
    <t>Coefficient de corrélation linéaire :</t>
  </si>
  <si>
    <t>(corrélation moyenne)</t>
  </si>
  <si>
    <t>Académie</t>
  </si>
  <si>
    <t>LILLE</t>
  </si>
  <si>
    <t>Etablissement</t>
  </si>
  <si>
    <t>Commune</t>
  </si>
  <si>
    <t>ips voie GT</t>
  </si>
  <si>
    <t>ips voie pro</t>
  </si>
  <si>
    <t>ips global</t>
  </si>
  <si>
    <t>Type d'établissement</t>
  </si>
  <si>
    <t>Privé sous contrat</t>
  </si>
  <si>
    <t>Rang</t>
  </si>
  <si>
    <t xml:space="preserve">Nom du lycée </t>
  </si>
  <si>
    <t>Ville</t>
  </si>
  <si>
    <t>ips</t>
  </si>
  <si>
    <t>rentree_scolaire</t>
  </si>
  <si>
    <t>academie</t>
  </si>
  <si>
    <t>code_du_departement</t>
  </si>
  <si>
    <t>departement</t>
  </si>
  <si>
    <t>uai</t>
  </si>
  <si>
    <t>nom_de_l_etablissment</t>
  </si>
  <si>
    <t>code_insee_de_la_commune</t>
  </si>
  <si>
    <t>nom_de_la_commune</t>
  </si>
  <si>
    <t>ips_voie_gt</t>
  </si>
  <si>
    <t>ips_voie_pro</t>
  </si>
  <si>
    <t>ips_ensemble_gt_pro</t>
  </si>
  <si>
    <t>Académies</t>
  </si>
  <si>
    <t>2021-2022</t>
  </si>
  <si>
    <t>LYON</t>
  </si>
  <si>
    <t>AIN</t>
  </si>
  <si>
    <t>0010032E</t>
  </si>
  <si>
    <t>LYCEE POLYVALENT XAVIER BICHAT</t>
  </si>
  <si>
    <t>NANTUA</t>
  </si>
  <si>
    <t>0010072Y</t>
  </si>
  <si>
    <t>LYCEE POLYVALENT INTERNATIONAL</t>
  </si>
  <si>
    <t>FERNEY VOLTAIRE</t>
  </si>
  <si>
    <t>0010075B</t>
  </si>
  <si>
    <t>LYCEE GENERAL ET TECHNOLOGIQUE PRIVE SAINT JOSEPH</t>
  </si>
  <si>
    <t>MIRIBEL</t>
  </si>
  <si>
    <t>0011118K</t>
  </si>
  <si>
    <t>LYCEE PROFESSIONNEL GABRIEL VOISIN LYCEE DES METIERS DE L AUTOMOBILE DU TRANSPORT ET DE LA LOGISTIQUE DE LA PROPRETE</t>
  </si>
  <si>
    <t>BOURG EN BRESSE</t>
  </si>
  <si>
    <t>0011194T</t>
  </si>
  <si>
    <t>LYCEE GENERAL ET TECHNOLOGIQUE DE LA PLAINE DE L AIN</t>
  </si>
  <si>
    <t>AMBERIEU EN BUGEY</t>
  </si>
  <si>
    <t>AMIENS</t>
  </si>
  <si>
    <t>AISNE</t>
  </si>
  <si>
    <t>0020022N</t>
  </si>
  <si>
    <t>LYCEE PROFESSIONNEL JEAN MONNET</t>
  </si>
  <si>
    <t>LA FERE</t>
  </si>
  <si>
    <t>0020049T</t>
  </si>
  <si>
    <t>LYCEE GENERAL ET TECHNOLOGIQUE PIERRE DE LA RAMEE</t>
  </si>
  <si>
    <t>SAINT QUENTIN</t>
  </si>
  <si>
    <t>0020051V</t>
  </si>
  <si>
    <t>LYCEE PROFESSIONNEL D ART LYCEE DES METIERS</t>
  </si>
  <si>
    <t>0020052W</t>
  </si>
  <si>
    <t>LYCEE PROFESSIONNEL COLARD NOËL LYCEE DES METIERS DU BATIMENT ET DE L HOTELLERIE</t>
  </si>
  <si>
    <t>0020078Z</t>
  </si>
  <si>
    <t>LYCEE PROFESSIONNEL JULIE DAUBIE</t>
  </si>
  <si>
    <t>LAON</t>
  </si>
  <si>
    <t>0020492Z</t>
  </si>
  <si>
    <t>LYCEE PROFESSIONNEL PRIVE SAINT VINCENT DE PAUL LYCEE DES METIERS DU DESIGN DE LA SANTE ET DE L HOTELLERIE</t>
  </si>
  <si>
    <t>SOISSONS</t>
  </si>
  <si>
    <t>0021870X</t>
  </si>
  <si>
    <t>LYCEE D ENSEIGNEMENT GENERAL PRIVE SAINT CHARLES LYCEE DES METIERS DE LA SECURITE ET DE LA MAINTENANCE</t>
  </si>
  <si>
    <t>CHAUNY</t>
  </si>
  <si>
    <t>0021871Y</t>
  </si>
  <si>
    <t>FONTAINE LES VERVINS</t>
  </si>
  <si>
    <t>0021999M</t>
  </si>
  <si>
    <t>LYCEE PROFESSIONNEL PRIVE SAINT JOSEPH LYCEE DES METIERS DE L HOTELLERIE ET DE LA RESTAURATION</t>
  </si>
  <si>
    <t>CHATEAU THIERRY</t>
  </si>
  <si>
    <t>0022008X</t>
  </si>
  <si>
    <t>LYCEE PROFESSIONNEL JEAN MACE LYCEE DES METIERS DU DEVELOPPEMENT DURABLE</t>
  </si>
  <si>
    <t>CLERMONT-FERRAND</t>
  </si>
  <si>
    <t>ALLIER</t>
  </si>
  <si>
    <t>0030026M</t>
  </si>
  <si>
    <t>LYCEE POLYVALENT PAUL CONSTANS LYCEE DES METIERS SCIENTIFIQUES INDUSTRIELS ADMINISTRATIFS ET COMMERCIAUX</t>
  </si>
  <si>
    <t>MONTLUCON</t>
  </si>
  <si>
    <t>0030051P</t>
  </si>
  <si>
    <t>LYCEE GENERAL ET TECHNOLOGIQUE ALBERT LONDRES LYCEE DES METIERS DU BOIS DES ENERGIES ET DES SERVICES AUX ORGANISATIONS</t>
  </si>
  <si>
    <t>CUSSET</t>
  </si>
  <si>
    <t>0030112F</t>
  </si>
  <si>
    <t>LYCEE PROFESSIONNEL PRIVE ANNA RODIER</t>
  </si>
  <si>
    <t>MOULINS</t>
  </si>
  <si>
    <t>0031041R</t>
  </si>
  <si>
    <t>LYCEE TECHNOLOGIQUE PRIVE ANNA RODIER</t>
  </si>
  <si>
    <t>AIX-MARSEILLE</t>
  </si>
  <si>
    <t>ALPES-DE-HTE-PROVENCE</t>
  </si>
  <si>
    <t>0040010P</t>
  </si>
  <si>
    <t>LYCEE GENERAL ET TECHNOLOGIQUE FELIX ESCLANGON</t>
  </si>
  <si>
    <t>MANOSQUE</t>
  </si>
  <si>
    <t>NICE</t>
  </si>
  <si>
    <t>ALPES-MARITIMES</t>
  </si>
  <si>
    <t>0060002V</t>
  </si>
  <si>
    <t>LYCEE PROFESSIONNEL JACQUES DOLLE</t>
  </si>
  <si>
    <t>ANTIBES</t>
  </si>
  <si>
    <t>0060009C</t>
  </si>
  <si>
    <t>LYCEE GENERAL ET TECHNOLOGIQUE AUGUSTE RENOIR</t>
  </si>
  <si>
    <t>CAGNES SUR MER</t>
  </si>
  <si>
    <t>0060022S</t>
  </si>
  <si>
    <t>LYCEE PROFESSIONNEL LEON CHIRIS</t>
  </si>
  <si>
    <t>GRASSE</t>
  </si>
  <si>
    <t>0060026W</t>
  </si>
  <si>
    <t>LYCEE GENERAL ET TECHNOLOGIQUE PIERRE ET MARIE CURIE</t>
  </si>
  <si>
    <t>MENTON</t>
  </si>
  <si>
    <t>0060668U</t>
  </si>
  <si>
    <t>LYCEE GENERAL PRIVE MONT SAINT JEAN</t>
  </si>
  <si>
    <t>0060677D</t>
  </si>
  <si>
    <t>LYCEE GENERAL ET TECHNOLOGIQUE PRIVE SASSERNO</t>
  </si>
  <si>
    <t>0060776L</t>
  </si>
  <si>
    <t>LYCEE PROFESSIONNEL PRIVE SAINT VINCENT DE PAUL LYCEE DES METIERS DU TERTIAIRE</t>
  </si>
  <si>
    <t>0061462G</t>
  </si>
  <si>
    <t>LYCEE PROFESSIONNEL PRIVE DON BOSCO LYCEE DES METIERS DE LA MAINTENANCE INDUSTRIELLE ET INDUSTRIE GRAPHIQUE</t>
  </si>
  <si>
    <t>0061561P</t>
  </si>
  <si>
    <t>LYCEE PROFESSIONNEL ALFRED HUTINEL LYCEE DES METIERS DES ENERGIES ELECTRIQUES</t>
  </si>
  <si>
    <t>CANNES</t>
  </si>
  <si>
    <t>0061635V</t>
  </si>
  <si>
    <t>LYCEE PROFESSIONNEL AUGUSTE ESCOFFIER</t>
  </si>
  <si>
    <t>GRENOBLE</t>
  </si>
  <si>
    <t>ARDECHE</t>
  </si>
  <si>
    <t>0071351F</t>
  </si>
  <si>
    <t>LYCEE POLYVALENT XAVIER MALLET</t>
  </si>
  <si>
    <t>LE TEIL</t>
  </si>
  <si>
    <t>0071397F</t>
  </si>
  <si>
    <t>LYCEE POLYVALENT</t>
  </si>
  <si>
    <t>LE CHEYLARD</t>
  </si>
  <si>
    <t>REIMS</t>
  </si>
  <si>
    <t>ARDENNES</t>
  </si>
  <si>
    <t>0080010T</t>
  </si>
  <si>
    <t>LYCEE PROFESSIONNEL SIMONE VEIL LYCEE DES METIERS DES SERVICES A LA PERSONNE AUX ORGANISATIONS ADMINISTRATIVES ET COMMERCIALES</t>
  </si>
  <si>
    <t>CHARLEVILLE MEZIERES</t>
  </si>
  <si>
    <t>0080039Z</t>
  </si>
  <si>
    <t>LYCEE POLYVALENT PAUL VERLAINE</t>
  </si>
  <si>
    <t>RETHEL</t>
  </si>
  <si>
    <t>0080047H</t>
  </si>
  <si>
    <t>LYCEE PROFESSIONNEL JEAN BAPTISTE CLEMENT LYCEE DES METIERS DE L AUTOMOBILE ET DE L INDUSTRIE</t>
  </si>
  <si>
    <t>SEDAN</t>
  </si>
  <si>
    <t>0080082W</t>
  </si>
  <si>
    <t>LYCEE POLYVALENT PRIVE SAINT PAUL</t>
  </si>
  <si>
    <t>TOULOUSE</t>
  </si>
  <si>
    <t>ARIEGE</t>
  </si>
  <si>
    <t>0090015T</t>
  </si>
  <si>
    <t>LYCEE POLYVALENT PYRENE</t>
  </si>
  <si>
    <t>PAMIERS</t>
  </si>
  <si>
    <t>AUBE</t>
  </si>
  <si>
    <t>0100003Z</t>
  </si>
  <si>
    <t>LYCEE POLYVALENT GASTON BACHELARD</t>
  </si>
  <si>
    <t>BAR SUR AUBE</t>
  </si>
  <si>
    <t>0100059K</t>
  </si>
  <si>
    <t>LYCEE TECHNOLOGIQUE PRIVE LA SALLE</t>
  </si>
  <si>
    <t>TROYES</t>
  </si>
  <si>
    <t>0100063P</t>
  </si>
  <si>
    <t>LYCEE PROFESSIONNEL PRIVE LEONIE AVIAT</t>
  </si>
  <si>
    <t>0100078F</t>
  </si>
  <si>
    <t>LYCEE PROFESSIONNEL PRIVE JEANNE MANCE</t>
  </si>
  <si>
    <t>0101028N</t>
  </si>
  <si>
    <t>LYCEE GENERAL CAMILLE CLAUDEL</t>
  </si>
  <si>
    <t>AVEYRON</t>
  </si>
  <si>
    <t>0120012Y</t>
  </si>
  <si>
    <t>LYCEE GENERAL ET TECHNOLOGIQUE JEAN VIGO</t>
  </si>
  <si>
    <t>MILLAU</t>
  </si>
  <si>
    <t>0120022J</t>
  </si>
  <si>
    <t>LYCEE GENERAL FERDINAND FOCH</t>
  </si>
  <si>
    <t>RODEZ</t>
  </si>
  <si>
    <t>0120038B</t>
  </si>
  <si>
    <t>LYCEE PROFESSIONNEL FERDINAND FOCH</t>
  </si>
  <si>
    <t>0120051R</t>
  </si>
  <si>
    <t>LYCEE GENERAL ET TECHNOLOGIQUE PRIVE JEANNE D ARC</t>
  </si>
  <si>
    <t>0120059Z</t>
  </si>
  <si>
    <t>LYCEE GENERAL ET TECHNOLOGIQUE PRIVE SAINT GABRIEL</t>
  </si>
  <si>
    <t>SAINT AFFRIQUE</t>
  </si>
  <si>
    <t>0121157T</t>
  </si>
  <si>
    <t>LYCEE PROFESSIONNEL RAYMOND SAVIGNAC</t>
  </si>
  <si>
    <t>VILLEFRANCHE DE ROUERGUE</t>
  </si>
  <si>
    <t>0121260E</t>
  </si>
  <si>
    <t>LYCEE PROFESSIONNEL PRIVE SAINT JOSEPH</t>
  </si>
  <si>
    <t>BOUCHES-DU-RHONE</t>
  </si>
  <si>
    <t>0130042A</t>
  </si>
  <si>
    <t>LYCEE GENERAL ET TECHNOLOGIQUE MONTGRAND</t>
  </si>
  <si>
    <t>MARSEILLE 6E ARRONDISSEMENT</t>
  </si>
  <si>
    <t>0130050J</t>
  </si>
  <si>
    <t>LYCEE POLYVALENT DENIS DIDEROT LYCEE DES METIERS D ART DU DESIGN ET DE L ECO HABITAT</t>
  </si>
  <si>
    <t>MARSEILLE 13E ARRONDISSEMENT</t>
  </si>
  <si>
    <t>0130051K</t>
  </si>
  <si>
    <t>LYCEE TECHNOLOGIQUE MARIE CURIE</t>
  </si>
  <si>
    <t>MARSEILLE 5E ARRONDISSEMENT</t>
  </si>
  <si>
    <t>0130053M</t>
  </si>
  <si>
    <t>LYCEE POLYVALENT JEAN PERRIN</t>
  </si>
  <si>
    <t>MARSEILLE 10E ARRONDISSEMENT</t>
  </si>
  <si>
    <t>0130064Z</t>
  </si>
  <si>
    <t>LYCEE PROFESSIONNEL JEAN BAPTISTE BROCHIER LYCEE DES METIERS DE L HABILLEMENT DES SOINS ET SERVICES A LA PERSONNE ET DU TERTIAIRE</t>
  </si>
  <si>
    <t>0130143K</t>
  </si>
  <si>
    <t>LYCEE POLYVALENT PAUL LANGEVIN</t>
  </si>
  <si>
    <t>MARTIGUES</t>
  </si>
  <si>
    <t>0130146N</t>
  </si>
  <si>
    <t>LYCEE PROFESSIONNEL LES ALPILLES LYCEE DES METIERS LES ALPILLES</t>
  </si>
  <si>
    <t>MIRAMAS</t>
  </si>
  <si>
    <t>0131319N</t>
  </si>
  <si>
    <t>LYCEE GENERAL PRIVE LA NATIVITE</t>
  </si>
  <si>
    <t>AIX EN PROVENCE</t>
  </si>
  <si>
    <t>0131320P</t>
  </si>
  <si>
    <t>LYCEE GENERAL PRIVE SAINTE CATHERINE DE SIENNE</t>
  </si>
  <si>
    <t>0131347U</t>
  </si>
  <si>
    <t>LYCEE GENERAL PRIVE SAINTE TRINITE</t>
  </si>
  <si>
    <t>MARSEILLE 9E ARRONDISSEMENT</t>
  </si>
  <si>
    <t>0131360H</t>
  </si>
  <si>
    <t>LYCEE GENERAL PRIVE VIALA LACOSTE</t>
  </si>
  <si>
    <t>SALON DE PROVENCE</t>
  </si>
  <si>
    <t>0131437S</t>
  </si>
  <si>
    <t>LYCEE PROFESSIONNEL PRIVE PHOCEA RENE ATTOYAN COIFFURE</t>
  </si>
  <si>
    <t>0131445A</t>
  </si>
  <si>
    <t>LYCEE DES METIERS PRIVE CHARLOTTE GRAWITZ LYCEE DES METIERS DES SERVICES AUX ENTREPRISES ET A LA PERSONNE</t>
  </si>
  <si>
    <t>0131456M</t>
  </si>
  <si>
    <t>LYCEE TECHNOLOGIQUE PRIVE PASTRE GRANDE BASTIDE</t>
  </si>
  <si>
    <t>0131681G</t>
  </si>
  <si>
    <t>LYCEE TECHNOLOGIQUE PRIVE CHIMIE ET BIOLOGIE LA FORBINE</t>
  </si>
  <si>
    <t>MARSEILLE 11E ARRONDISSEMENT</t>
  </si>
  <si>
    <t>0131747D</t>
  </si>
  <si>
    <t>LYCEE POLYVALENT AUGUSTE ET LOUIS LUMIERE</t>
  </si>
  <si>
    <t>LA CIOTAT</t>
  </si>
  <si>
    <t>0131862D</t>
  </si>
  <si>
    <t>LYCEE GENERAL ET TECHNOLOGIQUE PRIVE LE SACRE COEUR</t>
  </si>
  <si>
    <t>0132733A</t>
  </si>
  <si>
    <t>LYCEE POLYVALENT ANTONIN ARTAUD</t>
  </si>
  <si>
    <t>0133334D</t>
  </si>
  <si>
    <t>LYCEE GENERAL ET TECHNOLOGIQUE PRIVE ORT LEON BRAMSON</t>
  </si>
  <si>
    <t>NORMANDIE</t>
  </si>
  <si>
    <t>CALVADOS</t>
  </si>
  <si>
    <t>0141161L</t>
  </si>
  <si>
    <t>LYCEE GENERAL PRIVE JEANNE D ARC</t>
  </si>
  <si>
    <t>CAEN</t>
  </si>
  <si>
    <t>0141191U</t>
  </si>
  <si>
    <t>LYCEE PROFESSIONNEL PRIVE NOTRE DAME DE FIDELITE LYCEE DES METIERS DU SECTEUR DE LA SANTE ET DU SOCIAL</t>
  </si>
  <si>
    <t>0141687H</t>
  </si>
  <si>
    <t>LYCEE POLYVALENT JULES VERNE LYCEE DES METIERS DE L AUTOMOBILE DES INGENIERIES ELECTRIQUES ET INDUSTRIELLES</t>
  </si>
  <si>
    <t>MONDEVILLE</t>
  </si>
  <si>
    <t>0141866C</t>
  </si>
  <si>
    <t>LYCEE PROFESSIONNEL PRIVE INSTITUT LEMONNIER LYCEE DES METIERS DES SYSTEMES NUMERIQUES ET DE L ENERGIE</t>
  </si>
  <si>
    <t>0142178S</t>
  </si>
  <si>
    <t>LYCEE PROFESSIONNEL JEAN MERMOZ</t>
  </si>
  <si>
    <t>VIRE NORMANDIE</t>
  </si>
  <si>
    <t>POITIERS</t>
  </si>
  <si>
    <t>CHARENTE</t>
  </si>
  <si>
    <t>0160003S</t>
  </si>
  <si>
    <t>LYCEE GENERAL ET TECHNOLOGIQUE MARGUERITE DE VALOIS</t>
  </si>
  <si>
    <t>ANGOULEME</t>
  </si>
  <si>
    <t>0161095D</t>
  </si>
  <si>
    <t>LYCEE D ENSEIGNEMENT GENERAL ET TECHNOLOGIQUE IMAGE ET SON LYCEE DES METIERS DE L IMAGE DU SON ET DE LA COMMUNICATION</t>
  </si>
  <si>
    <t>CHARENTE-MARITIME</t>
  </si>
  <si>
    <t>0170020E</t>
  </si>
  <si>
    <t>LYCEE POLYVALENT EMILE COMBES LYCEE DES METIERS DE L ECO CONSTRUCTION ET DE LA DECONSTRUCTION</t>
  </si>
  <si>
    <t>PONS</t>
  </si>
  <si>
    <t>0170028N</t>
  </si>
  <si>
    <t>LYCEE GENERAL ET TECHNOLOGIQUE JEAN DAUTET</t>
  </si>
  <si>
    <t>LA ROCHELLE</t>
  </si>
  <si>
    <t>0170030R</t>
  </si>
  <si>
    <t>LYCEE PROFESSIONNEL LEONCE VIELJEUX</t>
  </si>
  <si>
    <t>0170042D</t>
  </si>
  <si>
    <t>LYCEE D ENSEIGNEMENT GENERAL ET TECHNOLOGIQUE CORDOUAN LYCEE DES METIERS DU TOURISME</t>
  </si>
  <si>
    <t>ROYAN</t>
  </si>
  <si>
    <t>0170070J</t>
  </si>
  <si>
    <t>LYCEE POLYVALENT DU PAYS D AUNIS LYCEE DES METIERS DU BOIS</t>
  </si>
  <si>
    <t>SURGERES</t>
  </si>
  <si>
    <t>0170098P</t>
  </si>
  <si>
    <t>LYCEE GENERAL ET TECHNOLOGIQUE PRIVE SAINT LOUIS</t>
  </si>
  <si>
    <t>PONT L ABBE D ARNOULT</t>
  </si>
  <si>
    <t>0170100S</t>
  </si>
  <si>
    <t>LYCEE POLYVALENT PRIVE FENELON NOTRE DAME</t>
  </si>
  <si>
    <t>0171405K</t>
  </si>
  <si>
    <t>LYCEE POLYVALENT HOTELIER DU PARC DE LA FRANCOPHONIE</t>
  </si>
  <si>
    <t>ORLEANS-TOURS</t>
  </si>
  <si>
    <t>CHER</t>
  </si>
  <si>
    <t>0180025E</t>
  </si>
  <si>
    <t>LYCEE PROFESSIONNEL JEAN GUEHENNO LYCEE DES METIERS DE LA BIJOUTERIE DU COMMERCE ET DE LA RESTAURATION</t>
  </si>
  <si>
    <t>SAINT AMAND MONTROND</t>
  </si>
  <si>
    <t>0180036S</t>
  </si>
  <si>
    <t>LYCEE POLYVALENT HENRI BRISSON LYCEE DES METIERS DE L INDUSTRIE ET DES SCIENCES APPLIQUEES</t>
  </si>
  <si>
    <t>VIERZON</t>
  </si>
  <si>
    <t>0180572Z</t>
  </si>
  <si>
    <t>LIMOGES</t>
  </si>
  <si>
    <t>CORREZE</t>
  </si>
  <si>
    <t>0190008F</t>
  </si>
  <si>
    <t>LYCEE PROFESSIONNEL BORT ARTENSE</t>
  </si>
  <si>
    <t>BORT LES ORGUES</t>
  </si>
  <si>
    <t>0190038N</t>
  </si>
  <si>
    <t>LYCEE GENERAL ET TECHNOLOGIQUE BERNART DE VENTADOUR</t>
  </si>
  <si>
    <t>USSEL</t>
  </si>
  <si>
    <t>0190058K</t>
  </si>
  <si>
    <t>LYCEE GENERAL PRIVE BOSSUET</t>
  </si>
  <si>
    <t>BRIVE LA GAILLARDE</t>
  </si>
  <si>
    <t>DIJON</t>
  </si>
  <si>
    <t>COTE D'OR</t>
  </si>
  <si>
    <t>0210006T</t>
  </si>
  <si>
    <t>LYCEE POLYVALENT CLOS MAIRE</t>
  </si>
  <si>
    <t>BEAUNE</t>
  </si>
  <si>
    <t>0210013A</t>
  </si>
  <si>
    <t>LYCEE POLYVALENT DESIRE NISARD</t>
  </si>
  <si>
    <t>CHATILLON SUR SEINE</t>
  </si>
  <si>
    <t>0210018F</t>
  </si>
  <si>
    <t>LYCEE POLYVALENT HIPPOLYTE FONTAINE LYCEE DES METIERS</t>
  </si>
  <si>
    <t>0210032W</t>
  </si>
  <si>
    <t>LYCEE POLYVALENT DE LA CERAMIQUE HENRY MOISAND LYCEE DES METIERS</t>
  </si>
  <si>
    <t>LONGCHAMP</t>
  </si>
  <si>
    <t>0210047M</t>
  </si>
  <si>
    <t>LYCEE POLYVALENT REGIONAL ANNA JUDIC</t>
  </si>
  <si>
    <t>SEMUR EN AUXOIS</t>
  </si>
  <si>
    <t>0211089V</t>
  </si>
  <si>
    <t>LYCEE POLYVALENT SAINT JOSEPH LA SALLE</t>
  </si>
  <si>
    <t>0211909L</t>
  </si>
  <si>
    <t>LYCEE GENERAL ET TECHNOLOGIQUE JEAN MARC BOIVIN</t>
  </si>
  <si>
    <t>CHEVIGNY SAINT SAUVEUR</t>
  </si>
  <si>
    <t>RENNES</t>
  </si>
  <si>
    <t>COTES D'ARMOR</t>
  </si>
  <si>
    <t>0220083W</t>
  </si>
  <si>
    <t>LYCEE PROFESSIONNEL FELIX LE DANTEC</t>
  </si>
  <si>
    <t>LANNION</t>
  </si>
  <si>
    <t>0220110A</t>
  </si>
  <si>
    <t>LYCEE GENERAL PRIVE SAINT CHARLES</t>
  </si>
  <si>
    <t>SAINT BRIEUC</t>
  </si>
  <si>
    <t>0220111B</t>
  </si>
  <si>
    <t>LYCEE GENERAL ET TECHNOLOGIQUE PRIVE SAINT PIERRE</t>
  </si>
  <si>
    <t>0220117H</t>
  </si>
  <si>
    <t>LYCEE POLYVALENT PRIVE SACRE COEUR LYCEE DES METIERS DE L INDUSTRIE ET DES SERVICES AUX ENTREPRISES</t>
  </si>
  <si>
    <t>0221589H</t>
  </si>
  <si>
    <t>LOUDEAC</t>
  </si>
  <si>
    <t>0221867K</t>
  </si>
  <si>
    <t>LYCEE PROFESSIONNEL PRIVE MARIE BALAVENNE</t>
  </si>
  <si>
    <t>CREUSE</t>
  </si>
  <si>
    <t>0230019W</t>
  </si>
  <si>
    <t>LP PUBLIC LYCEE DES METIERS DU BATIMENT</t>
  </si>
  <si>
    <t>FELLETIN</t>
  </si>
  <si>
    <t>0230025C</t>
  </si>
  <si>
    <t>LYCEE GENERAL ET TECHNOLOGIQUE RAYMOND LOEWY</t>
  </si>
  <si>
    <t>LA SOUTERRAINE</t>
  </si>
  <si>
    <t>BORDEAUX</t>
  </si>
  <si>
    <t>DORDOGNE</t>
  </si>
  <si>
    <t>0240013J</t>
  </si>
  <si>
    <t>LYCEE GENERAL GIRAUT DE BORNEIL</t>
  </si>
  <si>
    <t>EXCIDEUIL</t>
  </si>
  <si>
    <t>0240021T</t>
  </si>
  <si>
    <t>LYCEE POLYVALENT ALCIDE DUSOLIER</t>
  </si>
  <si>
    <t>NONTRON</t>
  </si>
  <si>
    <t>0240081H</t>
  </si>
  <si>
    <t>SARLAT LA CANEDA</t>
  </si>
  <si>
    <t>0240092V</t>
  </si>
  <si>
    <t>LYCEE PROFESSIONNEL PRIVE CHAMBRE DE COMMERCE ET D INDUSTRIE</t>
  </si>
  <si>
    <t>BOULAZAC ISLE MANOIRE</t>
  </si>
  <si>
    <t>0241125T</t>
  </si>
  <si>
    <t>LYCEE POLYVALENT ANTOINE DE SAINT EXUPERY</t>
  </si>
  <si>
    <t>TERRASSON LAVILLEDIEU</t>
  </si>
  <si>
    <t>BESANCON</t>
  </si>
  <si>
    <t>DOUBS</t>
  </si>
  <si>
    <t>0250013D</t>
  </si>
  <si>
    <t>LYCEE PROFESSIONNEL PIERRE ADRIEN PARIS LYCEE DES METIERS DE LA CONSTRUCTION DURABLE</t>
  </si>
  <si>
    <t>0250043L</t>
  </si>
  <si>
    <t>LYCEE POLYVALENT XAVIER MARMIER</t>
  </si>
  <si>
    <t>PONTARLIER</t>
  </si>
  <si>
    <t>0251971G</t>
  </si>
  <si>
    <t>LP BERNARD CORDIER</t>
  </si>
  <si>
    <t>DROME</t>
  </si>
  <si>
    <t>0260006R</t>
  </si>
  <si>
    <t>LYCEE POLYVALENT FRANCOIS JEAN ARMORIN</t>
  </si>
  <si>
    <t>CREST</t>
  </si>
  <si>
    <t>0260019E</t>
  </si>
  <si>
    <t>LYCEE POLYVALENT DOCTEUR GUSTAVE JAUME</t>
  </si>
  <si>
    <t>PIERRELATTE</t>
  </si>
  <si>
    <t>0260034W</t>
  </si>
  <si>
    <t>LYCEE GENERAL EMILE LOUBET</t>
  </si>
  <si>
    <t>VALENCE</t>
  </si>
  <si>
    <t>0260071L</t>
  </si>
  <si>
    <t>LYCEE GENERAL PRIVE SAINT VICTOR</t>
  </si>
  <si>
    <t>0261397C</t>
  </si>
  <si>
    <t>LYCEE POLYVALENT HENRI LAURENS LYCEE DES METIERS DE L AUTOMOBILE</t>
  </si>
  <si>
    <t>SAINT VALLIER</t>
  </si>
  <si>
    <t>EURE</t>
  </si>
  <si>
    <t>0270016W</t>
  </si>
  <si>
    <t>LYCEE GENERAL ET TECHNOLOGIQUE ARISTIDE BRIAND</t>
  </si>
  <si>
    <t>EVREUX</t>
  </si>
  <si>
    <t>0270029K</t>
  </si>
  <si>
    <t>LYCEE POLYVALENT LES FONTENELLES LYCEE DES METIERS DE L ENERGIE ET DE L EFFICACITE ENERGETIQUE</t>
  </si>
  <si>
    <t>LOUVIERS</t>
  </si>
  <si>
    <t>0271049U</t>
  </si>
  <si>
    <t>LYCEE GENERAL ET TECHNOLOGIQUE PRIVE SAINT OUEN</t>
  </si>
  <si>
    <t>PONT AUDEMER</t>
  </si>
  <si>
    <t>0271051W</t>
  </si>
  <si>
    <t>LYCEE GENERAL PRIVE DES ROCHES</t>
  </si>
  <si>
    <t>VERNEUIL D AVRE ET D ITON</t>
  </si>
  <si>
    <t>0271097W</t>
  </si>
  <si>
    <t>LYCEE PROFESSIONNEL RISLE SEINE LYCEE DES METIERS DES SERVICES AUX ENTREPRISES</t>
  </si>
  <si>
    <t>0271634E</t>
  </si>
  <si>
    <t>LYCEE POLYVALENT JEAN BAPTISTE DECRETOT LYCEE DES METIERS DE L HOTELLERIE DE LA RESTAURATION ET DES SERVICES</t>
  </si>
  <si>
    <t>EURE-ET-LOIR</t>
  </si>
  <si>
    <t>0280007F</t>
  </si>
  <si>
    <t>LYCEE GENERAL MARCEAU</t>
  </si>
  <si>
    <t>CHARTRES</t>
  </si>
  <si>
    <t>0280022X</t>
  </si>
  <si>
    <t>LYCEE PROFESSIONNEL MAURICE VIOLLETTE LYCEE DES METIERS DE L INDUSTRIE DU TERTIAIRE ET DES SERVICES</t>
  </si>
  <si>
    <t>DREUX</t>
  </si>
  <si>
    <t>0280036M</t>
  </si>
  <si>
    <t>LYCEE POLYVALENT REMI BELLEAU LYCEE DES METIERS DU COMMERCE ET DE LA GESTION DES ENTREPRISES</t>
  </si>
  <si>
    <t>NOGENT LE ROTROU</t>
  </si>
  <si>
    <t>0280667Y</t>
  </si>
  <si>
    <t>LYCEE GENERAL ET TECHNOLOGIQUE PRIVE SAINT PIERRE SAINT PAUL</t>
  </si>
  <si>
    <t>FINISTERE</t>
  </si>
  <si>
    <t>0290008B</t>
  </si>
  <si>
    <t>LYCEE GENERAL ET TECHNOLOGIQUE AMIRAL RONARC H</t>
  </si>
  <si>
    <t>BREST</t>
  </si>
  <si>
    <t>0290009C</t>
  </si>
  <si>
    <t>LYCEE GENERAL DE L IROISE</t>
  </si>
  <si>
    <t>0290022S</t>
  </si>
  <si>
    <t>LYCEE POLYVALENT PAUL SERUSIER</t>
  </si>
  <si>
    <t>CARHAIX PLOUGUER</t>
  </si>
  <si>
    <t>0290023T</t>
  </si>
  <si>
    <t>LYCEE GENERAL ET TECHNOLOGIQUE JEAN MOULIN</t>
  </si>
  <si>
    <t>CHATEAULIN</t>
  </si>
  <si>
    <t>0290044R</t>
  </si>
  <si>
    <t>LYCEE POLYVALENT DE L ELORN LYCEE DES METIERS DU BOIS</t>
  </si>
  <si>
    <t>LANDERNEAU</t>
  </si>
  <si>
    <t>0290062K</t>
  </si>
  <si>
    <t>LYCEE GENERAL ET TECHNOLOGIQUE RENE LAENNEC</t>
  </si>
  <si>
    <t>PONT L ABBE</t>
  </si>
  <si>
    <t>0290070U</t>
  </si>
  <si>
    <t>LYCEE TECHNOLOGIQUE JEAN CHAPTAL</t>
  </si>
  <si>
    <t>QUIMPER</t>
  </si>
  <si>
    <t>0290102D</t>
  </si>
  <si>
    <t>LYCEE PROFESSIONNEL JULES LESVEN</t>
  </si>
  <si>
    <t>0290164W</t>
  </si>
  <si>
    <t>LYCEE GENERAL ET TECHNOLOGIQUE PRIVE NOTRE DAME DU MUR</t>
  </si>
  <si>
    <t>MORLAIX</t>
  </si>
  <si>
    <t>0290171D</t>
  </si>
  <si>
    <t>LYCEE GENERAL ET TECHNOLOGIQUE PRIVE SAINTE THERESE</t>
  </si>
  <si>
    <t>0290184T</t>
  </si>
  <si>
    <t>LYCEE POLYVALENT PRIVE SAINT JOSEPH LYCEE DES METIERS DE L INDUSTRIE LYCEE DES METIERS DU BATIMENT LYCEE DES METIERS DU COMMERCE</t>
  </si>
  <si>
    <t>0290186V</t>
  </si>
  <si>
    <t>LYCEE POLYVALENT PRIVE LE PARACLET LYCEE DES METIERS DE L HOTELLERIE DE LA RESTAURATION ET LA BOULANGERIE PATISSERIE</t>
  </si>
  <si>
    <t>0290194D</t>
  </si>
  <si>
    <t>LYCEE GENERAL PRIVE SAINT BLAISE</t>
  </si>
  <si>
    <t>DOUARNENEZ</t>
  </si>
  <si>
    <t>0292137R</t>
  </si>
  <si>
    <t>LYCEE GENERAL PRIVE DIWAN</t>
  </si>
  <si>
    <t>MONTPELLIER</t>
  </si>
  <si>
    <t>GARD</t>
  </si>
  <si>
    <t>0300011Z</t>
  </si>
  <si>
    <t>LYCEE PROFESSIONNEL PAUL LANGEVIN</t>
  </si>
  <si>
    <t>BEAUCAIRE</t>
  </si>
  <si>
    <t>0300023M</t>
  </si>
  <si>
    <t>LYCEE GENERAL ET TECHNOLOGIQUE ALBERT CAMUS</t>
  </si>
  <si>
    <t>NIMES</t>
  </si>
  <si>
    <t>0300041G</t>
  </si>
  <si>
    <t>LYCEE PROFESSIONNEL MARIE CURIE LYCEE DES METIERS DE L HOTELLERIE ET DE LA RESTAURATION</t>
  </si>
  <si>
    <t>SAINT JEAN DU GARD</t>
  </si>
  <si>
    <t>0300047N</t>
  </si>
  <si>
    <t>LYCEE POLYVALENT DES METIERS D ARTS CHARLES GIDE</t>
  </si>
  <si>
    <t>UZES</t>
  </si>
  <si>
    <t>0300057Z</t>
  </si>
  <si>
    <t>LYCEE PROFESSIONNEL GASTON DARBOUX</t>
  </si>
  <si>
    <t>0300080Z</t>
  </si>
  <si>
    <t>LYCEE POLYVALENT PRIVE EMMANUEL D ALZON</t>
  </si>
  <si>
    <t>0300083C</t>
  </si>
  <si>
    <t>LYCEE GENERAL ET TECHNOLOGIQUE PRIVE SAINT STANISLAS</t>
  </si>
  <si>
    <t>0300127A</t>
  </si>
  <si>
    <t>LYCEE POLYVALENT PRIVE SAINT VINCENT DE PAUL LYCEE DES METIERS DES SERVICES</t>
  </si>
  <si>
    <t>0300950V</t>
  </si>
  <si>
    <t>LYCEE POLYVALENT ALBERT EINSTEIN</t>
  </si>
  <si>
    <t>BAGNOLS SUR CEZE</t>
  </si>
  <si>
    <t>HAUTE-GARONNE</t>
  </si>
  <si>
    <t>0310036W</t>
  </si>
  <si>
    <t>LYCEE GENERAL PIERRE DE FERMAT</t>
  </si>
  <si>
    <t>0310038Y</t>
  </si>
  <si>
    <t>LYCEE POLYVALENT BELLEVUE</t>
  </si>
  <si>
    <t>0310051M</t>
  </si>
  <si>
    <t>LYCEE PROFESSIONNEL GUYNEMER</t>
  </si>
  <si>
    <t>0310053P</t>
  </si>
  <si>
    <t>LYCEE PROFESSIONNEL URBAIN VITRY LYCEE DES METIERS DU BATIMENT</t>
  </si>
  <si>
    <t>0310056T</t>
  </si>
  <si>
    <t>LYCEE PROFESSIONNEL GABRIEL PERI LYCEE DES METIERS DE LA VENTE ET DE LA MODE</t>
  </si>
  <si>
    <t>0311092U</t>
  </si>
  <si>
    <t>LYCEE PROFESSIONNEL EUGENE MONTEL LYCEE DES METIERS DES ENERGIES RENOUVELABLES DE L ELECTROTECHNIQUE MAINTENANCE ET CHAUDRONNERIE INDUSTRIELLE</t>
  </si>
  <si>
    <t>COLOMIERS</t>
  </si>
  <si>
    <t>0311219G</t>
  </si>
  <si>
    <t>LYCEE PROFESSIONNEL PRIVE SAINTE MARIE SAINT SERNIN LYCEE DES METIERS COMMERCIAUX ET ADMINISTRATIFS</t>
  </si>
  <si>
    <t>0311323V</t>
  </si>
  <si>
    <t>LYCEE GENERAL ET TECHNOLOGIQUE RIVE GAUCHE</t>
  </si>
  <si>
    <t>0311586F</t>
  </si>
  <si>
    <t>LYCEE GENERAL ET TECHNOLOGIQUE TOULOUSE LAUTREC</t>
  </si>
  <si>
    <t>0311883D</t>
  </si>
  <si>
    <t>LYCEE PROFESSIONNEL PRIVE JASMIN COIFFURE</t>
  </si>
  <si>
    <t>0311971Z</t>
  </si>
  <si>
    <t>LYCEE PROFESSIONNEL PRIVE LES POTIERS</t>
  </si>
  <si>
    <t>0312062Y</t>
  </si>
  <si>
    <t>LYCEE PROFESSIONNEL PRIVE ISSEC PIGIER LYCEE DES METIERS</t>
  </si>
  <si>
    <t>0312064A</t>
  </si>
  <si>
    <t>LYCEE PROFESSIONNEL PRIVE MYRIAM</t>
  </si>
  <si>
    <t>0312746S</t>
  </si>
  <si>
    <t>LYCEE POLYVALENT MARIE LOUISE DISSARD FRANCOISE</t>
  </si>
  <si>
    <t>TOURNEFEUILLE</t>
  </si>
  <si>
    <t>GERS</t>
  </si>
  <si>
    <t>0320009L</t>
  </si>
  <si>
    <t>LYCEE GENERAL ET TECHNOLOGIQUE BOSSUET</t>
  </si>
  <si>
    <t>CONDOM</t>
  </si>
  <si>
    <t>0320023B</t>
  </si>
  <si>
    <t>LYCEE POLYVALENT ALAIN FOURNIER</t>
  </si>
  <si>
    <t>MIRANDE</t>
  </si>
  <si>
    <t>0320030J</t>
  </si>
  <si>
    <t>LYCEE PROFESSIONNEL CLEMENT ADER LYCEE DES METIERS DE L ELECTROTECHNIQUE DE LA MAINTENANCE ET DE L USINAGE</t>
  </si>
  <si>
    <t>SAMATAN</t>
  </si>
  <si>
    <t>0320040V</t>
  </si>
  <si>
    <t>LYCEE PROFESSIONNEL PARDAILHAN</t>
  </si>
  <si>
    <t>AUCH</t>
  </si>
  <si>
    <t>0320051G</t>
  </si>
  <si>
    <t>LYCEE GENERAL ET TECHNOLOGIQUE PRIVE ORATOIRE SAINTE MARIE</t>
  </si>
  <si>
    <t>0320054K</t>
  </si>
  <si>
    <t>LYCEE GENERAL PRIVE SAINT JOSEPH</t>
  </si>
  <si>
    <t>LECTOURE</t>
  </si>
  <si>
    <t>0320737C</t>
  </si>
  <si>
    <t>LYCEE PRIVEE SAINT CHRISTOPHE</t>
  </si>
  <si>
    <t>MASSEUBE</t>
  </si>
  <si>
    <t>GIRONDE</t>
  </si>
  <si>
    <t>0330003Z</t>
  </si>
  <si>
    <t>LYCEE GENERAL ET TECHNOLOGIQUE GRAND AIR</t>
  </si>
  <si>
    <t>ARCACHON</t>
  </si>
  <si>
    <t>0330011H</t>
  </si>
  <si>
    <t>LYCEE PROFESSIONNEL ANATOLE DE MONZIE</t>
  </si>
  <si>
    <t>BAZAS</t>
  </si>
  <si>
    <t>0330022V</t>
  </si>
  <si>
    <t>LYCEE GENERAL MONTESQUIEU</t>
  </si>
  <si>
    <t>0330023W</t>
  </si>
  <si>
    <t>LYCEE GENERAL ET TECHNOLOGIQUE CAMILLE JULLIAN</t>
  </si>
  <si>
    <t>0330027A</t>
  </si>
  <si>
    <t>LYCEE GENERAL ET TECHNOLOGIQUE FRANCOIS MAURIAC</t>
  </si>
  <si>
    <t>0330031E</t>
  </si>
  <si>
    <t>LYCEE PROFESSIONNEL TOULOUSE LAUTREC LYCEE DES METIERS D ART</t>
  </si>
  <si>
    <t>0330060L</t>
  </si>
  <si>
    <t>LYCEE PROFESSIONNEL FLORA TRISTAN LYCEE DES METIERS DES SERVICES ET DE L AERONAUTIQUE</t>
  </si>
  <si>
    <t>CAMBLANES ET MEYNAC</t>
  </si>
  <si>
    <t>0330076D</t>
  </si>
  <si>
    <t>LYCEE PROFESSIONNEL CHARLES PEGUY LYCEE DES METIERS DE L INDUSTRIE ET DE L ARTISANAT</t>
  </si>
  <si>
    <t>EYSINES</t>
  </si>
  <si>
    <t>0330109P</t>
  </si>
  <si>
    <t>LYCEE POLYVALENT JEAN RENOU</t>
  </si>
  <si>
    <t>LA REOLE</t>
  </si>
  <si>
    <t>0330126H</t>
  </si>
  <si>
    <t>LYCEE POLYVALENT VICTOR LOUIS</t>
  </si>
  <si>
    <t>TALENCE</t>
  </si>
  <si>
    <t>0331491S</t>
  </si>
  <si>
    <t>LYCEE GENERAL PRIVE ALBERT LE GRAND</t>
  </si>
  <si>
    <t>0331493U</t>
  </si>
  <si>
    <t>LYCEE GENERAL PRIVE SAINT GENES LA SALLE</t>
  </si>
  <si>
    <t>0331506H</t>
  </si>
  <si>
    <t>LYCEE GENERAL ET TECHNOLOGIQUE PRIVE MONTESQUIEU</t>
  </si>
  <si>
    <t>LIBOURNE</t>
  </si>
  <si>
    <t>0331569B</t>
  </si>
  <si>
    <t>LYCEE PROFESSIONNEL PRIVE JEANNE D ARC</t>
  </si>
  <si>
    <t>SAINT MEDARD DE GUIZIERES</t>
  </si>
  <si>
    <t>0331591A</t>
  </si>
  <si>
    <t>LYCEE TECHNOLOGIQUE PRIVE BEL ORME</t>
  </si>
  <si>
    <t>0332194F</t>
  </si>
  <si>
    <t>LYCEE PROFESSIONNEL CONDORCET LYCEE DES METIERS CONDORCET ARCACHON</t>
  </si>
  <si>
    <t>0332445D</t>
  </si>
  <si>
    <t>LYCEE PROFESSIONNEL ALPHONSE BEAU DE ROCHAS LYCEES DES DES METIERS DE L AUTOMOBILE</t>
  </si>
  <si>
    <t>0332722E</t>
  </si>
  <si>
    <t>LYCEE GENERAL ET TECHNOLOGIQUE PAPE CLEMENT</t>
  </si>
  <si>
    <t>PESSAC</t>
  </si>
  <si>
    <t>0333307R</t>
  </si>
  <si>
    <t>LYCEE GENERAL PRIVE SAINT JEAN</t>
  </si>
  <si>
    <t>PAUILLAC</t>
  </si>
  <si>
    <t>HERAULT</t>
  </si>
  <si>
    <t>0340023R</t>
  </si>
  <si>
    <t>LYCEE GENERAL ET TECHNOLOGIQUE RENE GOSSE</t>
  </si>
  <si>
    <t>CLERMONT L HERAULT</t>
  </si>
  <si>
    <t>0340076Y</t>
  </si>
  <si>
    <t>LYCEE GENERAL ET TECHNOLOGIQUE IRENE ET FREDERIC JOLIOT CURIE</t>
  </si>
  <si>
    <t>SETE</t>
  </si>
  <si>
    <t>0340881Y</t>
  </si>
  <si>
    <t>LYCEE GENERAL ET TECHNOLOGIQUE PRIVE NOTRE DAME DE LA MERCI</t>
  </si>
  <si>
    <t>0341385W</t>
  </si>
  <si>
    <t>LYCEE PROFESSIONNEL LEONARD DE VINCI LYCEE DES METIERS DE LA CONSTRUCTION ECOLOGIQUE DURABLE ET INNOVANTE</t>
  </si>
  <si>
    <t>0342266D</t>
  </si>
  <si>
    <t>LYCEE GENERAL CITE SCOLAIRE FRANCOISE COMBES</t>
  </si>
  <si>
    <t>ILLE-ET-VILAINE</t>
  </si>
  <si>
    <t>0350059Z</t>
  </si>
  <si>
    <t>LYCEE PROFESSIONNEL BREQUIGNY</t>
  </si>
  <si>
    <t>0352533N</t>
  </si>
  <si>
    <t>LYCEE GENERAL ET TECHNOLOGIQUE FRANCOIS RENE DE CHATEAUBRIAND</t>
  </si>
  <si>
    <t>COMBOURG</t>
  </si>
  <si>
    <t>INDRE</t>
  </si>
  <si>
    <t>0360002G</t>
  </si>
  <si>
    <t>LYCEE GENERAL ROLLINAT</t>
  </si>
  <si>
    <t>ARGENTON SUR CREUSE</t>
  </si>
  <si>
    <t>0360008N</t>
  </si>
  <si>
    <t>LYCEE GENERAL JEAN GIRAUDOUX</t>
  </si>
  <si>
    <t>CHATEAUROUX</t>
  </si>
  <si>
    <t>0360011S</t>
  </si>
  <si>
    <t>LYCEE PROFESSIONNEL LES CHARMILLES LYCEE DES METIERS DES SERVICES A LA PERSONNE ET DU TERTIAIRE</t>
  </si>
  <si>
    <t>INDRE-ET-LOIRE</t>
  </si>
  <si>
    <t>0370032J</t>
  </si>
  <si>
    <t>LYCEE PROFESSIONNEL FRANCOIS CLOUET LYCEE DES METIERS DE LA MODE ET DES SERVICES</t>
  </si>
  <si>
    <t>TOURS</t>
  </si>
  <si>
    <t>0370727P</t>
  </si>
  <si>
    <t>LYCEE GENERAL ET TECHNOLOGIQUE PRIVE GRAND SAINT GREGOIRE</t>
  </si>
  <si>
    <t>0370748M</t>
  </si>
  <si>
    <t>LYCEE POLYVALENT PRIVE ST GATIEN LYCEE DES METIERS DE L HABITAT ET DE LA CONSTRUCTION</t>
  </si>
  <si>
    <t>JOUE LES TOURS</t>
  </si>
  <si>
    <t>0370757X</t>
  </si>
  <si>
    <t>LYCEE PROFESSIONNEL PRIVE NOTRE DAME LA RICHE SOUS LE PATRONAGE DE SAINT VINCENT DE PAUL</t>
  </si>
  <si>
    <t>0370771M</t>
  </si>
  <si>
    <t>LYCEE PROFESSIONNEL VICTOR LALOUX LYCEE DES METIERS DE LA DISTRIBUTION ET DES SERVICES</t>
  </si>
  <si>
    <t>0370888P</t>
  </si>
  <si>
    <t>LYCEE PROFESSIONNEL D ARSONVAL LYCEE DES METIERS D ART DE L AMENAGEMENT DE L ESPACE ET DE LA COMMUNICATION</t>
  </si>
  <si>
    <t>0371099U</t>
  </si>
  <si>
    <t>LYCEE PROFESSIONNEL HENRI BECQUEREL LYCEE DES METIERS DE L ELECTRICITE</t>
  </si>
  <si>
    <t>0371100V</t>
  </si>
  <si>
    <t>LYCEE PROFESSIONNEL JOSEPH CUGNOT LYCEE DES METIERS DE L INDUSTRIE ET DES SERVICES</t>
  </si>
  <si>
    <t>CHINON</t>
  </si>
  <si>
    <t>0371123V</t>
  </si>
  <si>
    <t>LYCEE PROFESSIONNEL JEAN CHAPTAL</t>
  </si>
  <si>
    <t>AMBOISE</t>
  </si>
  <si>
    <t>0371211R</t>
  </si>
  <si>
    <t>LYCEE PROFESSIONNEL BEAUREGARD LYCEE DES METIERS DU TERTIAIRE DE LA MAINTENANCE ET DE L ELECTROTECHNIQUE</t>
  </si>
  <si>
    <t>CHATEAU RENAULT</t>
  </si>
  <si>
    <t>ISERE</t>
  </si>
  <si>
    <t>0380014J</t>
  </si>
  <si>
    <t>LYCEE POLYVALENT HECTOR BERLIOZ</t>
  </si>
  <si>
    <t>LA COTE SAINT ANDRE</t>
  </si>
  <si>
    <t>0380032D</t>
  </si>
  <si>
    <t>LYCEE POLYVALENT EMMANUEL MOUNIER</t>
  </si>
  <si>
    <t>0380063M</t>
  </si>
  <si>
    <t>LYCEE POLYVALENT LA SAULAIE</t>
  </si>
  <si>
    <t>SAINT MARCELLIN</t>
  </si>
  <si>
    <t>0380089R</t>
  </si>
  <si>
    <t>LYCEE POLYVALENT PORTES DE L OISANS LYCEE DES METIERS DE L ELECTRONIQUE ET DU NUMERIQUE</t>
  </si>
  <si>
    <t>VIZILLE</t>
  </si>
  <si>
    <t>0380097Z</t>
  </si>
  <si>
    <t>LYCEE CLIMATIQUE JEAN PREVOST</t>
  </si>
  <si>
    <t>VILLARD DE LANS</t>
  </si>
  <si>
    <t>0381602K</t>
  </si>
  <si>
    <t>LYCEE PROFESSIONNEL L ODYSSEE</t>
  </si>
  <si>
    <t>PONT DE CHERUY</t>
  </si>
  <si>
    <t>0381660Y</t>
  </si>
  <si>
    <t>LYCEE GENERAL PRIVE SAINTE CECILE</t>
  </si>
  <si>
    <t>0381803D</t>
  </si>
  <si>
    <t>LYCEE GENERAL PRIVE EXTERNAT NOTRE DAME</t>
  </si>
  <si>
    <t>0382170C</t>
  </si>
  <si>
    <t>LYCEE POLYVALENT SCHNEIDER ELECTRIC</t>
  </si>
  <si>
    <t>SAINT MARTIN D HERES</t>
  </si>
  <si>
    <t>0382203N</t>
  </si>
  <si>
    <t>LYCEE POLYVALENT PABLO NERUDA LYCEE DES METIERS DE L ELECTRICITE ET DE SES ENVIRONNEMENTS CONNECTES</t>
  </si>
  <si>
    <t>0382780R</t>
  </si>
  <si>
    <t>LYCEE GENERAL ET TECHNOLOGIQUE ARISTIDE BERGES</t>
  </si>
  <si>
    <t>SEYSSINET PARISET</t>
  </si>
  <si>
    <t>0382854W</t>
  </si>
  <si>
    <t>LYCEE GENERAL ET TECHNOLOGIQUE PRIVE SAINT CHARLES</t>
  </si>
  <si>
    <t>VIENNE</t>
  </si>
  <si>
    <t>0382895R</t>
  </si>
  <si>
    <t>LYCEE POLYVALENT PH DELORME</t>
  </si>
  <si>
    <t>L ISLE D ABEAU</t>
  </si>
  <si>
    <t>0383069E</t>
  </si>
  <si>
    <t>LYCEE GENERAL ET TECHNOLOGIQUE CAMILLE COROT</t>
  </si>
  <si>
    <t>MORESTEL</t>
  </si>
  <si>
    <t>0383208F</t>
  </si>
  <si>
    <t>LYCEE POLYVALENT PRIVE PHILIPPINE DUCHESNE (A ABSORBE L'UAI 0381899H EN 2021)</t>
  </si>
  <si>
    <t>LA TRONCHE</t>
  </si>
  <si>
    <t>0383263R</t>
  </si>
  <si>
    <t>LYCEE GENERAL ET TECHNOLOGIQUE MARIE REYNOARD</t>
  </si>
  <si>
    <t>VILLARD BONNOT</t>
  </si>
  <si>
    <t>JURA</t>
  </si>
  <si>
    <t>0390091M</t>
  </si>
  <si>
    <t>CHAMPAGNOLE</t>
  </si>
  <si>
    <t>0390914G</t>
  </si>
  <si>
    <t>LYCEE PROFESSIONNEL FERDINAND FILLOD LYCEE DES METIERS DES ARTS DU METAL</t>
  </si>
  <si>
    <t>SAINT AMOUR</t>
  </si>
  <si>
    <t>0391131T</t>
  </si>
  <si>
    <t>INSTITUT EUROPEEN DE FORMATION COMPAGNONS DU TOUR DE FRANCE</t>
  </si>
  <si>
    <t>MOUCHARD</t>
  </si>
  <si>
    <t>LANDES</t>
  </si>
  <si>
    <t>0400007R</t>
  </si>
  <si>
    <t>LYCEE POLYVALENT DE BORDA</t>
  </si>
  <si>
    <t>DAX</t>
  </si>
  <si>
    <t>0400046H</t>
  </si>
  <si>
    <t>LYCEE GENERAL SAINT EXUPERY</t>
  </si>
  <si>
    <t>PARENTIS EN BORN</t>
  </si>
  <si>
    <t>0400067F</t>
  </si>
  <si>
    <t>LYCEE GENERAL ET TECHNOLOGIQUE JEAN CASSAIGNE</t>
  </si>
  <si>
    <t>SAINT PIERRE DU MONT</t>
  </si>
  <si>
    <t>0400883T</t>
  </si>
  <si>
    <t>GABARRET</t>
  </si>
  <si>
    <t>0401002X</t>
  </si>
  <si>
    <t>LYCEE POLYVALENT HAROUN TAZIEFF LYCEE DES METIERS DU BOIS</t>
  </si>
  <si>
    <t>SAINT PAUL LES DAX</t>
  </si>
  <si>
    <t>LOIR-ET-CHER</t>
  </si>
  <si>
    <t>0410017W</t>
  </si>
  <si>
    <t>LYCEE GENERAL ET TECHNOLOGIQUE CLAUDE DE FRANCE</t>
  </si>
  <si>
    <t>ROMORANTIN LANTHENAY</t>
  </si>
  <si>
    <t>0410031L</t>
  </si>
  <si>
    <t>LYCEE PROFESSIONNEL ANDRE AMPERE LYCEE DES METIERSDE LA MAINTENANCE ET DES SERVICES A L INDUSTRIE</t>
  </si>
  <si>
    <t>VENDOME</t>
  </si>
  <si>
    <t>0410675L</t>
  </si>
  <si>
    <t>LYCEE GENERAL ET TECHNOLOGIQUE PRIVE NOTRE DAME DES AYDES</t>
  </si>
  <si>
    <t>BLOIS</t>
  </si>
  <si>
    <t>LOIRE</t>
  </si>
  <si>
    <t>0420031F</t>
  </si>
  <si>
    <t>LYCEE GENERAL JEAN PUY</t>
  </si>
  <si>
    <t>ROANNE</t>
  </si>
  <si>
    <t>0420041S</t>
  </si>
  <si>
    <t>LYCEE GENERAL CLAUDE FAURIEL</t>
  </si>
  <si>
    <t>SAINT ETIENNE</t>
  </si>
  <si>
    <t>0420046X</t>
  </si>
  <si>
    <t>LYCEE GENERAL ET TECHNOLOGIQUE ETIENNE MIMARD</t>
  </si>
  <si>
    <t>0420979L</t>
  </si>
  <si>
    <t>LYCEE GENERAL ET TECHNOLOGIQUE PRIVE TEZENAS DU MONTCEL LYCEE DES METIERS DE LA GESTION ET DU COMMERCE</t>
  </si>
  <si>
    <t>0420987V</t>
  </si>
  <si>
    <t>LYCEE PROFESSIONNEL PRIVE ARAGO</t>
  </si>
  <si>
    <t>0421023J</t>
  </si>
  <si>
    <t>LYCEE GENERAL PRIVE SAINT PAUL</t>
  </si>
  <si>
    <t>0421489R</t>
  </si>
  <si>
    <t>LYCEE PROFESSIONNEL ETIENNE LEGRAND LYCEE DES METIERS DU BOIS DU METAL ET DES SERVICES A LA PERSONNE</t>
  </si>
  <si>
    <t>LE COTEAU</t>
  </si>
  <si>
    <t>0421980Z</t>
  </si>
  <si>
    <t>LYCEE PROFESSIONNEL PRIVE ENSEMBLE SCOLAIRE LA SALLE LYCEE DES METIERS DE LA PRODUCTIQUE ET DE L ELECTRICITE</t>
  </si>
  <si>
    <t>0422158T</t>
  </si>
  <si>
    <t>LYCEE POLYVALENT PRIVE LA SALESIENNE LYCEE DES METIERS DES TECHNOLOGIES DE LA SANTE DES SOINS ET SERVICES AUX PERSONNES ET AUX COLLECTIVITES</t>
  </si>
  <si>
    <t>HAUTE-LOIRE</t>
  </si>
  <si>
    <t>0430021P</t>
  </si>
  <si>
    <t>LYCEE GENERAL ET TECHNOLOGIQUE SIMONE WEIL</t>
  </si>
  <si>
    <t>LE PUY EN VELAY</t>
  </si>
  <si>
    <t>0430053Z</t>
  </si>
  <si>
    <t>LYCEE POLYVALENT PRIVE SAINT JULIEN</t>
  </si>
  <si>
    <t>BRIOUDE</t>
  </si>
  <si>
    <t>0430055B</t>
  </si>
  <si>
    <t>LYCEE GENERAL ET TECHNOLOGIQUE PRIVE LA CHARTREUSE PARADIS</t>
  </si>
  <si>
    <t>BRIVES CHARENSAC</t>
  </si>
  <si>
    <t>0430103D</t>
  </si>
  <si>
    <t>LYCEE PROFESSIONNEL PRIVE NOTRE DAME DU CHATEAU</t>
  </si>
  <si>
    <t>MONISTROL SUR LOIRE</t>
  </si>
  <si>
    <t>0430968U</t>
  </si>
  <si>
    <t>LYCEE PRIVE EUROPEEN SAINT JACQUES DE COMPOSTELLE</t>
  </si>
  <si>
    <t>NANTES</t>
  </si>
  <si>
    <t>LOIRE-ATLANTIQUE</t>
  </si>
  <si>
    <t>0440021J</t>
  </si>
  <si>
    <t>LYCEE GENERAL CLEMENCEAU</t>
  </si>
  <si>
    <t>0440056X</t>
  </si>
  <si>
    <t>LYCEE PROFESSIONNEL ALBERT CHASSAGNE</t>
  </si>
  <si>
    <t>PAIMBOEUF</t>
  </si>
  <si>
    <t>0440161L</t>
  </si>
  <si>
    <t>LYCEE GENERAL PRIVE SAINT JOSEPH DU LOQUIDY LA SALLE</t>
  </si>
  <si>
    <t>0440176C</t>
  </si>
  <si>
    <t>LYCEE GENERAL ET TECHNOLOGIQUE PRIVE SAINT DOMINIQUE</t>
  </si>
  <si>
    <t>SAINT HERBLAIN</t>
  </si>
  <si>
    <t>0440201E</t>
  </si>
  <si>
    <t>MACHECOUL SAINT MEME</t>
  </si>
  <si>
    <t>0440262W</t>
  </si>
  <si>
    <t>LYCEE PROFESSIONNEL PRIVE NAZARETH</t>
  </si>
  <si>
    <t>CHATEAUBRIANT</t>
  </si>
  <si>
    <t>0440279P</t>
  </si>
  <si>
    <t>LYCEE POLYVALENT PRIVE LA BAUGERIE</t>
  </si>
  <si>
    <t>SAINT SEBASTIEN SUR LOIRE</t>
  </si>
  <si>
    <t>0440307V</t>
  </si>
  <si>
    <t>LYCEE PROFESSIONNEL PRIVE SAINTE THERESE</t>
  </si>
  <si>
    <t>SAINT NAZAIRE</t>
  </si>
  <si>
    <t>0440310Y</t>
  </si>
  <si>
    <t>LYCEE PROFESSIONNEL JEAN JACQUES AUDUBON</t>
  </si>
  <si>
    <t>COUËRON</t>
  </si>
  <si>
    <t>0440541Z</t>
  </si>
  <si>
    <t>LYCEE PROFESSIONNEL DES TROIS RIVIERES</t>
  </si>
  <si>
    <t>PONTCHATEAU</t>
  </si>
  <si>
    <t>0441993C</t>
  </si>
  <si>
    <t>LYCEE GENERAL ET TECHNOLOGIQUE CARCOUËT</t>
  </si>
  <si>
    <t>0442095N</t>
  </si>
  <si>
    <t>LYCEE GENERAL ET TECHNOLOGIQUE LA HERDRIE</t>
  </si>
  <si>
    <t>BASSE GOULAINE</t>
  </si>
  <si>
    <t>0442207K</t>
  </si>
  <si>
    <t>LYCEE GENERAL ET TECHNOLOGIQUE CAMILLE CLAUDEL</t>
  </si>
  <si>
    <t>BLAIN</t>
  </si>
  <si>
    <t>0442226F</t>
  </si>
  <si>
    <t>LYCEE GENERAL PRIVE LA MENNAIS</t>
  </si>
  <si>
    <t>GUERANDE</t>
  </si>
  <si>
    <t>0442774B</t>
  </si>
  <si>
    <t>LYCEE GENERAL ET TECHNOLOGIQUE PRIVE SAINT FELIX LA SALLE LYCEE DES METIERS DE L INDUSTRIE ET DU TERTIAIRE</t>
  </si>
  <si>
    <t>LOIRET</t>
  </si>
  <si>
    <t>0450029M</t>
  </si>
  <si>
    <t>LYCEE GENERAL ET TECHNOLOGIQUE BERNARD PALISSY</t>
  </si>
  <si>
    <t>GIEN</t>
  </si>
  <si>
    <t>0450043C</t>
  </si>
  <si>
    <t>LYCEE PROFESSIONNEL JEANNETTE VERDIER</t>
  </si>
  <si>
    <t>MONTARGIS</t>
  </si>
  <si>
    <t>0450051L</t>
  </si>
  <si>
    <t>LYCEE POLYVALENT BENJAMIN FRANKLIN</t>
  </si>
  <si>
    <t>ORLEANS</t>
  </si>
  <si>
    <t>0450106W</t>
  </si>
  <si>
    <t>LYCEE POLYVALENT PRIVE SAINT FRANCOIS DE SALES</t>
  </si>
  <si>
    <t>0450107X</t>
  </si>
  <si>
    <t>LYCEE POLYVALENT PRIVE SAINT LOUIS</t>
  </si>
  <si>
    <t>0451442Y</t>
  </si>
  <si>
    <t>LYCEE PROFESSIONNEL CHATEAU BLANC</t>
  </si>
  <si>
    <t>CHALETTE SUR LOING</t>
  </si>
  <si>
    <t>LOT</t>
  </si>
  <si>
    <t>0460010L</t>
  </si>
  <si>
    <t>LYCEE GENERAL ET TECHNOLOGIQUE JEAN FRANCOIS CHAMPOLLION</t>
  </si>
  <si>
    <t>FIGEAC</t>
  </si>
  <si>
    <t>0460026D</t>
  </si>
  <si>
    <t>LYCEE GENERAL JEAN LURCAT</t>
  </si>
  <si>
    <t>SAINT CERE</t>
  </si>
  <si>
    <t>0460032K</t>
  </si>
  <si>
    <t>LYCEE PROFESSIONNEL CHAMPOLLION LYCEE DES METIERS DE L INDUSTRIE : PRODUCTIQUE MECANIQUE ELECTRONIQUE ELECTROTECHNIQUE ET BUREAUTIQUE SERVICES</t>
  </si>
  <si>
    <t>0460039T</t>
  </si>
  <si>
    <t>LYCEE POLYVALENT PRIVE JEANNE D ARC</t>
  </si>
  <si>
    <t>LOT-ET-GARONNE</t>
  </si>
  <si>
    <t>0470003Y</t>
  </si>
  <si>
    <t>LYCEE GENERAL ET TECHNOLOGIQUE JEAN BAPTISTE DE BAUDRE</t>
  </si>
  <si>
    <t>AGEN</t>
  </si>
  <si>
    <t>0470009E</t>
  </si>
  <si>
    <t>LYCEE GENERAL STENDHAL</t>
  </si>
  <si>
    <t>AIGUILLON</t>
  </si>
  <si>
    <t>MAINE-ET-LOIRE</t>
  </si>
  <si>
    <t>0490003M</t>
  </si>
  <si>
    <t>LYCEE POLYVALENT CHEVROLLIER</t>
  </si>
  <si>
    <t>ANGERS</t>
  </si>
  <si>
    <t>0490013Y</t>
  </si>
  <si>
    <t>LYCEE PROFESSIONNEL DE NARCE</t>
  </si>
  <si>
    <t>LOIRE AUTHION</t>
  </si>
  <si>
    <t>0490784L</t>
  </si>
  <si>
    <t>LYCEE PROFESSIONNEL HENRI DUNANT</t>
  </si>
  <si>
    <t>0490886X</t>
  </si>
  <si>
    <t>LYCEE PROFESSIONNEL PRIVE LA PROVIDENCE LYCEE DES METIERS DE LA VENTE DE LA GESTION DU SECRETARIAT ET DE L OPTIQUE</t>
  </si>
  <si>
    <t>CHOLET</t>
  </si>
  <si>
    <t>0490910Y</t>
  </si>
  <si>
    <t>LYCEE PROFESSIONNEL PRIVE LES ARDILLIERS LYCEE DES METIERS DE LA SANTE DU COMMERCE ET DE L ADMINISTRATION</t>
  </si>
  <si>
    <t>SAUMUR</t>
  </si>
  <si>
    <t>0490952U</t>
  </si>
  <si>
    <t>LYCEE GENERAL ET TECHNOLOGIQUE PRIVE CHAMP BLANC</t>
  </si>
  <si>
    <t>SEVREMOINE</t>
  </si>
  <si>
    <t>0491966W</t>
  </si>
  <si>
    <t>LYCEE GENERAL ET TECHNOLOGIQUE HENRI BERGSON</t>
  </si>
  <si>
    <t>0492061Z</t>
  </si>
  <si>
    <t>LYCEE GENERAL ET TECHNOLOGIQUE AUGUSTE ET JEAN RENOIR</t>
  </si>
  <si>
    <t>0492420P</t>
  </si>
  <si>
    <t>LYCEE POLYVALENT PRIVE SAINT AUBIN LA SALLE LYCEE DES METIERS DE L ENERGIE DES SYSTEMES MECANIQUES ET DES APPLICATIONS NUMERIQUES</t>
  </si>
  <si>
    <t>VERRIERES EN ANJOU</t>
  </si>
  <si>
    <t>MANCHE</t>
  </si>
  <si>
    <t>0500016W</t>
  </si>
  <si>
    <t>LYCEE GENERAL ET TECHNOLOGIQUE JEAN FRANCOIS MILLET</t>
  </si>
  <si>
    <t>CHERBOURG EN COTENTIN</t>
  </si>
  <si>
    <t>0500065Z</t>
  </si>
  <si>
    <t>LYCEE GENERAL LE VERRIER</t>
  </si>
  <si>
    <t>SAINT LO</t>
  </si>
  <si>
    <t>0500116E</t>
  </si>
  <si>
    <t>LYCEE GENERAL PRIVE JEAN PAUL II</t>
  </si>
  <si>
    <t>COUTANCES</t>
  </si>
  <si>
    <t>0500119H</t>
  </si>
  <si>
    <t>LYCEE GENERAL PRIVE SEVIGNE</t>
  </si>
  <si>
    <t>GRANVILLE</t>
  </si>
  <si>
    <t>0500132X</t>
  </si>
  <si>
    <t>LYCEE PROFESSIONNEL PRIVE INGENIEUR CACHIN</t>
  </si>
  <si>
    <t>0501787W</t>
  </si>
  <si>
    <t>LYCEE PROFESSIONNEL PRIVE LA PROVIDENCE</t>
  </si>
  <si>
    <t>AVRANCHES</t>
  </si>
  <si>
    <t>0501828R</t>
  </si>
  <si>
    <t>LYCEE GENERAL ET TECHNOLOGIQUE VICTOR GRIGNARD</t>
  </si>
  <si>
    <t>0501839C</t>
  </si>
  <si>
    <t>LYCEE GENERAL ET TECHNOLOGIQUE SIVARD DE BEAULIEU</t>
  </si>
  <si>
    <t>CARENTAN LES MARAIS</t>
  </si>
  <si>
    <t>MARNE</t>
  </si>
  <si>
    <t>0510032H</t>
  </si>
  <si>
    <t>LYCEE GENERAL ET TECHNOLOGIQUE JEAN JAURES</t>
  </si>
  <si>
    <t>0510034K</t>
  </si>
  <si>
    <t>LYCEE GENERAL ET TECHNOLOGIQUE FRANKLIN ROOSEVELT</t>
  </si>
  <si>
    <t>0510062R</t>
  </si>
  <si>
    <t>LYCEE POLYVALENT FRANCOIS 1ER</t>
  </si>
  <si>
    <t>VITRY LE FRANCOIS</t>
  </si>
  <si>
    <t>0510068X</t>
  </si>
  <si>
    <t>LYCEE POLYVALENT EUROPEEN STEPHANE HESSEL LYCEE DES METIERS INDUSTRIELS ET TERTIAIRES DU VIGNOBLE</t>
  </si>
  <si>
    <t>EPERNAY</t>
  </si>
  <si>
    <t>0511145T</t>
  </si>
  <si>
    <t>LYCEE POLYVALENT PRIVE SAINT MICHEL</t>
  </si>
  <si>
    <t>0511149X</t>
  </si>
  <si>
    <t>LYCEE PROFESSIONNEL PRIVE SAINTE MARIE</t>
  </si>
  <si>
    <t>0511430C</t>
  </si>
  <si>
    <t>LYCEE PROFESSIONNEL JOLIOT CURIE LYCEE DES METIERS DE LA SECURITE DE LA RELATION CLIENT ET DES SERVICES ADMINISTRATIFS</t>
  </si>
  <si>
    <t>0511884W</t>
  </si>
  <si>
    <t>LYCEE POLYVALENT GEORGES BRIERE LYCEE DES METIERS DE L INDUSTRIE DE LA DEFENSE ET DU GRAPHISME</t>
  </si>
  <si>
    <t>HAUTE-MARNE</t>
  </si>
  <si>
    <t>0520032C</t>
  </si>
  <si>
    <t>LYCEE PROFESSIONNEL EMILE BAUDOT LYCEE DES METIERS DE LA SECURITE</t>
  </si>
  <si>
    <t>WASSY</t>
  </si>
  <si>
    <t>MAYENNE</t>
  </si>
  <si>
    <t>0530073S</t>
  </si>
  <si>
    <t>LYCEE PROFESSIONNEL PRIVE DON BOSCO</t>
  </si>
  <si>
    <t>NANCY-METZ</t>
  </si>
  <si>
    <t>MEURTHE-ET-MOSELLE</t>
  </si>
  <si>
    <t>0540034U</t>
  </si>
  <si>
    <t>LYCEE GENERAL ET TECHNOLOGIQUE ERNEST BICHAT</t>
  </si>
  <si>
    <t>LUNEVILLE</t>
  </si>
  <si>
    <t>0540041B</t>
  </si>
  <si>
    <t>LYCEE GENERAL ET TECHNOLOGIQUE GEORGES DE LA TOUR</t>
  </si>
  <si>
    <t>NANCY</t>
  </si>
  <si>
    <t>0540042C</t>
  </si>
  <si>
    <t>LYCEE GENERAL ET TECHNOLOGIQUE HENRI LORITZ</t>
  </si>
  <si>
    <t>0540044E</t>
  </si>
  <si>
    <t>LYCEE GENERAL ET TECHNOLOGIQUE ARTHUR VAROQUAUX</t>
  </si>
  <si>
    <t>TOMBLAINE</t>
  </si>
  <si>
    <t>0540076P</t>
  </si>
  <si>
    <t>LYCEE POLYVALENT JEAN ZAY</t>
  </si>
  <si>
    <t>JARNY</t>
  </si>
  <si>
    <t>0540085Z</t>
  </si>
  <si>
    <t>LYCEE PROFESSIONNEL BERTRAND SCHWARTZ LYCEE DES METIERS DE LA LOGISTIQUE ET DES SERVICES</t>
  </si>
  <si>
    <t>POMPEY</t>
  </si>
  <si>
    <t>0541270M</t>
  </si>
  <si>
    <t>LYCEE POLYVALENT JEAN HANZELET LYCEE DES METIERS DES SCIENCES ET TECHNIQUES DE L ELECTRICITE ET DE LA MAINTENANCE</t>
  </si>
  <si>
    <t>PONT A MOUSSON</t>
  </si>
  <si>
    <t>0541305A</t>
  </si>
  <si>
    <t>LYCEE GENERAL ET TECHNOLOGIQUE PRIVE L ASSOMPTION</t>
  </si>
  <si>
    <t>VAL DE BRIEY</t>
  </si>
  <si>
    <t>0542293Z</t>
  </si>
  <si>
    <t>LYCEE POLYVALENT JACQUES MARIE BOUTET DE MONVEL LYCEE DES METIERS D ART ET DE LA MAITRISE DE L ENERGIE ELECTRIQUE</t>
  </si>
  <si>
    <t>MEUSE</t>
  </si>
  <si>
    <t>0550002D</t>
  </si>
  <si>
    <t>LYCEE GENERAL ET TECHNOLOGIQUE RAYMOND POINCARE</t>
  </si>
  <si>
    <t>BAR LE DUC</t>
  </si>
  <si>
    <t>0550008K</t>
  </si>
  <si>
    <t>LYCEE POLYVALENT HENRI VOGT</t>
  </si>
  <si>
    <t>COMMERCY</t>
  </si>
  <si>
    <t>0550025D</t>
  </si>
  <si>
    <t>LYCEE POLYVALENT JEAN AUGUSTE MARGUERITTE LYCEE DES METIERS DE LA PRODUCTIQUE DES AUTOMATISMES ET DES ENERGIES RENOUVELABLES</t>
  </si>
  <si>
    <t>VERDUN</t>
  </si>
  <si>
    <t>0550072E</t>
  </si>
  <si>
    <t>LYCEE POLYVALENT ALFRED KASTLER</t>
  </si>
  <si>
    <t>STENAY</t>
  </si>
  <si>
    <t>0550891V</t>
  </si>
  <si>
    <t>LYCEE PROFESSIONNEL EUGENE FREYSSINET</t>
  </si>
  <si>
    <t>MORBIHAN</t>
  </si>
  <si>
    <t>0560038M</t>
  </si>
  <si>
    <t>LYCEE GENERAL ET TECHNOLOGIQUE JOSEPH LOTH</t>
  </si>
  <si>
    <t>PONTIVY</t>
  </si>
  <si>
    <t>0560051B</t>
  </si>
  <si>
    <t>LYCEE GENERAL ET TECHNOLOGIQUE ALAIN RENE LESAGE</t>
  </si>
  <si>
    <t>VANNES</t>
  </si>
  <si>
    <t>0560199M</t>
  </si>
  <si>
    <t>LYCEE PROFESSIONNEL PRIVE SAINT GEORGES</t>
  </si>
  <si>
    <t>0561627P</t>
  </si>
  <si>
    <t>LYCEE GENERAL ET TECHNOLOGIQUE CHARLES DE GAULLE</t>
  </si>
  <si>
    <t>MOSELLE</t>
  </si>
  <si>
    <t>0570051W</t>
  </si>
  <si>
    <t>LYCEE PROFESSIONNEL PIERRE ET MARIE CURIE</t>
  </si>
  <si>
    <t>FREYMING MERLEBACH</t>
  </si>
  <si>
    <t>0570057C</t>
  </si>
  <si>
    <t>LYCEE GENERAL ET TECHNOLOGIQUE ROBERT SCHUMAN</t>
  </si>
  <si>
    <t>METZ</t>
  </si>
  <si>
    <t>0570077Z</t>
  </si>
  <si>
    <t>LYCEE PROFESSIONNEL MARYSE BASTIE</t>
  </si>
  <si>
    <t>HAYANGE</t>
  </si>
  <si>
    <t>0570106F</t>
  </si>
  <si>
    <t>LYCEE GENERAL CHARLEMAGNE</t>
  </si>
  <si>
    <t>THIONVILLE</t>
  </si>
  <si>
    <t>0570248K</t>
  </si>
  <si>
    <t>LYCEE PROFESSIONNEL PRIVE ANTOINE GAPP</t>
  </si>
  <si>
    <t>BOUZONVILLE</t>
  </si>
  <si>
    <t>0572022N</t>
  </si>
  <si>
    <t>LYCEE POLYVALENT REGIONAL FELIX MAYER</t>
  </si>
  <si>
    <t>CREUTZWALD</t>
  </si>
  <si>
    <t>0572075W</t>
  </si>
  <si>
    <t>LYCEE PROFESSIONNEL JEAN MACE</t>
  </si>
  <si>
    <t>FAMECK</t>
  </si>
  <si>
    <t>0572340J</t>
  </si>
  <si>
    <t>LYCEE GENERAL ET TECHNOLOGIQUE PRIVE ANTOINE GAPP</t>
  </si>
  <si>
    <t>FORBACH</t>
  </si>
  <si>
    <t>0573366Z</t>
  </si>
  <si>
    <t>LYCEE TECHNOLOGIQUE PRIVE SAINT VINCENT DE PAUL</t>
  </si>
  <si>
    <t>ALGRANGE</t>
  </si>
  <si>
    <t>NIEVRE</t>
  </si>
  <si>
    <t>0580008U</t>
  </si>
  <si>
    <t>LYCEE POLYVALENT ROMAIN ROLLAND</t>
  </si>
  <si>
    <t>CLAMECY</t>
  </si>
  <si>
    <t>0580020G</t>
  </si>
  <si>
    <t>LYCEE PROFESSIONNEL PIERRE BEREGOVOY</t>
  </si>
  <si>
    <t>FOURCHAMBAULT</t>
  </si>
  <si>
    <t>0580042F</t>
  </si>
  <si>
    <t>LYCEE PROFESSIONNEL LE MONT CHATELET</t>
  </si>
  <si>
    <t>VARZY</t>
  </si>
  <si>
    <t>0580076T</t>
  </si>
  <si>
    <t>LYCEE TECHNOLOGIQUE ET PROFESSIONNEL PRIVE SIMONE DOUNON</t>
  </si>
  <si>
    <t>COSNE COURS SUR LOIRE</t>
  </si>
  <si>
    <t>0580761M</t>
  </si>
  <si>
    <t>LYCEE POLYVALENT MAURICE GENEVOIX</t>
  </si>
  <si>
    <t>DECIZE</t>
  </si>
  <si>
    <t>NORD</t>
  </si>
  <si>
    <t>0590010R</t>
  </si>
  <si>
    <t>LYCEE GENERAL ET TECHNOLOGIQUE PAUL HAZARD</t>
  </si>
  <si>
    <t>ARMENTIERES</t>
  </si>
  <si>
    <t>0590024F</t>
  </si>
  <si>
    <t>LYCEE GENERAL DES NERVIENS</t>
  </si>
  <si>
    <t>BAVAY</t>
  </si>
  <si>
    <t>0590037V</t>
  </si>
  <si>
    <t>LYCEE PROFESSIONNEL LOUISE DE BETTIGNIES</t>
  </si>
  <si>
    <t>CAMBRAI</t>
  </si>
  <si>
    <t>0590072H</t>
  </si>
  <si>
    <t>LYCEE GENERAL ET TECHNOLOGIQUE DE L EUROPE</t>
  </si>
  <si>
    <t>DUNKERQUE</t>
  </si>
  <si>
    <t>0590083V</t>
  </si>
  <si>
    <t>LYCEE POLYVALENT CAMILLE CLAUDEL</t>
  </si>
  <si>
    <t>FOURMIES</t>
  </si>
  <si>
    <t>0590086Y</t>
  </si>
  <si>
    <t>LYCEE GENERAL ET TECHNOLOGIQUE MARGUERITE DE FLANDRE</t>
  </si>
  <si>
    <t>GONDECOURT</t>
  </si>
  <si>
    <t>0590121L</t>
  </si>
  <si>
    <t>LYCEE GENERAL ET TECHNOLOGIQUE CESAR BAGGIO</t>
  </si>
  <si>
    <t>0590133Z</t>
  </si>
  <si>
    <t>LYCEE PROFESSIONNEL MAURICE DUHAMEL</t>
  </si>
  <si>
    <t>LOOS</t>
  </si>
  <si>
    <t>0590149S</t>
  </si>
  <si>
    <t>LYCEE POLYVALENT PIERRE FOREST</t>
  </si>
  <si>
    <t>MAUBEUGE</t>
  </si>
  <si>
    <t>0590168M</t>
  </si>
  <si>
    <t>LYCEE POLYVALENT EUGENE THOMAS</t>
  </si>
  <si>
    <t>LE QUESNOY</t>
  </si>
  <si>
    <t>0590186G</t>
  </si>
  <si>
    <t>LYCEE PROFESSIONNEL TURGOT LYCEE DES METIERS DES SERVICES ADMINISTRATIFS ET DE LA RELATION CLIENT</t>
  </si>
  <si>
    <t>ROUBAIX</t>
  </si>
  <si>
    <t>0590189K</t>
  </si>
  <si>
    <t>LYCEE PROFESSIONNEL LAVOISIER</t>
  </si>
  <si>
    <t>0590192N</t>
  </si>
  <si>
    <t>LYCEE POLYVALENT ERNEST COUTEAUX</t>
  </si>
  <si>
    <t>SAINT AMAND LES EAUX</t>
  </si>
  <si>
    <t>0590212K</t>
  </si>
  <si>
    <t>LYCEE GENERAL</t>
  </si>
  <si>
    <t>TOURCOING</t>
  </si>
  <si>
    <t>0590215N</t>
  </si>
  <si>
    <t>LYCEE GENERAL ET TECHNOLOGIQUE SEVIGNE</t>
  </si>
  <si>
    <t>0590221V</t>
  </si>
  <si>
    <t>LYCEE GENERAL ET TECHNOLOGIQUE HENRI WALLON</t>
  </si>
  <si>
    <t>VALENCIENNES</t>
  </si>
  <si>
    <t>0590249A</t>
  </si>
  <si>
    <t>LYCEE PROFESSIONNEL JACQUES YVES COUSTEAU</t>
  </si>
  <si>
    <t>WASQUEHAL</t>
  </si>
  <si>
    <t>0590264S</t>
  </si>
  <si>
    <t>LYCEE PROFESSIONNEL ALFRED KASTLER</t>
  </si>
  <si>
    <t>DENAIN</t>
  </si>
  <si>
    <t>0592610S</t>
  </si>
  <si>
    <t>LYCEE PROFESSIONNEL PIERRE JOSEPH LAURENT</t>
  </si>
  <si>
    <t>ANICHE</t>
  </si>
  <si>
    <t>0592913W</t>
  </si>
  <si>
    <t>LYCEE GENERAL PRIVE NOTRE DAME DES ANGES</t>
  </si>
  <si>
    <t>0592916Z</t>
  </si>
  <si>
    <t>LYCEE GENERAL ET TECHNOLOGIQUE PRIVE NOTRE DAME DE GRACE</t>
  </si>
  <si>
    <t>0592922F</t>
  </si>
  <si>
    <t>LYCEE GENERAL PRIVE THERESE D AVILA</t>
  </si>
  <si>
    <t>0592932S</t>
  </si>
  <si>
    <t>LYCEE GENERAL PRIVE SAINTE MARIE</t>
  </si>
  <si>
    <t>BEAUCAMPS LIGNY</t>
  </si>
  <si>
    <t>0592940A</t>
  </si>
  <si>
    <t>DOUAI</t>
  </si>
  <si>
    <t>0592965C</t>
  </si>
  <si>
    <t>LYCEE POLYVALENT PRIVE EIC INDUSTRIEL ET COMMERCIAL</t>
  </si>
  <si>
    <t>0592973L</t>
  </si>
  <si>
    <t>LYCEE PROFESSIONNEL PRIVE SAINT FRANCOIS D ASSISE</t>
  </si>
  <si>
    <t>0593015G</t>
  </si>
  <si>
    <t>LYCEE PROFESSIONNEL PRIVE CAMILLE DE LELLIS</t>
  </si>
  <si>
    <t>LAMBERSART</t>
  </si>
  <si>
    <t>0593040J</t>
  </si>
  <si>
    <t>LYCEE POLYVALENT PRIVE NOTRE DAME DE LA PROVIDENCE</t>
  </si>
  <si>
    <t>ORCHIES</t>
  </si>
  <si>
    <t>0593136N</t>
  </si>
  <si>
    <t>LYCEE GENERAL ET TECHNOLOGIQUE PRIVE SAINT JACQUES</t>
  </si>
  <si>
    <t>HAZEBROUCK</t>
  </si>
  <si>
    <t>0594278E</t>
  </si>
  <si>
    <t>LYCEE TECHNOLOGIQUE PRIVE EPID</t>
  </si>
  <si>
    <t>0594424N</t>
  </si>
  <si>
    <t>LYCEE GENERAL ET TECHNOLOGIQUE RAYMOND QUENEAU</t>
  </si>
  <si>
    <t>VILLENEUVE D ASCQ</t>
  </si>
  <si>
    <t>0595616J</t>
  </si>
  <si>
    <t>LYCEE GENERAL ET TECHNOLOGIQUE DU NOORDOVER</t>
  </si>
  <si>
    <t>GRANDE SYNTHE</t>
  </si>
  <si>
    <t>0595657D</t>
  </si>
  <si>
    <t>LYCEE POLYVALENT PRIVE INSTITUT SAINT VINCENT DE PAUL LYCEE DES METIERS DU BIEN ÊTRE DE LA SANTE ET DU SOCIAL</t>
  </si>
  <si>
    <t>0595856V</t>
  </si>
  <si>
    <t>LYCEE PROFESSIONNEL DE L YSER</t>
  </si>
  <si>
    <t>WORMHOUT</t>
  </si>
  <si>
    <t>0595867G</t>
  </si>
  <si>
    <t>LYCEE GENERAL ET TECHNOLOGIQUE INTERNATIONAL MONTEBELLO</t>
  </si>
  <si>
    <t>0596281G</t>
  </si>
  <si>
    <t>LYCEE GENERAL PRIVE DE GENECH</t>
  </si>
  <si>
    <t>GENECH</t>
  </si>
  <si>
    <t>0597005U</t>
  </si>
  <si>
    <t>LYCEE POLYVALENT DU VAL DE LYS</t>
  </si>
  <si>
    <t>ESTAIRES</t>
  </si>
  <si>
    <t>OISE</t>
  </si>
  <si>
    <t>0600001A</t>
  </si>
  <si>
    <t>LYCEE GENERAL ET TECHNOLOGIQUE FELIX FAURE</t>
  </si>
  <si>
    <t>BEAUVAIS</t>
  </si>
  <si>
    <t>0600009J</t>
  </si>
  <si>
    <t>LYCEE GENERAL ET TECHNOLOGIQUE JEAN ROSTAND</t>
  </si>
  <si>
    <t>CHANTILLY</t>
  </si>
  <si>
    <t>0600014P</t>
  </si>
  <si>
    <t>LYCEE GENERAL ET TECHNOLOGIQUE PIERRE D AILLY</t>
  </si>
  <si>
    <t>COMPIEGNE</t>
  </si>
  <si>
    <t>0600015R</t>
  </si>
  <si>
    <t>LYCEE D ENSEIGNEMENT GENERAL ET TECHNOLOGIQUE MIREILLE GRENET</t>
  </si>
  <si>
    <t>0600048B</t>
  </si>
  <si>
    <t>LYCEE PROFESSIONNEL DONATION DE ROTHSCHILD</t>
  </si>
  <si>
    <t>SAINT MAXIMIN</t>
  </si>
  <si>
    <t>0601363F</t>
  </si>
  <si>
    <t>LYCEE PROFESSIONNEL ROBERT DESNOS</t>
  </si>
  <si>
    <t>CREPY EN VALOIS</t>
  </si>
  <si>
    <t>0601822E</t>
  </si>
  <si>
    <t>LYCEE PROFESSIONNEL ARTHUR RIMBAUD LYCEE DES METIERS DE L ELECTRONIQUE DE LA MENUISERIE ET DE LA VENTE</t>
  </si>
  <si>
    <t>RIBECOURT DRESLINCOURT</t>
  </si>
  <si>
    <t>0601950U</t>
  </si>
  <si>
    <t>LYCEE TECHNOLOGIQUE PRIVE ST VINCENT DE PAUL</t>
  </si>
  <si>
    <t>0602070Z</t>
  </si>
  <si>
    <t>LYCEE D ENSEIGNEMENT GENERAL PRIVE SAINT DOMINIQUE</t>
  </si>
  <si>
    <t>MORTEFONTAINE</t>
  </si>
  <si>
    <t>ORNE</t>
  </si>
  <si>
    <t>0610014J</t>
  </si>
  <si>
    <t>LYCEE GENERAL ET TECHNOLOGIQUE AUGUSTE CHEVALIER</t>
  </si>
  <si>
    <t>DOMFRONT EN POIRAIE</t>
  </si>
  <si>
    <t>0610019P</t>
  </si>
  <si>
    <t>LYCEE PROFESSIONNEL FLORA TRISTAN</t>
  </si>
  <si>
    <t>LA FERTE MACE</t>
  </si>
  <si>
    <t>0610694Y</t>
  </si>
  <si>
    <t>ARGENTAN</t>
  </si>
  <si>
    <t>0610698C</t>
  </si>
  <si>
    <t>LYCEE POLYVALENT PRIVE SAINT THOMAS D AQUIN</t>
  </si>
  <si>
    <t>FLERS</t>
  </si>
  <si>
    <t>PAS-DE-CALAIS</t>
  </si>
  <si>
    <t>0620017G</t>
  </si>
  <si>
    <t>LYCEE GENERAL ET TECHNOLOGIQUE LAVOISIER</t>
  </si>
  <si>
    <t>AUCHEL</t>
  </si>
  <si>
    <t>0620095S</t>
  </si>
  <si>
    <t>LYCEE POLYVALENT LOUIS PASTEUR</t>
  </si>
  <si>
    <t>HENIN BEAUMONT</t>
  </si>
  <si>
    <t>0620124Y</t>
  </si>
  <si>
    <t>LYCEE PROFESSIONNEL BERNARD CHOCHOY</t>
  </si>
  <si>
    <t>LUMBRES</t>
  </si>
  <si>
    <t>0620161N</t>
  </si>
  <si>
    <t>LYCEE GENERAL ET TECHNOLOGIQUE ALEXANDRE RIBOT</t>
  </si>
  <si>
    <t>SAINT OMER</t>
  </si>
  <si>
    <t>0620167V</t>
  </si>
  <si>
    <t>LYCEE PROFESSIONNEL PIERRE MENDES FRANCE</t>
  </si>
  <si>
    <t>SAINT POL SUR TERNOISE</t>
  </si>
  <si>
    <t>0620221D</t>
  </si>
  <si>
    <t>LYCEE PROFESSIONNEL PROFESSEUR CLERC</t>
  </si>
  <si>
    <t>OUTREAU</t>
  </si>
  <si>
    <t>0620257T</t>
  </si>
  <si>
    <t>LYCEE PROFESSIONNEL SAVARY FERRY</t>
  </si>
  <si>
    <t>ARRAS</t>
  </si>
  <si>
    <t>0622114L</t>
  </si>
  <si>
    <t>LENS</t>
  </si>
  <si>
    <t>0622196A</t>
  </si>
  <si>
    <t>LYCEE POLYVALENT PRIVE BAUDIMONT LYCEE DES METIERS DU TERTIAIRE COMMERCIAL ET DU MANAGEMENT</t>
  </si>
  <si>
    <t>0623864N</t>
  </si>
  <si>
    <t>LYCEE PROFESSIONNEL MAXIMILIEN DE ROBESPIERRE</t>
  </si>
  <si>
    <t>0623981R</t>
  </si>
  <si>
    <t>LYCEE POLYVALENT VAUBAN</t>
  </si>
  <si>
    <t>AIRE SUR LA LYS</t>
  </si>
  <si>
    <t>PUY-DE-DOME</t>
  </si>
  <si>
    <t>0630020E</t>
  </si>
  <si>
    <t>LYCEE GENERAL ET TECHNOLOGIQUE SIDOINE APOLLINAIRE</t>
  </si>
  <si>
    <t>CLERMONT FERRAND</t>
  </si>
  <si>
    <t>0630052P</t>
  </si>
  <si>
    <t>LYCEE GENERAL ET TECHNOLOGIQUE C ET P VIRLOGEUX</t>
  </si>
  <si>
    <t>RIOM</t>
  </si>
  <si>
    <t>0630068G</t>
  </si>
  <si>
    <t>LYCEE GENERAL ET TECHNOLOGIQUE MONTDORY</t>
  </si>
  <si>
    <t>THIERS</t>
  </si>
  <si>
    <t>0631409P</t>
  </si>
  <si>
    <t>LYCEE PROFESSIONNEL CAMILLE CLAUDEL LYCEE DES METIERS DU GENIE ELECTRIQUE DE LA PREVENTION ET DE LA SECURITE</t>
  </si>
  <si>
    <t>0631737W</t>
  </si>
  <si>
    <t>LYCEE PROFESSIONNEL PRIVE SAINT ALYRE</t>
  </si>
  <si>
    <t>PYRENEES-ATLANTIQUES</t>
  </si>
  <si>
    <t>0640001D</t>
  </si>
  <si>
    <t>LYCEE POLYVALENT CANTAU LYCEE DES METIERS DU BATIMENT</t>
  </si>
  <si>
    <t>ANGLET</t>
  </si>
  <si>
    <t>0640028H</t>
  </si>
  <si>
    <t>LYCEE PROFESSIONNEL AIZPURDI</t>
  </si>
  <si>
    <t>HENDAYE</t>
  </si>
  <si>
    <t>0640047D</t>
  </si>
  <si>
    <t>LYCEE GENERAL JULES SUPERVIELLE</t>
  </si>
  <si>
    <t>OLORON SAINTE MARIE</t>
  </si>
  <si>
    <t>0640053K</t>
  </si>
  <si>
    <t>LYCEE PROFESSIONNEL FRANCIS JAMMES LYCEE DES METIERS D ORTHEZ AU SERVICE DES ENTREPRISES ET DES PERSONNES</t>
  </si>
  <si>
    <t>ORTHEZ</t>
  </si>
  <si>
    <t>0640057P</t>
  </si>
  <si>
    <t>LYCEE POLYVALENT SAINT CRICQ</t>
  </si>
  <si>
    <t>PAU</t>
  </si>
  <si>
    <t>0640065Y</t>
  </si>
  <si>
    <t>LYCEE GENERAL MAURICE RAVEL</t>
  </si>
  <si>
    <t>SAINT JEAN DE LUZ</t>
  </si>
  <si>
    <t>0640066Z</t>
  </si>
  <si>
    <t>LYCEE PROFESSIONNEL RAMIRO ARRUE LYCEE DES METIERS COTE BASQUE</t>
  </si>
  <si>
    <t>0640079N</t>
  </si>
  <si>
    <t>MOURENX</t>
  </si>
  <si>
    <t>0640111Y</t>
  </si>
  <si>
    <t>LYCEE GENERAL ET TECHNOLOGIQUE PRIVE LARGENTE</t>
  </si>
  <si>
    <t>BAYONNE</t>
  </si>
  <si>
    <t>0640115C</t>
  </si>
  <si>
    <t>LYCEE GENERAL PRIVE SAINT LOUIS VILLA PIA</t>
  </si>
  <si>
    <t>0640127R</t>
  </si>
  <si>
    <t>0641664L</t>
  </si>
  <si>
    <t>LYCEE PROFESSIONNEL PRIVE IMMACULEE CONCEPTION BEAU FRENE LYCEE DES METIERS DE LA MAINTENANCE ET DE L INDUSTRIE</t>
  </si>
  <si>
    <t>0641823J</t>
  </si>
  <si>
    <t>LYCEE POLYVALENT BIARRITZ ATLANTIQUE LYCEE DES METIERS DE L HOTELLERIE ET DU TOURISME</t>
  </si>
  <si>
    <t>BIARRITZ</t>
  </si>
  <si>
    <t>0641907A</t>
  </si>
  <si>
    <t>LYCEE POLYVALENT PRIVE BERNAT ETXEPARE</t>
  </si>
  <si>
    <t>HAUTES-PYRENEES</t>
  </si>
  <si>
    <t>0650014M</t>
  </si>
  <si>
    <t>LYCEE PROFESSIONNEL DE L ARROUZA LYCEE DES METIERS DE L HOTELLERIE RESTAURATION DU COMMERCE ET DU WEB MARKETING</t>
  </si>
  <si>
    <t>LOURDES</t>
  </si>
  <si>
    <t>0650026A</t>
  </si>
  <si>
    <t>LYCEE GENERAL ET TECHNOLOGIQUE MARIE CURIE</t>
  </si>
  <si>
    <t>TARBES</t>
  </si>
  <si>
    <t>0650040R</t>
  </si>
  <si>
    <t>LYCEE GENERAL ET TECHNOLOGIQUE LA SERRE DE SARSAN</t>
  </si>
  <si>
    <t>PYRENEES-ORIENTALES</t>
  </si>
  <si>
    <t>0660077A</t>
  </si>
  <si>
    <t>LYCEE POLYVALENT PRIVE SAINTE LOUISE DE MARILLAC</t>
  </si>
  <si>
    <t>PERPIGNAN</t>
  </si>
  <si>
    <t>STRASBOURG</t>
  </si>
  <si>
    <t>BAS-RHIN</t>
  </si>
  <si>
    <t>0670002N</t>
  </si>
  <si>
    <t>LYCEE GENERAL ET TECHNOLOGIQUE SCHURE</t>
  </si>
  <si>
    <t>BARR</t>
  </si>
  <si>
    <t>0670049P</t>
  </si>
  <si>
    <t>LYCEE GENERAL FREPPEL</t>
  </si>
  <si>
    <t>OBERNAI</t>
  </si>
  <si>
    <t>0670083B</t>
  </si>
  <si>
    <t>LYCEE GENERAL MARIE CURIE</t>
  </si>
  <si>
    <t>0670127Z</t>
  </si>
  <si>
    <t>LYCEE PROFESSIONNEL JEAN FREDERIC OBERLIN LYCEE DES METIERS</t>
  </si>
  <si>
    <t>0671610L</t>
  </si>
  <si>
    <t>LYCEE D ENSEIGNEMENT GENERAL PRIVE INSTITUTION NOTRE DAME</t>
  </si>
  <si>
    <t>0672198A</t>
  </si>
  <si>
    <t>LYCEE POLYVALENT LE CORBUSIER LYCEE DES METIERS DE L ARCHITECTURE DE LA CONSTRUCTION ET DU DESIGN</t>
  </si>
  <si>
    <t>ILLKIRCH GRAFFENSTADEN</t>
  </si>
  <si>
    <t>0672305S</t>
  </si>
  <si>
    <t>LYCEE PROFESSIONNEL PRIVE INSTITUTION SAINTE CLOTILDE LYCEE DES METIERS</t>
  </si>
  <si>
    <t>0672677W</t>
  </si>
  <si>
    <t>LYCEE POLYVALENT MARGUERITE YOURCENAR</t>
  </si>
  <si>
    <t>ERSTEIN</t>
  </si>
  <si>
    <t>HAUT-RHIN</t>
  </si>
  <si>
    <t>0680001G</t>
  </si>
  <si>
    <t>LYCEE POLYVALENT JEAN JACQUES HENNER</t>
  </si>
  <si>
    <t>ALTKIRCH</t>
  </si>
  <si>
    <t>0680007N</t>
  </si>
  <si>
    <t>LYCEE GENERAL ET TECHNOLOGIQUE FREDERIC AUGUSTE BARTHOLDI</t>
  </si>
  <si>
    <t>COLMAR</t>
  </si>
  <si>
    <t>0680008P</t>
  </si>
  <si>
    <t>LYCEE GENERAL ET TECHNOLOGIQUE CAMILLE SEE</t>
  </si>
  <si>
    <t>0680041A</t>
  </si>
  <si>
    <t>LYCEE PROFESSIONNEL DU REBBERG LYCEE DES METIERS</t>
  </si>
  <si>
    <t>MULHOUSE</t>
  </si>
  <si>
    <t>0680060W</t>
  </si>
  <si>
    <t>LYCEE GENERAL ET TECHNOLOGIQUE RIBEAUPIERRE</t>
  </si>
  <si>
    <t>RIBEAUVILLE</t>
  </si>
  <si>
    <t>0680068E</t>
  </si>
  <si>
    <t>LYCEE POLYVALENT LOUISE WEISS</t>
  </si>
  <si>
    <t>SAINTE MARIE AUX MINES</t>
  </si>
  <si>
    <t>0680073K</t>
  </si>
  <si>
    <t>LYCEE GENERAL ET TECHNOLOGIQUE SCHEURER KESTNER</t>
  </si>
  <si>
    <t>THANN</t>
  </si>
  <si>
    <t>0680149T</t>
  </si>
  <si>
    <t>LYCEE GENERAL ET TECHNOLOGIQUE EPISCOPAL SAINT ANDRE</t>
  </si>
  <si>
    <t>0680151V</t>
  </si>
  <si>
    <t>INSTITUTION SAINTE JEANNE D ARC</t>
  </si>
  <si>
    <t>0681761V</t>
  </si>
  <si>
    <t>LYCEE GENERAL LAMBERT</t>
  </si>
  <si>
    <t>0681768C</t>
  </si>
  <si>
    <t>LYCEE POLYVALENT LAVOISIER</t>
  </si>
  <si>
    <t>0681810Y</t>
  </si>
  <si>
    <t>LYCEE PROFESSIONNEL GUSTAVE EIFFEL LYCEES DES METIERS DU BATIMENT ET DES TRAVAUX PUBLICS</t>
  </si>
  <si>
    <t>CERNAY</t>
  </si>
  <si>
    <t>0681888H</t>
  </si>
  <si>
    <t>LYCEE POLYVALENT AMELIE ZURCHER</t>
  </si>
  <si>
    <t>WITTELSHEIM</t>
  </si>
  <si>
    <t>RHONE</t>
  </si>
  <si>
    <t>0690003D</t>
  </si>
  <si>
    <t>LYCEE PROFESSIONNEL BARTHELEMY THIMONNIER LYCEE DES METIERS DES SERVICES AUX PERSONNES ET AUX ENTREPRISES</t>
  </si>
  <si>
    <t>L ARBRESLE</t>
  </si>
  <si>
    <t>0690008J</t>
  </si>
  <si>
    <t>LYCEE PROFESSIONNEL GUSTAVE EIFFEL</t>
  </si>
  <si>
    <t>BRIGNAIS</t>
  </si>
  <si>
    <t>0690031J</t>
  </si>
  <si>
    <t>LYCEE GENERAL ET TECHNOLOGIQUE ANTOINE DE SAINT EXUPERY</t>
  </si>
  <si>
    <t>LYON 4E ARRONDISSEMENT</t>
  </si>
  <si>
    <t>0690035N</t>
  </si>
  <si>
    <t>LYCEE GENERAL ET TECHNOLOGIQUE AUGUSTE ET LOUIS LUMIERE</t>
  </si>
  <si>
    <t>LYON 8E ARRONDISSEMENT</t>
  </si>
  <si>
    <t>0690038S</t>
  </si>
  <si>
    <t>LYCEE GENERAL ET TECHNOLOGIQUE LA MARTINIERE DUCHERE</t>
  </si>
  <si>
    <t>LYON 9E ARRONDISSEMENT</t>
  </si>
  <si>
    <t>0690043X</t>
  </si>
  <si>
    <t>LYCEE PROFESSIONNEL JACQUES DE FLESSELLES LYCEE DES METIERS DU GENIE ELECTRIQUE ET DE LA BUREAUTIQUE</t>
  </si>
  <si>
    <t>LYON 1ER ARRONDISSEMENT</t>
  </si>
  <si>
    <t>0690107S</t>
  </si>
  <si>
    <t>LYCEE PROFESSIONNEL ALFRED DE MUSSET LYCEE DES METIERS DE LA LOGISTIQUE ET DU TRANSPORT LYCEE DES METIERS DE LA MAINTENANCE INDUSTRIELLE</t>
  </si>
  <si>
    <t>VILLEURBANNE</t>
  </si>
  <si>
    <t>0690128P</t>
  </si>
  <si>
    <t>LYCEE POLYVALENT EDOUARD BRANLY LYCEE DES METIERS DE L ENERGIE DE LA LUMIERE ET DU NUMERIQUE</t>
  </si>
  <si>
    <t>LYON 5E ARRONDISSEMENT</t>
  </si>
  <si>
    <t>0690519P</t>
  </si>
  <si>
    <t>LYCEE GENERAL ET TECHNOLOGIQUE PRIVE NOTRE DAME DES MINIMES</t>
  </si>
  <si>
    <t>0690543R</t>
  </si>
  <si>
    <t>LYCEE GENERAL ET TECHNOLOGIQUE PRIVE SAINT THOMAS D AQUIN VERITAS</t>
  </si>
  <si>
    <t>OULLINS</t>
  </si>
  <si>
    <t>0690631L</t>
  </si>
  <si>
    <t>LYCEE TECHNOLOGIQUE PRIVE ICOF</t>
  </si>
  <si>
    <t>0690641X</t>
  </si>
  <si>
    <t>LYCEE PROFESSIONNEL PRIVE SAINT MARC LYCEE DES METIERS DES SERVICES ADMINISTRATIFS ET DE LA VENTE</t>
  </si>
  <si>
    <t>LYON 2E ARRONDISSEMENT</t>
  </si>
  <si>
    <t>0690651H</t>
  </si>
  <si>
    <t>LYCEE PROFESSIONNEL PRIVE SAINT JOSEPH LYCEE DES METIERS DE L ENERGIE DE LA GESTION ADMINISTRATION ET DE LA RELATION CLIENTELE</t>
  </si>
  <si>
    <t>LYON 7E ARRONDISSEMENT</t>
  </si>
  <si>
    <t>0691644M</t>
  </si>
  <si>
    <t>LYCEE POLYVALENT LOUIS ARMAND</t>
  </si>
  <si>
    <t>VILLEFRANCHE SUR SAONE</t>
  </si>
  <si>
    <t>0691723Y</t>
  </si>
  <si>
    <t>LYCEE PROFESSIONNEL PRIVE DE COIFFURE DE LYON</t>
  </si>
  <si>
    <t>0691724Z</t>
  </si>
  <si>
    <t>LYCEE PROFESSIONNEL PRIVE DES ARTS DE LA COIFFURE LYCEE DES METIERS DES ARTS DE LA COIFFURE</t>
  </si>
  <si>
    <t>0691875N</t>
  </si>
  <si>
    <t>LYCEE PROFESSIONNEL PRIVE INSTITUT TECHNIQUE DES CARRIERES CAROLE</t>
  </si>
  <si>
    <t>0692800U</t>
  </si>
  <si>
    <t>LYCEE POLYVALENT CHARLIE CHAPLIN</t>
  </si>
  <si>
    <t>DECINES CHARPIEU</t>
  </si>
  <si>
    <t>0692866R</t>
  </si>
  <si>
    <t>LYCEE GENERAL ET TECHNOLOGIQUE LA MARTINIERE MONPLAISIR</t>
  </si>
  <si>
    <t>0692968B</t>
  </si>
  <si>
    <t>LYCEE PROFESSIONNEL ANDRE CUZIN LYCEE DES METIERS DE LA CONSTRUCTION ET DE L HABITAT DURABLES</t>
  </si>
  <si>
    <t>CALUIRE ET CUIRE</t>
  </si>
  <si>
    <t>0693267B</t>
  </si>
  <si>
    <t>LYCEE GENERAL ET TECHNOLOGIQUE PRIVE NOTRE DAME DE BEL AIR</t>
  </si>
  <si>
    <t>TARARE</t>
  </si>
  <si>
    <t>0693374T</t>
  </si>
  <si>
    <t>LYCEE PROFESSIONNEL PRIVE LA MACHE LYCEE DES METIERS DE LA PRODUCTION ET DES TECHNOLOGIES INDUSTRIELLES</t>
  </si>
  <si>
    <t>0693446W</t>
  </si>
  <si>
    <t>LYCEE GENERAL CITE SCOLAIRE INTERNATIONALE</t>
  </si>
  <si>
    <t>0693504J</t>
  </si>
  <si>
    <t>LYCEE POLYVALENT FRANCOIS RABELAIS</t>
  </si>
  <si>
    <t>DARDILLY</t>
  </si>
  <si>
    <t>0693619J</t>
  </si>
  <si>
    <t>LYCEE GENERAL ET TECHNOLOGIQUE ROBERT DOISNEAU</t>
  </si>
  <si>
    <t>VAULX EN VELIN</t>
  </si>
  <si>
    <t>0694086S</t>
  </si>
  <si>
    <t>LYCEE GENERAL ET TECHNOLOGIQUE PRIVE AL KINDI</t>
  </si>
  <si>
    <t>HAUTE-SAONE</t>
  </si>
  <si>
    <t>0700905D</t>
  </si>
  <si>
    <t>LYCEE POLYVALENT EDOUARD BELIN LYCEE DES METIERS DE L INGENIERIE NUMERIQUE</t>
  </si>
  <si>
    <t>VESOUL</t>
  </si>
  <si>
    <t>SAONE-ET-LOIRE</t>
  </si>
  <si>
    <t>0710001R</t>
  </si>
  <si>
    <t>LYCEE POLYVALENT BONAPARTE</t>
  </si>
  <si>
    <t>AUTUN</t>
  </si>
  <si>
    <t>0710042K</t>
  </si>
  <si>
    <t>LYCEE POLYVALENT HENRI VINCENOT</t>
  </si>
  <si>
    <t>LOUHANS</t>
  </si>
  <si>
    <t>SARTHE</t>
  </si>
  <si>
    <t>0720003M</t>
  </si>
  <si>
    <t>LYCEE PROFESSIONNEL CLAUDE CHAPPE LYCEE DES METIERS DE LA MAINTENANCE DE L ELECTROTECHNIQUE ET DES STRUCTURES METALLIQUES</t>
  </si>
  <si>
    <t>ARNAGE</t>
  </si>
  <si>
    <t>0720030S</t>
  </si>
  <si>
    <t>LYCEE GENERAL BELLEVUE</t>
  </si>
  <si>
    <t>LE MANS</t>
  </si>
  <si>
    <t>SAVOIE</t>
  </si>
  <si>
    <t>0730012S</t>
  </si>
  <si>
    <t>LYCEE PROFESSIONNEL HOTELIER LYCEE DES METIERS DE L HOTELLERIE RESTAURATION ET COMMERCIALISATION</t>
  </si>
  <si>
    <t>CHALLES LES EAUX</t>
  </si>
  <si>
    <t>0730016W</t>
  </si>
  <si>
    <t>LYCEE POLYVALENT MONGE LYCEE DES METIERS DE LA CREATION INDUSTRIELLE</t>
  </si>
  <si>
    <t>CHAMBERY</t>
  </si>
  <si>
    <t>0730759D</t>
  </si>
  <si>
    <t>LYCEE GENERAL PRIVE TALMUDIQUE</t>
  </si>
  <si>
    <t>AIX LES BAINS</t>
  </si>
  <si>
    <t>0730774V</t>
  </si>
  <si>
    <t>LYCEE PROFESSIONNEL PRIVE SAINTE ANNE SAVOISIENNE</t>
  </si>
  <si>
    <t>LA MOTTE SERVOLEX</t>
  </si>
  <si>
    <t>0730776X</t>
  </si>
  <si>
    <t>LYCEE PROFESSIONNEL PRIVE SAINTE GENEVIEVE LYCEE DES METIERS DU COMMERCE DE LA GESTION ADMINISTRATIVE ET COMPTABLE</t>
  </si>
  <si>
    <t>HAUTE SAVOIE</t>
  </si>
  <si>
    <t>0740006E</t>
  </si>
  <si>
    <t>LYCEE POLYVALENT LOUIS LACHENAL LYCEE DES METIERS DU BATIMENT ET DE L INDUSTRIE</t>
  </si>
  <si>
    <t>ARGONAY</t>
  </si>
  <si>
    <t>0740013M</t>
  </si>
  <si>
    <t>LYCEE POLYVALENT GUILLAUME FICHET LYCEE DES METIERS DU COMMERCE ET DES ACTIVITES ADMINISTRATIVES</t>
  </si>
  <si>
    <t>BONNEVILLE</t>
  </si>
  <si>
    <t>0740046Y</t>
  </si>
  <si>
    <t>LYCEE GENERAL ET TECHNOLOGIQUE LA VERSOIE</t>
  </si>
  <si>
    <t>THONON LES BAINS</t>
  </si>
  <si>
    <t>0740097D</t>
  </si>
  <si>
    <t>LYCEE GENERAL PRIVE LA PRESENTATION DE MARIE</t>
  </si>
  <si>
    <t>SAINT JULIEN EN GENEVOIS</t>
  </si>
  <si>
    <t>0740104L</t>
  </si>
  <si>
    <t>LYCEE GENERAL PRIVE SAINT FRANCOIS</t>
  </si>
  <si>
    <t>VILLE LA GRAND</t>
  </si>
  <si>
    <t>0740144E</t>
  </si>
  <si>
    <t>LYCEE PROFESSIONNEL PRIVE SAINT VINCENT</t>
  </si>
  <si>
    <t>COLLONGES SOUS SALEVE</t>
  </si>
  <si>
    <t>0741164N</t>
  </si>
  <si>
    <t>LYCEE PROFESSIONNEL TOM MOREL LYCEE DES METIERS DE L ACCUEIL LA VENTE ET LA GESTION</t>
  </si>
  <si>
    <t>ANNECY</t>
  </si>
  <si>
    <t>PARIS</t>
  </si>
  <si>
    <t>0750428H</t>
  </si>
  <si>
    <t>LYCEE POLYVALENT JACQUES MONOD LYCEE DES METIERS DES CARRIERES SANITAIRES ET SOCIALES</t>
  </si>
  <si>
    <t>PARIS 5E ARRONDISSEMENT</t>
  </si>
  <si>
    <t>0750652B</t>
  </si>
  <si>
    <t>PARIS 4E ARRONDISSEMENT</t>
  </si>
  <si>
    <t>0750662M</t>
  </si>
  <si>
    <t>LYCEE GENERAL VICTOR DURUY</t>
  </si>
  <si>
    <t>PARIS 7E ARRONDISSEMENT</t>
  </si>
  <si>
    <t>0750664P</t>
  </si>
  <si>
    <t>LYCEE GENERAL ET TECHNOLOGIQUE RACINE</t>
  </si>
  <si>
    <t>PARIS 8E ARRONDISSEMENT</t>
  </si>
  <si>
    <t>0750667T</t>
  </si>
  <si>
    <t>LYCEE GENERAL CONDORCET</t>
  </si>
  <si>
    <t>PARIS 9E ARRONDISSEMENT</t>
  </si>
  <si>
    <t>0750670W</t>
  </si>
  <si>
    <t>LYCEE GENERAL LAMARTINE</t>
  </si>
  <si>
    <t>0750673Z</t>
  </si>
  <si>
    <t>LYCEE GENERAL COLBERT</t>
  </si>
  <si>
    <t>PARIS 10E ARRONDISSEMENT</t>
  </si>
  <si>
    <t>0750688R</t>
  </si>
  <si>
    <t>LYCEE GENERAL ET TECHNOLOGIQUE RABELAIS</t>
  </si>
  <si>
    <t>PARIS 18E ARRONDISSEMENT</t>
  </si>
  <si>
    <t>0750698B</t>
  </si>
  <si>
    <t>LYCEE GENERAL ET TECHNOLOGIQUE CLAUDE BERNARD</t>
  </si>
  <si>
    <t>PARIS 16E ARRONDISSEMENT</t>
  </si>
  <si>
    <t>0750704H</t>
  </si>
  <si>
    <t>LYCEE GENERAL CARNOT</t>
  </si>
  <si>
    <t>PARIS 17E ARRONDISSEMENT</t>
  </si>
  <si>
    <t>0750711R</t>
  </si>
  <si>
    <t>PARIS 19E ARRONDISSEMENT</t>
  </si>
  <si>
    <t>0750770E</t>
  </si>
  <si>
    <t>LYCEE PROFESSIONNEL ABBE GREGOIRE</t>
  </si>
  <si>
    <t>PARIS 3E ARRONDISSEMENT</t>
  </si>
  <si>
    <t>0750787Y</t>
  </si>
  <si>
    <t>LYCEE PROFESSIONNEL CORVISART ARTS GRAPHIQUES</t>
  </si>
  <si>
    <t>PARIS 13E ARRONDISSEMENT</t>
  </si>
  <si>
    <t>0750796H</t>
  </si>
  <si>
    <t>LYCEE PROFESSIONNEL OCTAVE FEUILET LYCEE DES METIERS DE LA MODE</t>
  </si>
  <si>
    <t>0750800M</t>
  </si>
  <si>
    <t>LYCEE PROFESSIONNEL EDMOND ROSTAND</t>
  </si>
  <si>
    <t>0752937K</t>
  </si>
  <si>
    <t>ECOLE INTERNATIONALE BILINGUE SECTION ETOILE</t>
  </si>
  <si>
    <t>0753231E</t>
  </si>
  <si>
    <t>LYCEE GENERAL ET TECHNOLOGIQUE PRIVE SINAI</t>
  </si>
  <si>
    <t>0753384W</t>
  </si>
  <si>
    <t>LYCEE PRIVE BETH YACOV</t>
  </si>
  <si>
    <t>PARIS 20E ARRONDISSEMENT</t>
  </si>
  <si>
    <t>0753824Z</t>
  </si>
  <si>
    <t>LYCEE GENERAL PRIVE MASSILLON</t>
  </si>
  <si>
    <t>0753827C</t>
  </si>
  <si>
    <t>LYCEE GENERAL PRIVE LOUISE DE MARILLAC</t>
  </si>
  <si>
    <t>0753838P</t>
  </si>
  <si>
    <t>LYCEE PRIVE SAINT SULPICE</t>
  </si>
  <si>
    <t>PARIS 6E ARRONDISSEMENT</t>
  </si>
  <si>
    <t>0753897D</t>
  </si>
  <si>
    <t>LYCEE GENERAL PRIVE SAINT MICHEL DE PICPUS</t>
  </si>
  <si>
    <t>PARIS 12E ARRONDISSEMENT</t>
  </si>
  <si>
    <t>0753915Y</t>
  </si>
  <si>
    <t>LYCEE GENERAL PRIVE BLOMET</t>
  </si>
  <si>
    <t>PARIS 15E ARRONDISSEMENT</t>
  </si>
  <si>
    <t>0753933T</t>
  </si>
  <si>
    <t>LYCEE PRIVE SAINT LOUIS DE GONZAGUE</t>
  </si>
  <si>
    <t>0753935V</t>
  </si>
  <si>
    <t>LYCEE GENERAL PRIVE GEORGES LEVEN</t>
  </si>
  <si>
    <t>SEINE MARITIME</t>
  </si>
  <si>
    <t>0760029U</t>
  </si>
  <si>
    <t>LYCEE GENERAL ET TECHNOLOGIQUE ANDRE MAUROIS</t>
  </si>
  <si>
    <t>ELBEUF</t>
  </si>
  <si>
    <t>0760035A</t>
  </si>
  <si>
    <t>LYCEE GENERAL ET TECHNOLOGIQUE GUY DE MAUPASSANT</t>
  </si>
  <si>
    <t>FECAMP</t>
  </si>
  <si>
    <t>0760054W</t>
  </si>
  <si>
    <t>LYCEE POLYVALENT PORTE OCEANE</t>
  </si>
  <si>
    <t>LE HAVRE</t>
  </si>
  <si>
    <t>0760076V</t>
  </si>
  <si>
    <t>LYCEE GENERAL ET TECHNOLOGIQUE JEAN PREVOST</t>
  </si>
  <si>
    <t>MONTIVILLIERS</t>
  </si>
  <si>
    <t>0760087G</t>
  </si>
  <si>
    <t>LYCEE PROFESSIONNEL COLBERT LYCEE DES METIERS DE LA PLASTURGIE ET DE LA FONDERIE</t>
  </si>
  <si>
    <t>LE PETIT QUEVILLY</t>
  </si>
  <si>
    <t>0761343X</t>
  </si>
  <si>
    <t>LYCEE POLYVALENT PRIVE LA CHATAIGNERAIE</t>
  </si>
  <si>
    <t>LE MESNIL ESNARD</t>
  </si>
  <si>
    <t>0761347B</t>
  </si>
  <si>
    <t>LYCEE PROFESSIONNEL PRIVE NOTRE DAME</t>
  </si>
  <si>
    <t>0761707T</t>
  </si>
  <si>
    <t>LYCEE GENERAL PRIVE LA PROVIDENCE</t>
  </si>
  <si>
    <t>DIEPPE</t>
  </si>
  <si>
    <t>0761713Z</t>
  </si>
  <si>
    <t>LYCEE GENERAL ET TECHNOLOGIQUE PRIVE LA PROVIDENCE</t>
  </si>
  <si>
    <t>0761715B</t>
  </si>
  <si>
    <t>LYCEE GENERAL PRIVE JEAN BAPTISTE DE LA SALLE</t>
  </si>
  <si>
    <t>ROUEN</t>
  </si>
  <si>
    <t>0762880T</t>
  </si>
  <si>
    <t>LYCEE POLYVALENT RAYMOND QUENEAU</t>
  </si>
  <si>
    <t>YVETOT</t>
  </si>
  <si>
    <t>0762964J</t>
  </si>
  <si>
    <t>LYCEE POLYVALENT LE CORBUSIER LYCEE DES METIERS DU BATIMENT DES TRAVAUX PUBLICS DE L ENERGIE ET DE LA DOMOTIQUE</t>
  </si>
  <si>
    <t>SAINT ETIENNE DU ROUVRAY</t>
  </si>
  <si>
    <t>0763409T</t>
  </si>
  <si>
    <t>LYCEE GENERAL ET TECHNOLOGIQUE JEAN PAUL II</t>
  </si>
  <si>
    <t>0763500S</t>
  </si>
  <si>
    <t>LYCEE POLYVALENT PRIVE SAINT VINCENT DE PAUL LYCEE DES METIERS DE L IMAGE</t>
  </si>
  <si>
    <t>CRETEIL</t>
  </si>
  <si>
    <t>SEINE-ET-MARNE</t>
  </si>
  <si>
    <t>0770922J</t>
  </si>
  <si>
    <t>LYCEE GENERAL ET TECHNOLOGIQUE GASTON BACHELARD</t>
  </si>
  <si>
    <t>CHELLES</t>
  </si>
  <si>
    <t>0770934X</t>
  </si>
  <si>
    <t>LYCEE POLYVALENT LEONARD DE VINCI LYCEE DES METIERS COMPTABILITE ET L INFORMATIQUE LYCEE DES METIERS INGENIERIE MECANIQUE ET ELECTROTECHNIQUE</t>
  </si>
  <si>
    <t>MELUN</t>
  </si>
  <si>
    <t>0771200L</t>
  </si>
  <si>
    <t>LYCEE GENERAL ET TECHNOLOGIQUE PRIVE BLANCHE DE CASTILLE</t>
  </si>
  <si>
    <t>FONTAINEBLEAU</t>
  </si>
  <si>
    <t>0771763Y</t>
  </si>
  <si>
    <t>LYCEE GENERAL ET TECHNOLOGIQUE CHARLES LE CHAUVE</t>
  </si>
  <si>
    <t>ROISSY EN BRIE</t>
  </si>
  <si>
    <t>0771996B</t>
  </si>
  <si>
    <t>LYCEE POLYVALENT HONORE DE BALZAC</t>
  </si>
  <si>
    <t>MITRY MORY</t>
  </si>
  <si>
    <t>0772223Y</t>
  </si>
  <si>
    <t>LYCEE POLYVALENT RENE DESCARTES</t>
  </si>
  <si>
    <t>CHAMPS SUR MARNE</t>
  </si>
  <si>
    <t>0772230F</t>
  </si>
  <si>
    <t>LYCEE POLYVALENT BLAISE PASCAL</t>
  </si>
  <si>
    <t>BRIE COMTE ROBERT</t>
  </si>
  <si>
    <t>0772276F</t>
  </si>
  <si>
    <t>LYCEE POLYVALENT JEHAN DE CHELLES LYCEE DES METIERS DE LA SANTE ET DU SOCIAL</t>
  </si>
  <si>
    <t>0772292Y</t>
  </si>
  <si>
    <t>LYCEE POLYVALENT MARTIN LUTHER KING</t>
  </si>
  <si>
    <t>BUSSY SAINT GEORGES</t>
  </si>
  <si>
    <t>0772295B</t>
  </si>
  <si>
    <t>LYCEE POLYVALENT LA TOUR DES DAMES</t>
  </si>
  <si>
    <t>ROZAY EN BRIE</t>
  </si>
  <si>
    <t>0772688D</t>
  </si>
  <si>
    <t>LYCEE POLYVALENT EMILIE DU CHATELET LYCEE DES METIERS DE L HOTELLERIE ET DE LA RESTAURATION</t>
  </si>
  <si>
    <t>SERRIS</t>
  </si>
  <si>
    <t>VERSAILLES</t>
  </si>
  <si>
    <t>YVELINES</t>
  </si>
  <si>
    <t>0780273Y</t>
  </si>
  <si>
    <t>LYCEE PROFESSIONNEL LOUIS BLERIOT LYCEE DES METIERS DES SERVICES AUX ENTREPRISES AUX COLLECTIVITES ET AUX PERSONNES</t>
  </si>
  <si>
    <t>TRAPPES</t>
  </si>
  <si>
    <t>0780515L</t>
  </si>
  <si>
    <t>LYCEE GENERAL ET TECHNOLOGIQUE LES SEPT MARES</t>
  </si>
  <si>
    <t>MAUREPAS</t>
  </si>
  <si>
    <t>0781512V</t>
  </si>
  <si>
    <t>LYCEE GENERAL ET TECHNOLOGIQUE DESCARTES</t>
  </si>
  <si>
    <t>MONTIGNY LE BRETONNEUX</t>
  </si>
  <si>
    <t>0781581V</t>
  </si>
  <si>
    <t>LYCEE PROFESSIONNEL PRIVE SAINT THOMAS</t>
  </si>
  <si>
    <t>SAINT GERMAIN EN LAYE</t>
  </si>
  <si>
    <t>0781845G</t>
  </si>
  <si>
    <t>LYCEE GENERAL ET TECHNOLOGIQUE JULES FERRY</t>
  </si>
  <si>
    <t>CONFLANS SAINTE HONORINE</t>
  </si>
  <si>
    <t>0781899R</t>
  </si>
  <si>
    <t>LYCEE GENERAL ET TECHNOLOGIQUE PRIVE SAINT FRANCOIS D ASSISE</t>
  </si>
  <si>
    <t>0781948U</t>
  </si>
  <si>
    <t>LYCEE POLYVALENT ANTOINE LAVOISIER</t>
  </si>
  <si>
    <t>PORCHEVILLE</t>
  </si>
  <si>
    <t>0781951X</t>
  </si>
  <si>
    <t>LYCEE POLYVALENT SEDAR SENGHOR</t>
  </si>
  <si>
    <t>MAGNANVILLE</t>
  </si>
  <si>
    <t>0782546U</t>
  </si>
  <si>
    <t>LYCEE GENERAL ET TECHNOLOGIQUE LE CORBUSIER</t>
  </si>
  <si>
    <t>POISSY</t>
  </si>
  <si>
    <t>0782565P</t>
  </si>
  <si>
    <t>LYCEE POLYVALENT JULES FERRY</t>
  </si>
  <si>
    <t>0782567S</t>
  </si>
  <si>
    <t>0782822U</t>
  </si>
  <si>
    <t>LYCEE POLYVALENT PIERRE CORNEILLE LYCEE DES METIERS DE LA VENTE ET DES SERVICES AUX ENTREPRISES</t>
  </si>
  <si>
    <t>LA CELLE SAINT CLOUD</t>
  </si>
  <si>
    <t>0783140P</t>
  </si>
  <si>
    <t>LYCEE GENERAL ET TECHNOLOGIQUE MANSART</t>
  </si>
  <si>
    <t>SAINT CYR L ECOLE</t>
  </si>
  <si>
    <t>0783344L</t>
  </si>
  <si>
    <t>LYCEE GENERAL ET TECHNOLOGIQUE PRIVE NOTRE DAME</t>
  </si>
  <si>
    <t>VERNEUIL SUR SEINE</t>
  </si>
  <si>
    <t>0783533S</t>
  </si>
  <si>
    <t>LYCEE POLYVALENT CAMILLE CLAUDEL LYCEE DES METIERS DE L HOTELLERIE DE LA RESTAURATION ET DU COMMERCE</t>
  </si>
  <si>
    <t>MANTES LA VILLE</t>
  </si>
  <si>
    <t>DEUX-SEVRES</t>
  </si>
  <si>
    <t>0790024X</t>
  </si>
  <si>
    <t>LYCEE GENERAL ET TECHNOLOGIQUE PAUL GUERIN</t>
  </si>
  <si>
    <t>NIORT</t>
  </si>
  <si>
    <t>0790058J</t>
  </si>
  <si>
    <t>THOUARS</t>
  </si>
  <si>
    <t>0790078F</t>
  </si>
  <si>
    <t>LYCEE POLYVALENT PRIVE SAINT ANDRE</t>
  </si>
  <si>
    <t>0791029P</t>
  </si>
  <si>
    <t>LYCEE PROFESSIONNEL LEONARD DE VINCI</t>
  </si>
  <si>
    <t>BRESSUIRE</t>
  </si>
  <si>
    <t>0791062A</t>
  </si>
  <si>
    <t>LYCEE GENERAL ET TECHNOLOGIQUE VENISE VERTE</t>
  </si>
  <si>
    <t>SOMME</t>
  </si>
  <si>
    <t>0800013E</t>
  </si>
  <si>
    <t>LYCEE PROFESSIONNEL DE L ACHEULEEN LYCEE DES METIERS DU BATIMENT</t>
  </si>
  <si>
    <t>0801226Y</t>
  </si>
  <si>
    <t>LYCEE GENERAL ET TECHNOLOGIQUE PRIVE SACRE COEUR</t>
  </si>
  <si>
    <t>PERONNE</t>
  </si>
  <si>
    <t>0801231D</t>
  </si>
  <si>
    <t>LYCEE PROFESSIONNEL PRIVE HENRY POTEZ</t>
  </si>
  <si>
    <t>MEAULTE</t>
  </si>
  <si>
    <t>0801700N</t>
  </si>
  <si>
    <t>LYCEE GENERAL ET TECHNOLOGIQUE JEAN BAPTISTE DELAMBRE</t>
  </si>
  <si>
    <t>0801742J</t>
  </si>
  <si>
    <t>LYCEE D ENSEIGNEMENT GENERAL ET TECHNOLOGIQUE PRIVE LA PROVIDENCE</t>
  </si>
  <si>
    <t>0801874C</t>
  </si>
  <si>
    <t>LYCEE GENERAL ET TECHNOLOGIQUE PRIVE SAINT RIQUIER</t>
  </si>
  <si>
    <t>TARN</t>
  </si>
  <si>
    <t>0810003N</t>
  </si>
  <si>
    <t>LYCEE PROFESSIONNEL TOULOUSE LAUTREC LYCEE DES METIERS DES SERVICES A LA PERSONNE ET A L ENTREPRISE</t>
  </si>
  <si>
    <t>ALBI</t>
  </si>
  <si>
    <t>0810004P</t>
  </si>
  <si>
    <t>LYCEE POLYVALENT LOUIS RASCOL</t>
  </si>
  <si>
    <t>0810068J</t>
  </si>
  <si>
    <t>LYCEE GENERAL ET TECHNOLOGIQUE PRIVE D AMBOISE</t>
  </si>
  <si>
    <t>0810103X</t>
  </si>
  <si>
    <t>CASTRES</t>
  </si>
  <si>
    <t>0811070Y</t>
  </si>
  <si>
    <t>LYCEE PROFESSIONNEL PRIVE SAINTE CECILE</t>
  </si>
  <si>
    <t>0811324Z</t>
  </si>
  <si>
    <t>LYCEE PROFESSIONNEL MARIE ANTOINETTE RIESS</t>
  </si>
  <si>
    <t>MAZAMET</t>
  </si>
  <si>
    <t>TARN-ET-GARONNE</t>
  </si>
  <si>
    <t>0820016X</t>
  </si>
  <si>
    <t>LYCEE GENERAL FRANCOIS MITTERRAND</t>
  </si>
  <si>
    <t>MOISSAC</t>
  </si>
  <si>
    <t>0820883P</t>
  </si>
  <si>
    <t>LYCEE POLYVALENT CLAUDE NOUGARO</t>
  </si>
  <si>
    <t>MONTEILS</t>
  </si>
  <si>
    <t>0820885S</t>
  </si>
  <si>
    <t>LYCEE PROFESSIONNEL PRIVE DE COIFFURE SKHOLE D ART</t>
  </si>
  <si>
    <t>MONTAUBAN</t>
  </si>
  <si>
    <t>0820917B</t>
  </si>
  <si>
    <t>LYCEE POLYVALENT OLYMPE DE GOUGES</t>
  </si>
  <si>
    <t>MONTECH</t>
  </si>
  <si>
    <t>VAR</t>
  </si>
  <si>
    <t>0830015R</t>
  </si>
  <si>
    <t>DRAGUIGNAN</t>
  </si>
  <si>
    <t>0830042V</t>
  </si>
  <si>
    <t>SAINT RAPHAËL</t>
  </si>
  <si>
    <t>0830050D</t>
  </si>
  <si>
    <t>LYCEE GENERAL ET TECHNOLOGIQUE BEAUSSIER</t>
  </si>
  <si>
    <t>LA SEYNE SUR MER</t>
  </si>
  <si>
    <t>0830058M</t>
  </si>
  <si>
    <t>LYCEE PROFESSIONNEL GEORGES CISSON LYCEE DES METIERS DE L AUTOMOBILE ET DE L ELECTRICITE</t>
  </si>
  <si>
    <t>TOULON</t>
  </si>
  <si>
    <t>0830661T</t>
  </si>
  <si>
    <t>LYCEE PROFESSIONNEL CLARET LYCEE DES METIERS DU TERTIAIRE</t>
  </si>
  <si>
    <t>0830923C</t>
  </si>
  <si>
    <t>LYCEE POLYVALENT PAUL LANGEVIN LYCEE DES METIERS DE L INDUSTRIE</t>
  </si>
  <si>
    <t>0830960T</t>
  </si>
  <si>
    <t>LYCEE PROFESSIONNEL GALLIENI LYCEE DES METIERS DE LA CONDUITE DU TRANSPORT ET DE LA LOGISTIQUE</t>
  </si>
  <si>
    <t>FREJUS</t>
  </si>
  <si>
    <t>0831354W</t>
  </si>
  <si>
    <t>LYCEE PROFESSIONNEL LA COUDOULIERE</t>
  </si>
  <si>
    <t>SIX FOURS LES PLAGES</t>
  </si>
  <si>
    <t>0831453D</t>
  </si>
  <si>
    <t>LYCEE POLYVALENT REGIONAL ANNE SOPHIE PIC LYCEE DES METIERS DE L HOTELLERIE ET DU TOURISME</t>
  </si>
  <si>
    <t>0831559U</t>
  </si>
  <si>
    <t>LYCEE POLYVALENT MAURICE JANETTI</t>
  </si>
  <si>
    <t>SAINT MAXIMIN LA SAINTE BAUME</t>
  </si>
  <si>
    <t>VAUCLUSE</t>
  </si>
  <si>
    <t>0840059H</t>
  </si>
  <si>
    <t>LYCEE GENERAL ET TECHNOLOGIQUE PRIVE LOUIS PASTEUR</t>
  </si>
  <si>
    <t>AVIGNON</t>
  </si>
  <si>
    <t>VENDEE</t>
  </si>
  <si>
    <t>0850016F</t>
  </si>
  <si>
    <t>LYCEE POLYVALENT ATLANTIQUE</t>
  </si>
  <si>
    <t>LUCON</t>
  </si>
  <si>
    <t>0850033Z</t>
  </si>
  <si>
    <t>LYCEE PROFESSIONNEL ERIC TABARLY LYCEE DES METIERS DU NAUTISME DE L AUTOMOBILE ET DE L INDUSTRIE</t>
  </si>
  <si>
    <t>LES SABLES D OLONNE</t>
  </si>
  <si>
    <t>0850076W</t>
  </si>
  <si>
    <t>LYCEE GENERAL ET TECHNOLOGIQUE PRIVE JEAN XXIII</t>
  </si>
  <si>
    <t>LES HERBIERS</t>
  </si>
  <si>
    <t>0850077X</t>
  </si>
  <si>
    <t>LYCEE POLYVALENT PRIVE SAINTE URSULE</t>
  </si>
  <si>
    <t>0850079Z</t>
  </si>
  <si>
    <t>LYCEE GENERAL ET TECHNOLOGIQUE PRIVE NOTRE DAME DE LA TOURTELIERE</t>
  </si>
  <si>
    <t>POUZAUGES</t>
  </si>
  <si>
    <t>0850130E</t>
  </si>
  <si>
    <t>LYCEE POLYVALENT PRIVE NOTRE DAME DU ROC LYCEE DES METIERS DE LA GESTION DU COMMERCE ET DE L ADMINISTRATION</t>
  </si>
  <si>
    <t>LA ROCHE SUR YON</t>
  </si>
  <si>
    <t>0851642Y</t>
  </si>
  <si>
    <t>0860022G</t>
  </si>
  <si>
    <t>LYCEE PROFESSIONNEL MARC GODRIE LYCEE DES METIERS DES ARTS DU GOUT ET DES SERVICES A LA PERSONNE</t>
  </si>
  <si>
    <t>LOUDUN</t>
  </si>
  <si>
    <t>0860028N</t>
  </si>
  <si>
    <t>MONTMORILLON</t>
  </si>
  <si>
    <t>0860034V</t>
  </si>
  <si>
    <t>LYCEE GENERAL ET TECHNOLOGIQUE VICTOR HUGO</t>
  </si>
  <si>
    <t>0861408N</t>
  </si>
  <si>
    <t>LYCEE POLYVALENT KYOTO</t>
  </si>
  <si>
    <t>HAUTE-VIENNE</t>
  </si>
  <si>
    <t>0870097H</t>
  </si>
  <si>
    <t>LYCEE TECHNOLOGIQUE PRIVE INSTITUT D ECONOMIE SOCIALE FAMILIALE</t>
  </si>
  <si>
    <t>0870748R</t>
  </si>
  <si>
    <t>LYCEE PROFESSIONNEL LE MAS JAMBOST LYCEE DES METIERS DES ARTS ET TECHNIQUES</t>
  </si>
  <si>
    <t>0870919B</t>
  </si>
  <si>
    <t>LYCEE PROFESSIONNEL PRIVE SAINT JEAN</t>
  </si>
  <si>
    <t>0871030X</t>
  </si>
  <si>
    <t>LYCEE POLYVALENT JEAN MONNET LYCEE DES METIERS DE L HOTELLERIE RESTAURATION ET DE L ALIMENTATION</t>
  </si>
  <si>
    <t>VOSGES</t>
  </si>
  <si>
    <t>0880021V</t>
  </si>
  <si>
    <t>LYCEE POLYVALENT PIERRE MENDES FRANCE LYCEE DES METIERS DE LA CONCEPTION DE L AUTOMATIQUE ET DE L ENERGIE</t>
  </si>
  <si>
    <t>EPINAL</t>
  </si>
  <si>
    <t>0880040R</t>
  </si>
  <si>
    <t>LYCEE POLYVALENT PIERRE ET MARIE CURIE LYCEE DES METIERS DES ARTS DE L HABITAT ET DE L AMEUBLEMENT</t>
  </si>
  <si>
    <t>NEUFCHATEAU</t>
  </si>
  <si>
    <t>0880064S</t>
  </si>
  <si>
    <t>LYCEE PROFESSIONNEL EMILE GALLE LYCEE DES METIERS D ART ET DES SERVICES A LA PERSONNE</t>
  </si>
  <si>
    <t>CAPAVENIR VOSGES</t>
  </si>
  <si>
    <t>0880133S</t>
  </si>
  <si>
    <t>BRUYERES</t>
  </si>
  <si>
    <t>0881623L</t>
  </si>
  <si>
    <t>LYCEE PROFESSIONNEL PRIVE HORTICULTURE ET PAYSAGE</t>
  </si>
  <si>
    <t>ROVILLE AUX CHENES</t>
  </si>
  <si>
    <t>0881664F</t>
  </si>
  <si>
    <t>LYCEE POLYVALENT JEAN BAPTISTE SIMEON CHARDIN LYCEE DES METIERS DE L HOTELLERIE ET DE LA RESTAURATION</t>
  </si>
  <si>
    <t>GERARDMER</t>
  </si>
  <si>
    <t>YONNE</t>
  </si>
  <si>
    <t>0890005X</t>
  </si>
  <si>
    <t>LYCEE POLYVALENT JEAN JOSEPH FOURIER</t>
  </si>
  <si>
    <t>AUXERRE</t>
  </si>
  <si>
    <t>0890008A</t>
  </si>
  <si>
    <t>LYCEE POLYVALENT DU PARC DES CHAUMES</t>
  </si>
  <si>
    <t>AVALLON</t>
  </si>
  <si>
    <t>0890032B</t>
  </si>
  <si>
    <t>LYCEE POLYVALENT CHEVALIER D EON</t>
  </si>
  <si>
    <t>TONNERRE</t>
  </si>
  <si>
    <t>0890064L</t>
  </si>
  <si>
    <t>0890070T</t>
  </si>
  <si>
    <t>0891223W</t>
  </si>
  <si>
    <t>LYCEE PROFESSIONNEL PRIVE SAINT JACQUES</t>
  </si>
  <si>
    <t>JOIGNY</t>
  </si>
  <si>
    <t>TERRITOIRE DE BELFORT</t>
  </si>
  <si>
    <t>0900003P</t>
  </si>
  <si>
    <t>LYCEE GENERAL ET TECHNOLOGIQUE GUSTAVE COURBET</t>
  </si>
  <si>
    <t>BELFORT</t>
  </si>
  <si>
    <t>0900236T</t>
  </si>
  <si>
    <t>LYCEE PROFESSIONNEL RAOUL FOLLEREAU</t>
  </si>
  <si>
    <t>ESSONNE</t>
  </si>
  <si>
    <t>0910632T</t>
  </si>
  <si>
    <t>LYCEE PROFESSIONNEL GUSTAVE EIFFEL LYCEE DES METIERS DE LA MODE ET DU BATIMENT</t>
  </si>
  <si>
    <t>MASSY</t>
  </si>
  <si>
    <t>0910727W</t>
  </si>
  <si>
    <t>LYCEE POLYVALENT PARC DE VILGENIS LYCEE DES METIERS DE LA MECATRONIQUE DE L INFORMATIQUE ET DES SERVICES AUX ENTREPRISES</t>
  </si>
  <si>
    <t>0910824B</t>
  </si>
  <si>
    <t>LYCEE GENERAL ET TECHNOLOGIQUE PRIVE DU SACRE COEUR</t>
  </si>
  <si>
    <t>LA VILLE DU BOIS</t>
  </si>
  <si>
    <t>0910838S</t>
  </si>
  <si>
    <t>LYCEE POLYVALENT PRIVE BETH RIVKAH</t>
  </si>
  <si>
    <t>YERRES</t>
  </si>
  <si>
    <t>0910975R</t>
  </si>
  <si>
    <t>LYCEE POLYVALENT JEAN PIERRE TIMBAUD</t>
  </si>
  <si>
    <t>BRETIGNY SUR ORGE</t>
  </si>
  <si>
    <t>0911037H</t>
  </si>
  <si>
    <t>LYCEE PROFESSIONNEL ANDRE MARIE AMPERE LYCEE DES METIERS DU NUMERIQUE ET DE LA TRANSITION ENERGETIQUE</t>
  </si>
  <si>
    <t>MORSANG SUR ORGE</t>
  </si>
  <si>
    <t>0911251R</t>
  </si>
  <si>
    <t>LYCEE GENERAL ET TECHNOLOGIQUE PARC DES LOGES</t>
  </si>
  <si>
    <t>EVRY COURCOURONNES</t>
  </si>
  <si>
    <t>0911254U</t>
  </si>
  <si>
    <t>LYCEE POLYVALENT CHARLES BAUDELAIRE LYCEE DES METIERS DE LA RELATION CLIENT DE LA BEAUTE DU SOIN ET DES SERVICES A LA PERSONNE</t>
  </si>
  <si>
    <t>0911961M</t>
  </si>
  <si>
    <t>LYCEE GENERAL ET TECHNOLOGIQUE EDMOND MICHELET</t>
  </si>
  <si>
    <t>ARPAJON</t>
  </si>
  <si>
    <t>0912142J</t>
  </si>
  <si>
    <t>LYCEE POLYVALENT GASPARD MONGE LYCEE DES METIERS DE L AUTOMOBILE ET DE LA LOGISTIQUE</t>
  </si>
  <si>
    <t>SAVIGNY SUR ORGE</t>
  </si>
  <si>
    <t>0912384X</t>
  </si>
  <si>
    <t>LYCEE GENERAL ET TECHNOLOGIQUE JEANNE D ARC</t>
  </si>
  <si>
    <t>HAUTS-DE-SEINE</t>
  </si>
  <si>
    <t>0920135X</t>
  </si>
  <si>
    <t>LYCEE GENERAL ET TECHNOLOGIQUE EMMANUEL MOUNIER</t>
  </si>
  <si>
    <t>CHATENAY MALABRY</t>
  </si>
  <si>
    <t>0920143F</t>
  </si>
  <si>
    <t>LYCEE D ENSEIGNEMENT GENERAL LA FOLIE SAINT JAMES</t>
  </si>
  <si>
    <t>NEUILLY SUR SEINE</t>
  </si>
  <si>
    <t>0920144G</t>
  </si>
  <si>
    <t>LYCEE GENERAL ET TECHNOLOGIQUE L AGORA</t>
  </si>
  <si>
    <t>PUTEAUX</t>
  </si>
  <si>
    <t>0920145H</t>
  </si>
  <si>
    <t>LYCEE GENERAL ET TECHNOLOGIQUE LAKANAL</t>
  </si>
  <si>
    <t>SCEAUX</t>
  </si>
  <si>
    <t>0920146J</t>
  </si>
  <si>
    <t>LYCEE D ENSEIGNEMENT GENERAL MARIE CURIE</t>
  </si>
  <si>
    <t>0920916W</t>
  </si>
  <si>
    <t>LYCEE GENERAL ET TECHNOLOGIQUE PRIVE LA SOURCE</t>
  </si>
  <si>
    <t>MEUDON</t>
  </si>
  <si>
    <t>0920919Z</t>
  </si>
  <si>
    <t>LYCEE GENERAL ET TECHNOLOGIQUE PRIVE NOTRE DAME DE SAINTE CROIX</t>
  </si>
  <si>
    <t>0920921B</t>
  </si>
  <si>
    <t>0920985W</t>
  </si>
  <si>
    <t>LYCEE POLYVALENT PRIVE LA TRINITE</t>
  </si>
  <si>
    <t>0921663H</t>
  </si>
  <si>
    <t>COLOMBES</t>
  </si>
  <si>
    <t>0921932A</t>
  </si>
  <si>
    <t>LYCEE PROFESSIONNEL PRIVE LA SALLE PASSY BUZENVAL</t>
  </si>
  <si>
    <t>RUEIL MALMAISON</t>
  </si>
  <si>
    <t>0922149L</t>
  </si>
  <si>
    <t>LYCEE POLYVALENT AUFFRAY LYCEE DES METIERS DE L HOTELLERIE TOURISME DE LA SANTE ET DU SOCIAL</t>
  </si>
  <si>
    <t>CLICHY</t>
  </si>
  <si>
    <t>0922691A</t>
  </si>
  <si>
    <t>LYCEE D ENSEIGNEMENT GENERAL PRIVE HAUTEFEUILLE</t>
  </si>
  <si>
    <t>BOIS COLOMBES</t>
  </si>
  <si>
    <t>0922867S</t>
  </si>
  <si>
    <t>LYCEE GENERAL ET TECHNOLOGIQUE ECOLE EUROPEENNE DE PARIS LA DEFENSE</t>
  </si>
  <si>
    <t>COURBEVOIE</t>
  </si>
  <si>
    <t>SEINE-SAINT-DENIS</t>
  </si>
  <si>
    <t>0930121B</t>
  </si>
  <si>
    <t>LYCEE ENSEIGNEMENT GENERAL ET TECHNOLOGIQUE JEAN JAURES</t>
  </si>
  <si>
    <t>MONTREUIL</t>
  </si>
  <si>
    <t>0930138V</t>
  </si>
  <si>
    <t>LYCEE PROFESSIONNEL FREDERIC BARTHOLDI</t>
  </si>
  <si>
    <t>SAINT DENIS</t>
  </si>
  <si>
    <t>0930834B</t>
  </si>
  <si>
    <t>LYCEE GENERAL ET TECHNOLOGIQUE VOILLAUME</t>
  </si>
  <si>
    <t>AULNAY SOUS BOIS</t>
  </si>
  <si>
    <t>0930960N</t>
  </si>
  <si>
    <t>LYCEE PROFESSIONNEL PRIVE ORT</t>
  </si>
  <si>
    <t>0930962R</t>
  </si>
  <si>
    <t>LYCEE GENERAL PRIVE CHARLES PEGUY</t>
  </si>
  <si>
    <t>BOBIGNY</t>
  </si>
  <si>
    <t>0930965U</t>
  </si>
  <si>
    <t>LYCEE GENERAL PRIVE HENRI MATISSE</t>
  </si>
  <si>
    <t>0930974D</t>
  </si>
  <si>
    <t>LYCEE GENERAL PRIVE BLANCHE DE CASTILLE</t>
  </si>
  <si>
    <t>VILLEMOMBLE</t>
  </si>
  <si>
    <t>0931024H</t>
  </si>
  <si>
    <t>LYCEE PROFESSIONNEL JEAN PIERRE TIMBAUD</t>
  </si>
  <si>
    <t>AUBERVILLIERS</t>
  </si>
  <si>
    <t>0931272C</t>
  </si>
  <si>
    <t>LYCEE GENERAL ET TECHNOLOGIQUE GUSTAVE EIFFEL</t>
  </si>
  <si>
    <t>GAGNY</t>
  </si>
  <si>
    <t>0931430Z</t>
  </si>
  <si>
    <t>LYCEE GENERAL ET TECHNOLOGIQUE JACQUES BREL</t>
  </si>
  <si>
    <t>LA COURNEUVE</t>
  </si>
  <si>
    <t>0931464L</t>
  </si>
  <si>
    <t>LYCEE GENERAL PRIVE MERKAZ HATORAH GARCONS</t>
  </si>
  <si>
    <t>0931796X</t>
  </si>
  <si>
    <t>LYCEE ENSEIGNEMENT GENERAL ET TECHNOLOGIQUE PRIVE O R T</t>
  </si>
  <si>
    <t>0932031C</t>
  </si>
  <si>
    <t>ROSNY SOUS BOIS</t>
  </si>
  <si>
    <t>0932221J</t>
  </si>
  <si>
    <t>LYCEE POLYVALENT BLAISE PASCAL LYCEE DES METIERS DE LA SANTE ET DE L AIDE A LA PERSONNE</t>
  </si>
  <si>
    <t>0932619S</t>
  </si>
  <si>
    <t>LYCEE GENERAL PRIVE SAINT GERMAIN</t>
  </si>
  <si>
    <t>DRANCY</t>
  </si>
  <si>
    <t>0932653D</t>
  </si>
  <si>
    <t>SAINT JOSEPH LA SALLE</t>
  </si>
  <si>
    <t>PANTIN</t>
  </si>
  <si>
    <t>VAL-DE-MARNE</t>
  </si>
  <si>
    <t>0940113M</t>
  </si>
  <si>
    <t>LYCEE POLYVALENT LANGEVIN WALLON</t>
  </si>
  <si>
    <t>CHAMPIGNY SUR MARNE</t>
  </si>
  <si>
    <t>0940115P</t>
  </si>
  <si>
    <t>LYCEE GENERAL ET TECHNOLOGIQUE ROMAIN ROLLAND</t>
  </si>
  <si>
    <t>IVRY SUR SEINE</t>
  </si>
  <si>
    <t>0940118T</t>
  </si>
  <si>
    <t>LYCEE POLYVALENT L ARMAND LYC MET TELECOMMUNICATIONS RESEAUX INFORMATIQUES ELECTRICITE ET APPLICATIONS CONCEPTION MECANIQUE ASSISTEE PAR ORDINATEUR</t>
  </si>
  <si>
    <t>NOGENT SUR MARNE</t>
  </si>
  <si>
    <t>0940126B</t>
  </si>
  <si>
    <t>LYCEE POLYVALENT MAXIMILIEN PERRET LYCEE DES METIERS DE L ENERGIE ET DU GENIE CLIMATIQUE</t>
  </si>
  <si>
    <t>ALFORTVILLE</t>
  </si>
  <si>
    <t>0940823J</t>
  </si>
  <si>
    <t>LYCEE PROFESSIONNEL PRIVE ROBERT KELLER</t>
  </si>
  <si>
    <t>CACHAN</t>
  </si>
  <si>
    <t>0940853S</t>
  </si>
  <si>
    <t>LYCEE PROFESSIONNEL PRIVE POULLART DES PLACES</t>
  </si>
  <si>
    <t>THIAIS</t>
  </si>
  <si>
    <t>0940880W</t>
  </si>
  <si>
    <t>LYCEE GENERAL PRIVE ALBERT DE MUN</t>
  </si>
  <si>
    <t>0940885B</t>
  </si>
  <si>
    <t>LYCEE GENERAL PRIVE SAINT ANDRE</t>
  </si>
  <si>
    <t>CHOISY LE ROI</t>
  </si>
  <si>
    <t>0941301D</t>
  </si>
  <si>
    <t>LYCEE POLYVALENT FREDERIC MISTRAL</t>
  </si>
  <si>
    <t>FRESNES</t>
  </si>
  <si>
    <t>0941347D</t>
  </si>
  <si>
    <t>LYCEE GENERAL ET TECHNOLOGIQUE PABLO PICASSO</t>
  </si>
  <si>
    <t>FONTENAY SOUS BOIS</t>
  </si>
  <si>
    <t>0941972H</t>
  </si>
  <si>
    <t>LYCEE POLYVALENT FERNAND LEGER LYCEE DES METIERS DE LA MAINTENANCE ET DE L APRES VENTE AUTOMOBILE</t>
  </si>
  <si>
    <t>VAL-D'OISE</t>
  </si>
  <si>
    <t>0950640E</t>
  </si>
  <si>
    <t>LYCEE GENERAL ET TECHNOLOGIQUE JULIE VICTOIRE DAUBIE</t>
  </si>
  <si>
    <t>ARGENTEUIL</t>
  </si>
  <si>
    <t>0950650R</t>
  </si>
  <si>
    <t>LYCEE POLYVALENT JEAN JACQUES ROUSSEAU</t>
  </si>
  <si>
    <t>SARCELLES</t>
  </si>
  <si>
    <t>0950658Z</t>
  </si>
  <si>
    <t>LYCEE PROFESSIONNEL CHATEAU D EPLUCHES LYCEE DES METIERS DE L AUTOMOBILE ET DU TRANSPORT</t>
  </si>
  <si>
    <t>SAINT OUEN L AUMONE</t>
  </si>
  <si>
    <t>0950753C</t>
  </si>
  <si>
    <t>LYCEE GENERAL ET TECHNOLOGIQUE PRIVE NOTRE DAME DE LA PROVIDENCE</t>
  </si>
  <si>
    <t>ENGHIEN LES BAINS</t>
  </si>
  <si>
    <t>0950761L</t>
  </si>
  <si>
    <t>LYCEE POLYVALENT PRIVE NOTRE DAME DE LA COMPASSION</t>
  </si>
  <si>
    <t>PONTOISE</t>
  </si>
  <si>
    <t>0950800D</t>
  </si>
  <si>
    <t>LYCEE PROFESSIONNEL PRIVE DE COGNACQ JAY LYCEE DES METIERS DES SECTEURS ADMINISTRATIFS ET COMMERCIAUX</t>
  </si>
  <si>
    <t>0950947N</t>
  </si>
  <si>
    <t>LYCEE POLYVALENT DE LA TOURELLE</t>
  </si>
  <si>
    <t>0951221L</t>
  </si>
  <si>
    <t>LYCEE POLYVALENT PRIVE VAUBAN</t>
  </si>
  <si>
    <t>0951637N</t>
  </si>
  <si>
    <t>LYCEE GENERAL ET TECHNOLOGIQUE GALILEE</t>
  </si>
  <si>
    <t>CERGY</t>
  </si>
  <si>
    <t>0951710T</t>
  </si>
  <si>
    <t>LYCEE POLYVALENT CAMILLE CLAUDEL LYCEE DES METIERS DES ARTS ET DU DESIGN</t>
  </si>
  <si>
    <t>VAUREAL</t>
  </si>
  <si>
    <t>0951787B</t>
  </si>
  <si>
    <t>LYCEE POLYVALENT ARTHUR RIMBAUD LYCEE DE METIERS DE L AUTOMOBILE DU COMMERCE ET DE LA LOGISTIQUE</t>
  </si>
  <si>
    <t>GARGES LES GONESSE</t>
  </si>
  <si>
    <t>0951922Y</t>
  </si>
  <si>
    <t>LYCEE GENERAL ET TECHNOLOGIQUE CAMILLE SAINT SAËNS</t>
  </si>
  <si>
    <t>DEUIL LA BARRE</t>
  </si>
  <si>
    <t>0952126V</t>
  </si>
  <si>
    <t>LYCEE D ENSEIGNEMENT GENERAL PRIVE REUSSITE EDUCATIVE VALEURS ET EPANOUISSEMENT</t>
  </si>
  <si>
    <t>MONTMAGNY</t>
  </si>
  <si>
    <t>CORSE</t>
  </si>
  <si>
    <t>02A</t>
  </si>
  <si>
    <t>CORSE-DU-SUD</t>
  </si>
  <si>
    <t>6200004K</t>
  </si>
  <si>
    <t>LYCEE PROFESSIONNEL FINOSELLO AJACCIO</t>
  </si>
  <si>
    <t>2A004</t>
  </si>
  <si>
    <t>AJACCIO</t>
  </si>
  <si>
    <t>6200063Z</t>
  </si>
  <si>
    <t>LYCEE POLYVALENT JEAN PAUL DE ROCCA SERRA PORTO VECCHIO</t>
  </si>
  <si>
    <t>2A247</t>
  </si>
  <si>
    <t>PORTO VECCHIO</t>
  </si>
  <si>
    <t>02B</t>
  </si>
  <si>
    <t>HAUTE-CORSE</t>
  </si>
  <si>
    <t>7200011Z</t>
  </si>
  <si>
    <t>LYCEE PROFESSIONNEL FRED SCAMARONI BASTIA</t>
  </si>
  <si>
    <t>2B033</t>
  </si>
  <si>
    <t>BASTIA</t>
  </si>
  <si>
    <t>7200021K</t>
  </si>
  <si>
    <t>LYCEE GENERAL ET TECHNOLOGIQUE PASCAL PAOLI CORTE</t>
  </si>
  <si>
    <t>2B096</t>
  </si>
  <si>
    <t>CORTE</t>
  </si>
  <si>
    <t>7200719U</t>
  </si>
  <si>
    <t>LYCEE POLYVALENT DU FIUM ORBU</t>
  </si>
  <si>
    <t>2B251</t>
  </si>
  <si>
    <t>PRUNELLI DI FIUMORBO</t>
  </si>
  <si>
    <t>GUADELOUPE</t>
  </si>
  <si>
    <t>9710055H</t>
  </si>
  <si>
    <t>LYCEE POLYVALENT PRIVE PENSIONNAT DE VERSAILLES</t>
  </si>
  <si>
    <t>BASSE TERRE</t>
  </si>
  <si>
    <t>9710067W</t>
  </si>
  <si>
    <t>LYCEE PROFESSIONNEL PRIVE BLANCHET</t>
  </si>
  <si>
    <t>GOURBEYRE</t>
  </si>
  <si>
    <t>9710090W</t>
  </si>
  <si>
    <t>LYCEE PROFESSIONNEL BERTENE JUMINER LYCEE DES METIERS DE L HABITAT ET DES SERVICES ASSOCIES</t>
  </si>
  <si>
    <t>LAMENTIN</t>
  </si>
  <si>
    <t>9710722H</t>
  </si>
  <si>
    <t>LYCEE POLYVALENT CARNOT</t>
  </si>
  <si>
    <t>POINTE A PITRE</t>
  </si>
  <si>
    <t>9710922A</t>
  </si>
  <si>
    <t>LGT YVES LEBORGNE (EX LGT POIRIER DE GISSAC)</t>
  </si>
  <si>
    <t>SAINTE ANNE</t>
  </si>
  <si>
    <t>9710981P</t>
  </si>
  <si>
    <t>LYCEE PROFESSIONNEL DANIELLA JEFFRY</t>
  </si>
  <si>
    <t>SAINT MARTIN</t>
  </si>
  <si>
    <t>9710991A</t>
  </si>
  <si>
    <t>LYCEE GENERAL ET TECHNOLOGIQUE PRIVE LES PERSEVERANTS</t>
  </si>
  <si>
    <t>9711066G</t>
  </si>
  <si>
    <t>LYCEE POLYVALENT HOTELIER DU GOSIER LYCEE DES METIERS DE L HOTELLERIE ET DU TOURISME ARCHIPEL GUADELOUPE</t>
  </si>
  <si>
    <t>LE GOSIER</t>
  </si>
  <si>
    <t>MARTINIQUE</t>
  </si>
  <si>
    <t>9720070U</t>
  </si>
  <si>
    <t>LYCEE GENERAL ET TECHNOLOGIQUE PRIVE LYCEE DE L UNION</t>
  </si>
  <si>
    <t>FORT DE FRANCE</t>
  </si>
  <si>
    <t>9720091S</t>
  </si>
  <si>
    <t>LYCEE PROFESSIONNEL LEOPOLD BISSOL LYCEE DES METIERS DE LA CONSTRUCTION ET DE L HABITAT</t>
  </si>
  <si>
    <t>LE LAMENTIN</t>
  </si>
  <si>
    <t>9720430K</t>
  </si>
  <si>
    <t>LYCEE PROFESSIONNEL</t>
  </si>
  <si>
    <t>LA TRINITE</t>
  </si>
  <si>
    <t>9720726G</t>
  </si>
  <si>
    <t>LYCEE POLYVALENT JOSEPH PERNOCK</t>
  </si>
  <si>
    <t>LE LORRAIN</t>
  </si>
  <si>
    <t>9720727H</t>
  </si>
  <si>
    <t>LYCEE GENERAL ET TECHNOLOGIQUE MONTGERALD</t>
  </si>
  <si>
    <t>LE MARIN</t>
  </si>
  <si>
    <t>9720823M</t>
  </si>
  <si>
    <t>LYCEE POLYVALENT DU NORD CARAIBE</t>
  </si>
  <si>
    <t>BELLEFONTAINE</t>
  </si>
  <si>
    <t>9720888H</t>
  </si>
  <si>
    <t>LYCEE POLYVALENT (LYCEE DU NUMERIQUE DU DESIGN ET DES ARTS APPLIQUES VICTOR ANICET (EX SAINT JAMES)</t>
  </si>
  <si>
    <t>SAINT PIERRE</t>
  </si>
  <si>
    <t>GUYANE</t>
  </si>
  <si>
    <t>9730108E</t>
  </si>
  <si>
    <t>LYCEE GENERAL ET TECHNOLOGIQUE GASTON MONNERVILLE</t>
  </si>
  <si>
    <t>KOUROU</t>
  </si>
  <si>
    <t>9730196A</t>
  </si>
  <si>
    <t>LYCEE GENERAL ET TECHNOLOGIQUE LEON GONTRAN DAMAS</t>
  </si>
  <si>
    <t>REMIRE MONTJOLY</t>
  </si>
  <si>
    <t>9730308X</t>
  </si>
  <si>
    <t>LYCEE POLYVALENT ELIE CASTOR</t>
  </si>
  <si>
    <t>9730309Y</t>
  </si>
  <si>
    <t>LYCEE POLYVALENT MELKIOR GARRE LYCEE DES METIERS DE L HOTELLERIE ET DE LA RESTAURATION</t>
  </si>
  <si>
    <t>CAYENNE</t>
  </si>
  <si>
    <t>9730371R</t>
  </si>
  <si>
    <t>LYCEE POLYVALENT LUMINA SOPHIE</t>
  </si>
  <si>
    <t>SAINT LAURENT DU MARONI</t>
  </si>
  <si>
    <t>9730423X</t>
  </si>
  <si>
    <t>LYCEE POLYVALENT LAMA PREVOT</t>
  </si>
  <si>
    <t>9730511T</t>
  </si>
  <si>
    <t>LYCEE GENERAL PRIVE SAINTE THERESE</t>
  </si>
  <si>
    <t>LA REUNION</t>
  </si>
  <si>
    <t>9740002J</t>
  </si>
  <si>
    <t>LYCEE POLYVALENT ROLAND GARROS</t>
  </si>
  <si>
    <t>LE TAMPON</t>
  </si>
  <si>
    <t>9740020D</t>
  </si>
  <si>
    <t>LYCEE PROFESSIONNEL VICTOR SCHOELCHER</t>
  </si>
  <si>
    <t>SAINT LOUIS</t>
  </si>
  <si>
    <t>9740045F</t>
  </si>
  <si>
    <t>LES AVIRONS</t>
  </si>
  <si>
    <t>9740082W</t>
  </si>
  <si>
    <t>LYCEE PROFESSIONNEL JULIEN DE RONTAUNAY</t>
  </si>
  <si>
    <t>9740471U</t>
  </si>
  <si>
    <t>LYCEE GENERAL ET TECHNOLOGIQUE AMIRAL PIERRE BOUVET</t>
  </si>
  <si>
    <t>SAINT BENOIT</t>
  </si>
  <si>
    <t>9740479C</t>
  </si>
  <si>
    <t>LYCEE PROFESSIONNEL AMIRAL LACAZE</t>
  </si>
  <si>
    <t>9740787M</t>
  </si>
  <si>
    <t>LYCEE GENERAL ET TECHNOLOGIQUE ANTOINE ROUSSIN</t>
  </si>
  <si>
    <t>9740979W</t>
  </si>
  <si>
    <t>LYCEE POLYVALENT JEAN HINGLO LYCEE DES METIERS DU BATIMENT ET DES TRAVAUX PUBLICS</t>
  </si>
  <si>
    <t>LE PORT</t>
  </si>
  <si>
    <t>9741050Y</t>
  </si>
  <si>
    <t>LYCEE GENERAL ET TECHNOLOGIQUE LOUIS PAYEN</t>
  </si>
  <si>
    <t>SAINT PAUL</t>
  </si>
  <si>
    <t>9741206T</t>
  </si>
  <si>
    <t>LYCEE POLYVALENT DE BOIS D OLIVE</t>
  </si>
  <si>
    <t>9741231V</t>
  </si>
  <si>
    <t>LYCEE POLYVALENT MARIE CURIE LYCEE DES METIERS DE LA SANTE ET DU SOCIAL</t>
  </si>
  <si>
    <t>9741380G</t>
  </si>
  <si>
    <t>LYCEE POLYVALENT DE ST PAUL 4</t>
  </si>
  <si>
    <t>MAYOTTE</t>
  </si>
  <si>
    <t>9760229V</t>
  </si>
  <si>
    <t>LPO DE PETITE TERRE</t>
  </si>
  <si>
    <t>PAMANDZI</t>
  </si>
  <si>
    <t>0010016M</t>
  </si>
  <si>
    <t>LYCEE POLYVALENT JOSEPH MARIE CARRIAT</t>
  </si>
  <si>
    <t>0010020S</t>
  </si>
  <si>
    <t>LYCEE PROFESSIONNEL GEORGES CHARPAK LYCEE DES METIERS DE LA MAINTENANCE DES ENGINS MECANIQUES</t>
  </si>
  <si>
    <t>CHATILLON SUR CHALARONNE</t>
  </si>
  <si>
    <t>0010021T</t>
  </si>
  <si>
    <t>LYCEE PROFESSIONNEL MARCELLE PARDE LYCEE DES METIERS DU RESEAU TEXTILE MODE CUIR</t>
  </si>
  <si>
    <t>0011276G</t>
  </si>
  <si>
    <t>LYCEE GENERAL ET TECHNOLOGIQUE DU VAL DE SAONE</t>
  </si>
  <si>
    <t>TREVOUX</t>
  </si>
  <si>
    <t>0011431A</t>
  </si>
  <si>
    <t>SAINT DIDIER SUR CHALARONNE</t>
  </si>
  <si>
    <t>0020012C</t>
  </si>
  <si>
    <t>LYCEE POLYVALENT JEAN DE LA FONTAINE LYCEE DES METIERS DE LA SANTE DE LA GESTION ET DU COMMERCE</t>
  </si>
  <si>
    <t>0020014E</t>
  </si>
  <si>
    <t>LYCEE D ENSEIGNEMENT GENERAL ET TECHNOLOGIQUE GAY LUSSAC</t>
  </si>
  <si>
    <t>0020088K</t>
  </si>
  <si>
    <t>LYCEE PROFESSIONNEL CAMILLE CLAUDEL LYCEE DES METIERS DE L OPTIQUE ET DU TERTIAIRE</t>
  </si>
  <si>
    <t>0021479X</t>
  </si>
  <si>
    <t>LYCEE PROFESSIONNEL FRANCOISE DOLTO LYCEE DES METIERS DES SERVICES AUX PERSONNES ET AUX ENTREPRISES</t>
  </si>
  <si>
    <t>GUISE</t>
  </si>
  <si>
    <t>0021872Z</t>
  </si>
  <si>
    <t>0030025L</t>
  </si>
  <si>
    <t>LYCEE GENERAL MADAME DE STAËL</t>
  </si>
  <si>
    <t>0030061A</t>
  </si>
  <si>
    <t>LYCEE PROFESSIONNEL ALBERT LONDRES LYCEE DES METIERS DU BOIS DES ENERGIES ET DES SERVICES AUX ORGANISATIONS</t>
  </si>
  <si>
    <t>0030084A</t>
  </si>
  <si>
    <t>LYCEE GENERAL PRIVE SAINT BENOIT</t>
  </si>
  <si>
    <t>0031043T</t>
  </si>
  <si>
    <t>LYCEE POLYVALENT ALBERT EINSTEIN LYCEE DES METIERS DE L AUTOMOBILE</t>
  </si>
  <si>
    <t>0031044U</t>
  </si>
  <si>
    <t>LYCEE POLYVALENT GENEVIEVE VINCENT</t>
  </si>
  <si>
    <t>COMMENTRY</t>
  </si>
  <si>
    <t>0040007L</t>
  </si>
  <si>
    <t>LYCEE PROFESSIONNEL LYCEE DES METIERS BEAU DE ROCHAS</t>
  </si>
  <si>
    <t>DIGNE LES BAINS</t>
  </si>
  <si>
    <t>HAUTES-ALPES</t>
  </si>
  <si>
    <t>0050003B</t>
  </si>
  <si>
    <t>LYCEE POLYVALENT D ALTITUDE</t>
  </si>
  <si>
    <t>BRIANCON</t>
  </si>
  <si>
    <t>0050004C</t>
  </si>
  <si>
    <t>LYCEE CLIMATIQUE HONORE ROMANE</t>
  </si>
  <si>
    <t>EMBRUN</t>
  </si>
  <si>
    <t>0050008G</t>
  </si>
  <si>
    <t>LYCEE PROFESSIONNEL PAUL HERAUD</t>
  </si>
  <si>
    <t>GAP</t>
  </si>
  <si>
    <t>0060013G</t>
  </si>
  <si>
    <t>LYCEE GENERAL ET TECHNOLOGIQUE BRISTOL</t>
  </si>
  <si>
    <t>0060015J</t>
  </si>
  <si>
    <t>LYCEE PROFESSIONNEL LES COTEAUX LYCEE DES METIERS DE LA RELATION CLIENT DE LA MODE ET DU COSTUME DE SPECTACLE</t>
  </si>
  <si>
    <t>0060028Y</t>
  </si>
  <si>
    <t>LYCEE PROFESSIONNEL PAUL VALERY LYCEE DES METIERS DE LA RESTAURATION</t>
  </si>
  <si>
    <t>0060030A</t>
  </si>
  <si>
    <t>LYCEE GENERAL MASSENA</t>
  </si>
  <si>
    <t>0060034E</t>
  </si>
  <si>
    <t>LYCEE POLYVALENT HOTELIER TOURISME PAUL AUGIER LYCEE DES METIERS DE L HOTELLERIE ET DU TOURISME</t>
  </si>
  <si>
    <t>0060040L</t>
  </si>
  <si>
    <t>LYCEE PROFESSIONNEL PASTEUR</t>
  </si>
  <si>
    <t>0060673Z</t>
  </si>
  <si>
    <t>LYCEE GENERAL ET TECHNOLOGIQUE PRIVE STANISLAS</t>
  </si>
  <si>
    <t>0060774J</t>
  </si>
  <si>
    <t>LYCEE POLYVALENT PRIVE SAINT JOSEPH</t>
  </si>
  <si>
    <t>0061478Z</t>
  </si>
  <si>
    <t>LYCEE POLYVALENT LEONARD DE VINCI LYCEE DES METIERS DU BATIMENT ET TRAVAUX PUBLICS</t>
  </si>
  <si>
    <t>0061852F</t>
  </si>
  <si>
    <t>LYCEE TECHNOLOGIQUE PRIVE LA PROVIDENCE</t>
  </si>
  <si>
    <t>0061987C</t>
  </si>
  <si>
    <t>LYCEE POLYVALENT DE LA MONTAGNE</t>
  </si>
  <si>
    <t>VALDEBLORE</t>
  </si>
  <si>
    <t>0062147B</t>
  </si>
  <si>
    <t>LYCEE GENERAL PRIVE SAINT BARTHELEMY</t>
  </si>
  <si>
    <t>0070002P</t>
  </si>
  <si>
    <t>LYCEE PROFESSIONNEL JOSEPH ET ETIENNE DE MONTGOLFIER</t>
  </si>
  <si>
    <t>ANNONAY</t>
  </si>
  <si>
    <t>0070003R</t>
  </si>
  <si>
    <t>LYCEE POLYVALENT MARCEL GIMOND</t>
  </si>
  <si>
    <t>AUBENAS</t>
  </si>
  <si>
    <t>0070016E</t>
  </si>
  <si>
    <t>LYCEE PROFESSIONNEL HOTELIER LYCEE DES METIERS DE L HOTELLERIE ET DE LA RESTAURATION INNOVANTE</t>
  </si>
  <si>
    <t>LARGENTIERE</t>
  </si>
  <si>
    <t>0070029U</t>
  </si>
  <si>
    <t>LYCEE POLYVALENT GABRIEL FAURE LYCEE DES METIERS DU COMMERCE ET DES SERVICES</t>
  </si>
  <si>
    <t>TOURNON SUR RHONE</t>
  </si>
  <si>
    <t>0070066J</t>
  </si>
  <si>
    <t>LYCEE GENERAL ET TECHNOLOGIQUE PRIVE MARIE RIVIER</t>
  </si>
  <si>
    <t>BOURG SAINT ANDEOL</t>
  </si>
  <si>
    <t>0070071P</t>
  </si>
  <si>
    <t>LYCEE POLYVALENT PRIVE SACRE COEUR</t>
  </si>
  <si>
    <t>0070114L</t>
  </si>
  <si>
    <t>LYCEE PROFESSIONNEL PRIVE NOTRE DAME LYCEE DES METIERS DU TRAVAIL SOCIAL ET DE LA SANTE</t>
  </si>
  <si>
    <t>PRIVAS</t>
  </si>
  <si>
    <t>0071126L</t>
  </si>
  <si>
    <t>LYCEE GENERAL ET TECHNOLOGIQUE PRIVE SAINT DENIS</t>
  </si>
  <si>
    <t>0080028M</t>
  </si>
  <si>
    <t>LYCEE PROFESSIONNEL CHARLES DE GONZAGUE LYCEE DES METIERS DE L HABITAT</t>
  </si>
  <si>
    <t>0080048J</t>
  </si>
  <si>
    <t>LYCEE PROFESSIONNEL LE CHATEAU</t>
  </si>
  <si>
    <t>0080093H</t>
  </si>
  <si>
    <t>VOUZIERS</t>
  </si>
  <si>
    <t>0090003E</t>
  </si>
  <si>
    <t>LYCEE PROFESSIONNEL JEAN DURROUX</t>
  </si>
  <si>
    <t>FERRIERES SUR ARIEGE</t>
  </si>
  <si>
    <t>0090019X</t>
  </si>
  <si>
    <t>LYCEE PROFESSIONNEL ARISTIDE BERGES LYCEE DES METIERS BATIMENT HABITAT DANS LE DEVELOPPEMENT DURABLE</t>
  </si>
  <si>
    <t>SAINT GIRONS</t>
  </si>
  <si>
    <t>0090024C</t>
  </si>
  <si>
    <t>LYCEE PROFESSIONNEL DR PHILIPPE TISSIE LYCEE DES METIERS MAINTENANCE DES ENGINS MECANIQUES</t>
  </si>
  <si>
    <t>SAVERDUN</t>
  </si>
  <si>
    <t>0090036R</t>
  </si>
  <si>
    <t>LYCEE GENERAL PRIVE NOTRE DAME</t>
  </si>
  <si>
    <t>0100015M</t>
  </si>
  <si>
    <t>LYCEE GENERAL ET TECHNOLOGIQUE F ET I JOLIOT CURIE</t>
  </si>
  <si>
    <t>ROMILLY SUR SEINE</t>
  </si>
  <si>
    <t>0100025Y</t>
  </si>
  <si>
    <t>LYCEE POLYVALENT LES LOMBARDS</t>
  </si>
  <si>
    <t>AUDE</t>
  </si>
  <si>
    <t>0110019L</t>
  </si>
  <si>
    <t>LYCEE POLYVALENT JACQUES RUFFIE</t>
  </si>
  <si>
    <t>LIMOUX</t>
  </si>
  <si>
    <t>0121309H</t>
  </si>
  <si>
    <t>0121429N</t>
  </si>
  <si>
    <t>LYCEE PROFESSIONNEL PRIVE LOUIS QUERBES LYCEE DES METIERS DES SECTEURS TERTIAIRES LYCEE DES METIERS PARAMEDICAUX ET SOCIAUX</t>
  </si>
  <si>
    <t>0121438Y</t>
  </si>
  <si>
    <t>LYCEE GENERAL ET TECHNOLOGIQUE PRIVE FRANCOIS D ESTAING</t>
  </si>
  <si>
    <t>0130001F</t>
  </si>
  <si>
    <t>LYCEE DES METIERS EMILE ZOLA</t>
  </si>
  <si>
    <t>0130002G</t>
  </si>
  <si>
    <t>LYCEE GENERAL ET TECHNOLOGIQUE PAUL CEZANNE</t>
  </si>
  <si>
    <t>0130049H</t>
  </si>
  <si>
    <t>LYCEE POLYVALENT DU REMPART (A ABSORBE L'UAI 0130172S EN 2021)</t>
  </si>
  <si>
    <t>MARSEILLE 7E ARRONDISSEMENT</t>
  </si>
  <si>
    <t>0130055P</t>
  </si>
  <si>
    <t>LYCEE PROFESSIONNEL LE CHATELIER</t>
  </si>
  <si>
    <t>MARSEILLE 3E ARRONDISSEMENT</t>
  </si>
  <si>
    <t>0130058T</t>
  </si>
  <si>
    <t>LYCEE PROFESSIONNEL L ESTAQUE LYCEE DES METIERS DU NAUTISME ET DE LA SECURITE</t>
  </si>
  <si>
    <t>MARSEILLE 16E ARRONDISSEMENT</t>
  </si>
  <si>
    <t>0130071G</t>
  </si>
  <si>
    <t>LYCEE PROFESSIONNEL COLBERT LYCEE DES METIERS DES SERVICES AUX ENTREPRISES ET A LA PERSONNE</t>
  </si>
  <si>
    <t>0130072H</t>
  </si>
  <si>
    <t>LYCEE PROFESSIONNEL AMPERE</t>
  </si>
  <si>
    <t>0130150T</t>
  </si>
  <si>
    <t>LYCEE PROFESSIONNEL JEAN MOULIN LYCEE DES METIERS DE LA MAINTENANCE DE L AUTOMOBILE ET DU NAUTISME</t>
  </si>
  <si>
    <t>PORT DE BOUC</t>
  </si>
  <si>
    <t>0130157A</t>
  </si>
  <si>
    <t>LYCEE PROFESSIONNEL LES FERRAGES</t>
  </si>
  <si>
    <t>SAINT CHAMAS</t>
  </si>
  <si>
    <t>0130161E</t>
  </si>
  <si>
    <t>LYCEE POLYVALENT ADAM DE CRAPONNE</t>
  </si>
  <si>
    <t>0130175V</t>
  </si>
  <si>
    <t>LYCEE GENERAL ET TECHNOLOGIQUE HONORE DAUMIER</t>
  </si>
  <si>
    <t>MARSEILLE 8E ARRONDISSEMENT</t>
  </si>
  <si>
    <t>0131328Y</t>
  </si>
  <si>
    <t>LYCEE GENERAL PRIVE MELIZAN</t>
  </si>
  <si>
    <t>0131331B</t>
  </si>
  <si>
    <t>LYCEE GENERAL ET TECHNOLOGIQUE PRIVE SAINT JOSEPH LES MARISTES</t>
  </si>
  <si>
    <t>0131342N</t>
  </si>
  <si>
    <t>LYCEE GENERAL PRIVE SAINT CHARLES CAMAS</t>
  </si>
  <si>
    <t>0131344R</t>
  </si>
  <si>
    <t>COURS BASTIDE (LYCEE GENERAL PRIVE)</t>
  </si>
  <si>
    <t>0131345S</t>
  </si>
  <si>
    <t>LYCEE GENERAL PRIVE L OLIVIER R COFFY</t>
  </si>
  <si>
    <t>MARSEILLE 12E ARRONDISSEMENT</t>
  </si>
  <si>
    <t>0131403E</t>
  </si>
  <si>
    <t>0131434N</t>
  </si>
  <si>
    <t>LYCEE DES METIERS PRIVE ECOLE LIBRE DES METIERS LYCEE DES METIERS DU GENIE ELETRIQUE ET THERMIQUE</t>
  </si>
  <si>
    <t>0131485U</t>
  </si>
  <si>
    <t>LYCEE DES METIERS PRIVE LE ROCHER LYCEE DES METIERS DES SOINS ET SERVICES A LA PERSONNE</t>
  </si>
  <si>
    <t>0131675A</t>
  </si>
  <si>
    <t>LYCEE PROFESSIONNEL PRIVE SAINTE ELISABETH</t>
  </si>
  <si>
    <t>SEPTEMES LES VALLONS</t>
  </si>
  <si>
    <t>0132410Z</t>
  </si>
  <si>
    <t>LYCÉE POLYVALENT MAURICE GENEVOIX (A ABSORBE L'UAI 0132319A EN 2021)</t>
  </si>
  <si>
    <t>MARIGNANE</t>
  </si>
  <si>
    <t>0132495S</t>
  </si>
  <si>
    <t>LYCEE GENERAL ET TECHNOLOGIQUE ARTHUR RIMBAUD</t>
  </si>
  <si>
    <t>ISTRES</t>
  </si>
  <si>
    <t>0133424B</t>
  </si>
  <si>
    <t>LYCEE DES METIERS PRIVE CAUCADIS</t>
  </si>
  <si>
    <t>VITROLLES</t>
  </si>
  <si>
    <t>0133446A</t>
  </si>
  <si>
    <t>LYCEE GENERAL PRIVE SOUS CONTRAT</t>
  </si>
  <si>
    <t>0133931C</t>
  </si>
  <si>
    <t>LYCEE GENERAL PRIVE NOTRE DAME DE LA VISTE</t>
  </si>
  <si>
    <t>MARSEILLE 15E ARRONDISSEMENT</t>
  </si>
  <si>
    <t>0134003F</t>
  </si>
  <si>
    <t>LYCEE REGIONAL NELSON MANDELA</t>
  </si>
  <si>
    <t>0134101M</t>
  </si>
  <si>
    <t>LYCEE TECHNOLOGIQUE PRIVE SAINT LOUIS</t>
  </si>
  <si>
    <t>0134107U</t>
  </si>
  <si>
    <t>IBN KHALDOUN</t>
  </si>
  <si>
    <t>0134250Z</t>
  </si>
  <si>
    <t>LYCEE GENERAL PRIVE GSBE</t>
  </si>
  <si>
    <t>0134252B</t>
  </si>
  <si>
    <t>LYCEE GENERAL ET TECHNOLOGIQUE JEAN D ORMESSON</t>
  </si>
  <si>
    <t>CHATEAURENARD</t>
  </si>
  <si>
    <t>0134253C</t>
  </si>
  <si>
    <t>LYCEE GENERAL ET TECHNOLOGIQUE MONTE CRISTO</t>
  </si>
  <si>
    <t>ALLAUCH</t>
  </si>
  <si>
    <t>0141157G</t>
  </si>
  <si>
    <t>LYCEE GENERAL PRIVE INSTITUTION JEANNE D ARC</t>
  </si>
  <si>
    <t>BAYEUX</t>
  </si>
  <si>
    <t>0141178E</t>
  </si>
  <si>
    <t>LYCEE TECHNOLOGIQUE PRIVE SAINTE URSULE</t>
  </si>
  <si>
    <t>0141186N</t>
  </si>
  <si>
    <t>LYCEE PROFESSIONNEL PRIVE L OASIS LYCEE DES METIERS DE SERVICE A LA PERSONNE ET A LA COLLECTIVITE</t>
  </si>
  <si>
    <t>0141274J</t>
  </si>
  <si>
    <t>LYCEE POLYVALENT ARCISSE DE CAUMONT LYCEE DES METIERS DU TRANSPORT ET DE LA LOGISTIQUE</t>
  </si>
  <si>
    <t>0141555P</t>
  </si>
  <si>
    <t>0141867D</t>
  </si>
  <si>
    <t>LYCEE PROFESSIONNEL PRIVE SAINTE URSULE LYCEE DES METIERS DU TERTIAIRE</t>
  </si>
  <si>
    <t>0141868E</t>
  </si>
  <si>
    <t>LYCEE PROFESSIONNEL PRIVE LES ROSIERS</t>
  </si>
  <si>
    <t>LISIEUX</t>
  </si>
  <si>
    <t>0142133T</t>
  </si>
  <si>
    <t>LYCEE POLYVALENT PIERRE SIMON DE LAPLACE LYCEE DES METIERS DE L HABITAT ET DES TRAVAUX PUBLICS</t>
  </si>
  <si>
    <t>CANTAL</t>
  </si>
  <si>
    <t>0150008C</t>
  </si>
  <si>
    <t>LYCEE PROFESSIONNEL RAYMOND CORTAT LYCEE DES METIERS DE LA RESTAURATION ET DU SERVICE AUX PERSONNES ET AUX ENTREPRISES</t>
  </si>
  <si>
    <t>AURILLAC</t>
  </si>
  <si>
    <t>0150030B</t>
  </si>
  <si>
    <t>LYCEE POLYVALENT DE HAUTE AUVERGNE</t>
  </si>
  <si>
    <t>SAINT FLOUR</t>
  </si>
  <si>
    <t>0150646W</t>
  </si>
  <si>
    <t>LYCEE GENERAL EMILE DUCLAUX</t>
  </si>
  <si>
    <t>0160004T</t>
  </si>
  <si>
    <t>LYCEE TECHNOLOGIQUE CHARLES AUGUSTIN COULOMB</t>
  </si>
  <si>
    <t>0160020K</t>
  </si>
  <si>
    <t>LYCEE POLYVALENT JEAN MONNET</t>
  </si>
  <si>
    <t>COGNAC</t>
  </si>
  <si>
    <t>0160049S</t>
  </si>
  <si>
    <t>LYCEE PROFESSIONNEL JEAN ROSTAND LYCEE DES METIERS DE LA MODE ET DES SERVICES</t>
  </si>
  <si>
    <t>0170025K</t>
  </si>
  <si>
    <t>LYCEE PROFESSIONNEL GILLES JAMAIN</t>
  </si>
  <si>
    <t>ROCHEFORT</t>
  </si>
  <si>
    <t>0170027M</t>
  </si>
  <si>
    <t>LYCEE GENERAL ET TECHNOLOGIQUE RENE JOSUE VALIN</t>
  </si>
  <si>
    <t>0170031S</t>
  </si>
  <si>
    <t>LYCEE PROFESSIONNEL PIERRE DORIOLE LYCEE DES METIERS DES SERVICES A LA PERSONNE ET AUX ENTREPRISES</t>
  </si>
  <si>
    <t>0170078T</t>
  </si>
  <si>
    <t>LYCEE PROFESSIONNEL BERNARD PALISSY</t>
  </si>
  <si>
    <t>SAINTES</t>
  </si>
  <si>
    <t>0170103V</t>
  </si>
  <si>
    <t>LYCEE GENERAL ET TECHNOLOGIQUE PRIVE NOTRE DAME DE RECOUVRANCE</t>
  </si>
  <si>
    <t>0171418Z</t>
  </si>
  <si>
    <t>LYCEE GENERAL ET TECHNOLOGIQUE SAINT EXUPERY</t>
  </si>
  <si>
    <t>0171455P</t>
  </si>
  <si>
    <t>LYCEE POLYVALENT MARCEL DASSAULT LYCEE DES METIERS DE LA PLASTURGIE DE LA PRODUCTIQUE ET DE L OUTILLAGE</t>
  </si>
  <si>
    <t>0171571R</t>
  </si>
  <si>
    <t>LYCEE PROFESSIONNEL DE L ATLANTIQUE LYCEE DES METIERS DU BATIMENT DE L HOTELLERIE ET DES SERVICES</t>
  </si>
  <si>
    <t>0180024D</t>
  </si>
  <si>
    <t>0190018S</t>
  </si>
  <si>
    <t>LPO PUBLIC PIERRE CARAMINOT LYCEE DES METIERS DU GENIE CIVIL</t>
  </si>
  <si>
    <t>EGLETONS</t>
  </si>
  <si>
    <t>0190701J</t>
  </si>
  <si>
    <t>0210017E</t>
  </si>
  <si>
    <t>LYCEE GENERAL ET TECHNOLOGIQUE MONTCHAPET</t>
  </si>
  <si>
    <t>0211074D</t>
  </si>
  <si>
    <t>0220013V</t>
  </si>
  <si>
    <t>LYCEE POLYVALENT LA FONTAINE DES EAUX LYCEE DES METIERS DE LA GESTION ENERGETIQUE DES BATIMENTS</t>
  </si>
  <si>
    <t>DINAN</t>
  </si>
  <si>
    <t>0220018A</t>
  </si>
  <si>
    <t>LYCEE GENERAL ET TECHNOLOGIQUE AUGUSTE PAVIE</t>
  </si>
  <si>
    <t>GUINGAMP</t>
  </si>
  <si>
    <t>0220019B</t>
  </si>
  <si>
    <t>LYCEE PROFESSIONNEL JULES VERNE LYCEE DES METIERS DE L INDUSTRIE ET DU COMMERCE</t>
  </si>
  <si>
    <t>0220059V</t>
  </si>
  <si>
    <t>LYCEE PROFESSIONNEL JEAN MOULIN</t>
  </si>
  <si>
    <t>0220065B</t>
  </si>
  <si>
    <t>LYCEE GENERAL ET TECHNOLOGIQUE JOSEPH SAVINA</t>
  </si>
  <si>
    <t>TREGUIER</t>
  </si>
  <si>
    <t>0220071H</t>
  </si>
  <si>
    <t>LYCEE PROFESSIONNEL EUGENE FREYSSINET LYCEE DES METIERS DU BATIMENT ET DES TRAVAUX PUBLICS</t>
  </si>
  <si>
    <t>0220106W</t>
  </si>
  <si>
    <t>QUINTIN</t>
  </si>
  <si>
    <t>0220122N</t>
  </si>
  <si>
    <t>LYCEE PROFESSIONNEL PRIVE MONTBAREIL LYCEE DES METIERS DE LA COIFFURE ET DE L ESTHETIQUE COSMETIQUE</t>
  </si>
  <si>
    <t>0221866J</t>
  </si>
  <si>
    <t>LYCEE PROFESSIONNEL PRIVE KERSA LA SALLE</t>
  </si>
  <si>
    <t>PLOUBAZLANEC</t>
  </si>
  <si>
    <t>0230002C</t>
  </si>
  <si>
    <t>LYCEE GENERAL ET TECHNOLOGIQUE EUGENE JAMOT</t>
  </si>
  <si>
    <t>AUBUSSON</t>
  </si>
  <si>
    <t>0230008J</t>
  </si>
  <si>
    <t>LP PUBLIC DELPHINE GAY LYCEE DES METIERS DE LA COIFFURE DE L ESTHETIQUE ET DES SERVICES A LA PERSONNE</t>
  </si>
  <si>
    <t>BOURGANEUF</t>
  </si>
  <si>
    <t>0240005A</t>
  </si>
  <si>
    <t>LYCEE GENERAL ET TECHNOLOGIQUE MAINE DE BIRAN</t>
  </si>
  <si>
    <t>BERGERAC</t>
  </si>
  <si>
    <t>0240006B</t>
  </si>
  <si>
    <t>LYCEE PROFESSIONNEL HELENE DUC LYCEE DES METIERS SUD PERIGORD</t>
  </si>
  <si>
    <t>0240012H</t>
  </si>
  <si>
    <t>LYCEE PROFESSIONNEL METIERS DU BATIMENT</t>
  </si>
  <si>
    <t>COULAURES</t>
  </si>
  <si>
    <t>0240025X</t>
  </si>
  <si>
    <t>LYCEE GENERAL ET TECHNOLOGIQUE LAURE GATET</t>
  </si>
  <si>
    <t>PERIGUEUX</t>
  </si>
  <si>
    <t>0240026Y</t>
  </si>
  <si>
    <t>LYCEE POLYVALENT ALBERT CLAVEILLE LYCEE DES METIERS DE L INGENIERIE INDUSTRIELLE ET DE L AUTOMOBILE</t>
  </si>
  <si>
    <t>0240048X</t>
  </si>
  <si>
    <t>LYCEE PROFESSIONNEL PRE DE CORDY</t>
  </si>
  <si>
    <t>0240050Z</t>
  </si>
  <si>
    <t>LYCEE PROFESSIONNEL ARNAUD DANIEL</t>
  </si>
  <si>
    <t>RIBERAC</t>
  </si>
  <si>
    <t>0240079F</t>
  </si>
  <si>
    <t>0250007X</t>
  </si>
  <si>
    <t>0250011B</t>
  </si>
  <si>
    <t>LPO JULES HAAG LYCEE DES METIERS DE LA MICROTECHNIQUE ET DE L AUTOMATIQUE</t>
  </si>
  <si>
    <t>0250014E</t>
  </si>
  <si>
    <t>LYCEE PROFESSIONNEL CONDE LYCEE DES METIERS DES SERVICES ET SOINS A LA PERSONNE ET DE L HOTELLERIE RESTAURATION</t>
  </si>
  <si>
    <t>0250058C</t>
  </si>
  <si>
    <t>LYCEE GENERAL ET TECHNOLOGIQUE ARMAND PEUGEOT</t>
  </si>
  <si>
    <t>VALENTIGNEY</t>
  </si>
  <si>
    <t>0250067M</t>
  </si>
  <si>
    <t>LYCEE PROFESSIONNEL LES HUISSELETS LYCEE DES METIERS DE LA SECURITE ET DE LA PREVENTION</t>
  </si>
  <si>
    <t>MONTBELIARD</t>
  </si>
  <si>
    <t>0251994G</t>
  </si>
  <si>
    <t>LYCEE POLYVALENT GERMAINE TILLION</t>
  </si>
  <si>
    <t>0260008T</t>
  </si>
  <si>
    <t>LYCEE GENERAL DU DIOIS</t>
  </si>
  <si>
    <t>DIE</t>
  </si>
  <si>
    <t>0260017C</t>
  </si>
  <si>
    <t>LYCEE GENERAL ET TECHNOLOGIQUE ROUMANILLE</t>
  </si>
  <si>
    <t>NYONS</t>
  </si>
  <si>
    <t>0260023J</t>
  </si>
  <si>
    <t>LYCEE POLYVALENT DU DAUPHINE LYCEE DES METIERS DU CUIR</t>
  </si>
  <si>
    <t>ROMANS SUR ISERE</t>
  </si>
  <si>
    <t>0260035X</t>
  </si>
  <si>
    <t>LYCEE GENERAL CAMILLE VERNET</t>
  </si>
  <si>
    <t>0260064D</t>
  </si>
  <si>
    <t>LYCEE GENERAL PRIVE CHABRILLAN ST BAPTISTE</t>
  </si>
  <si>
    <t>MONTELIMAR</t>
  </si>
  <si>
    <t>0260082Y</t>
  </si>
  <si>
    <t>0261100E</t>
  </si>
  <si>
    <t>LYCEE PROFESSIONNEL AMBLARD LYCEE DES METIERS D ART DE LA BIJOUTERIE JOAILLERIE</t>
  </si>
  <si>
    <t>0261138W</t>
  </si>
  <si>
    <t>LYCEE PROFESSIONNEL PRIVE SAINT LOUIS</t>
  </si>
  <si>
    <t>0270003G</t>
  </si>
  <si>
    <t>LYCEE GENERAL ET TECHNOLOGIQUE AUGUSTIN FRESNEL</t>
  </si>
  <si>
    <t>BERNAY</t>
  </si>
  <si>
    <t>0270026G</t>
  </si>
  <si>
    <t>LYCEE POLYVALENT LOUISE MICHEL</t>
  </si>
  <si>
    <t>GISORS</t>
  </si>
  <si>
    <t>0270052K</t>
  </si>
  <si>
    <t>LYCEE PROFESSIONNEL GEORGES DUMEZIL</t>
  </si>
  <si>
    <t>VERNON</t>
  </si>
  <si>
    <t>0271053Y</t>
  </si>
  <si>
    <t>LYCEE GENERAL ET TECHNOLOGIQUE PRIVE SAINT ADJUTOR</t>
  </si>
  <si>
    <t>0271074W</t>
  </si>
  <si>
    <t>LYCEE PROFESSIONNEL PRIVE JEANNE D ARC SAINT ANSELME</t>
  </si>
  <si>
    <t>0271319M</t>
  </si>
  <si>
    <t>LYCEE PROFESSIONNEL PORTE DE NORMANDIE</t>
  </si>
  <si>
    <t>0271579V</t>
  </si>
  <si>
    <t>LYCEE GENERAL ET TECHNOLOGIQUE LEOPOLD SEDAR SENGHOR</t>
  </si>
  <si>
    <t>0271580W</t>
  </si>
  <si>
    <t>LYCEE GENERAL ET TECHNOLOGIQUE ANDRE MALRAUX</t>
  </si>
  <si>
    <t>GAILLON</t>
  </si>
  <si>
    <t>0271585B</t>
  </si>
  <si>
    <t>LYCEE POLYVALENT JEAN MOULIN</t>
  </si>
  <si>
    <t>LES ANDELYS</t>
  </si>
  <si>
    <t>0280015P</t>
  </si>
  <si>
    <t>LYCEE GENERAL ET TECHNOLOGIQUE EMILE ZOLA</t>
  </si>
  <si>
    <t>CHATEAUDUN</t>
  </si>
  <si>
    <t>0280689X</t>
  </si>
  <si>
    <t>LYCEE PROFESSIONNEL PRIVE FRANCOISE D AUBIGNE</t>
  </si>
  <si>
    <t>MAINTENON</t>
  </si>
  <si>
    <t>0281077U</t>
  </si>
  <si>
    <t>LYCEE POLYVALENT SILVIA MONFORT LYCEE DES METIERS DES ECHANGES INTERNATIONAUX</t>
  </si>
  <si>
    <t>LUISANT</t>
  </si>
  <si>
    <t>0290007A</t>
  </si>
  <si>
    <t>LYCEE GENERAL LA PEROUSE KERICHEN</t>
  </si>
  <si>
    <t>0290010D</t>
  </si>
  <si>
    <t>LYCEE GENERAL DE L HARTELOIRE</t>
  </si>
  <si>
    <t>0290051Y</t>
  </si>
  <si>
    <t>LYCEE GENERAL ET TECHNOLOGIQUE TRISTAN CORBIERE</t>
  </si>
  <si>
    <t>0290072W</t>
  </si>
  <si>
    <t>0290108K</t>
  </si>
  <si>
    <t>LYCEE POLYVALENT DUPUY DE LOME</t>
  </si>
  <si>
    <t>0290130J</t>
  </si>
  <si>
    <t>LYCEE PROFESSIONNEL DE PLEYBEN LYCEE DES METIERS DU BATIMENT ET DE L ECOCONSTRUCTION</t>
  </si>
  <si>
    <t>PLEYBEN</t>
  </si>
  <si>
    <t>0290160S</t>
  </si>
  <si>
    <t>LYCEE GENERAL PRIVE SAINT FRANCOIS NOTRE DAME</t>
  </si>
  <si>
    <t>LESNEVEN</t>
  </si>
  <si>
    <t>0300058A</t>
  </si>
  <si>
    <t>LYCEE PROFESSIONNEL FREDERIC MISTRAL LYCEE DES METIERS DE LA CONSTRUCTION</t>
  </si>
  <si>
    <t>0300077W</t>
  </si>
  <si>
    <t>LYCEE GENERAL ET TECHNOLOGIQUE PRIVE BELLEVUE</t>
  </si>
  <si>
    <t>ALES</t>
  </si>
  <si>
    <t>0300112J</t>
  </si>
  <si>
    <t>LYCEE POLYVALENT PRIVE DE LA CCI LYCEE DES METIERS DE LA VENTE ET DES SERVICES AUX ENTREPRISES</t>
  </si>
  <si>
    <t>0301210C</t>
  </si>
  <si>
    <t>LYCEE PROFESSIONNEL VOLTAIRE</t>
  </si>
  <si>
    <t>0301862L</t>
  </si>
  <si>
    <t>LYCEE POLYVALENT LUCIE AUBRAC</t>
  </si>
  <si>
    <t>SOMMIERES</t>
  </si>
  <si>
    <t>0310039Z</t>
  </si>
  <si>
    <t>LYCEE GENERAL ET TECHNOLOGIQUE MARCELIN BERTHELOT</t>
  </si>
  <si>
    <t>0310052N</t>
  </si>
  <si>
    <t>LYCEE PROFESSIONNEL ROLAND GARROS LYCEE DES METIERS DE LA MAINTENANCE MECANIQUE ET DE LA PRODUCTIQUE</t>
  </si>
  <si>
    <t>0310057U</t>
  </si>
  <si>
    <t>LYCEE PROFESSIONNEL HELENE BOUCHER LYCEE DES METIERS DES SOINS A LA PERSONNE</t>
  </si>
  <si>
    <t>0311132M</t>
  </si>
  <si>
    <t>LYCEE GENERAL PRIVE L ANNONCIATION</t>
  </si>
  <si>
    <t>SEILH</t>
  </si>
  <si>
    <t>0311133N</t>
  </si>
  <si>
    <t>LYCEE GENERAL ET TECHNOLOGIQUE PRIVE LE CAOUSOU</t>
  </si>
  <si>
    <t>0311138U</t>
  </si>
  <si>
    <t>LYCEE POLYVALENT PRIVE LES MARISTES TOULOUSE</t>
  </si>
  <si>
    <t>0312579K</t>
  </si>
  <si>
    <t>ECOLE DE PRODUCTION PRIVE DYNAMECA</t>
  </si>
  <si>
    <t>0312744P</t>
  </si>
  <si>
    <t>LYCEE POLYVALENT JEAN PIERRE VERNANT</t>
  </si>
  <si>
    <t>PINS JUSTARET</t>
  </si>
  <si>
    <t>0312938A</t>
  </si>
  <si>
    <t>LYCEE GENERAL ET TECHNOLOGIQUE NELSON MANDELA</t>
  </si>
  <si>
    <t>PIBRAC</t>
  </si>
  <si>
    <t>0320036R</t>
  </si>
  <si>
    <t>LYCEE GENERAL JOSEPH SAVERNE</t>
  </si>
  <si>
    <t>L ISLE JOURDAIN</t>
  </si>
  <si>
    <t>0320652K</t>
  </si>
  <si>
    <t>LYCEE PROFESSIONNEL PRIVE ORATOIRE SAINTE MARIE</t>
  </si>
  <si>
    <t>0330020T</t>
  </si>
  <si>
    <t>LYCEE GENERAL ET TECHNOLOGIQUE JAUFRE RUDEL</t>
  </si>
  <si>
    <t>BLAYE</t>
  </si>
  <si>
    <t>0330021U</t>
  </si>
  <si>
    <t>LYCEE GENERAL MICHEL MONTAIGNE</t>
  </si>
  <si>
    <t>0330026Z</t>
  </si>
  <si>
    <t>LYCEE GENERAL FRANCOIS MAGENDIE</t>
  </si>
  <si>
    <t>0330032F</t>
  </si>
  <si>
    <t>LYCEE PROFESSIONNEL NICOLAS BREMONTIER</t>
  </si>
  <si>
    <t>0330089T</t>
  </si>
  <si>
    <t>0330114V</t>
  </si>
  <si>
    <t>LYCEE PROFESSIONNEL PAUL BROCA</t>
  </si>
  <si>
    <t>SAINTE FOY LA GRANDE</t>
  </si>
  <si>
    <t>0331499A</t>
  </si>
  <si>
    <t>0331585U</t>
  </si>
  <si>
    <t>LYCEE PROFESSIONNEL PRIVE SAINT AUGUSTIN</t>
  </si>
  <si>
    <t>0331636Z</t>
  </si>
  <si>
    <t>LANGON</t>
  </si>
  <si>
    <t>0332441Z</t>
  </si>
  <si>
    <t>LYCEE PROFESSIONNEL JACQUES BREL LYCEE DES METIERS DE L INDUSTRIE ET DE L OPTIQUE</t>
  </si>
  <si>
    <t>LORMONT</t>
  </si>
  <si>
    <t>0332744D</t>
  </si>
  <si>
    <t>LYCEE GENERAL ET TECHNOLOGIQUE ELIE FAURE</t>
  </si>
  <si>
    <t>0332831Y</t>
  </si>
  <si>
    <t>LYCEE GENERAL SUD MEDOC</t>
  </si>
  <si>
    <t>LE TAILLAN MEDOC</t>
  </si>
  <si>
    <t>0332846P</t>
  </si>
  <si>
    <t>LYCEE GENERAL DES GRAVES</t>
  </si>
  <si>
    <t>GRADIGNAN</t>
  </si>
  <si>
    <t>0340042L</t>
  </si>
  <si>
    <t>LYCEE POLYVALENT JEAN MERMOZ</t>
  </si>
  <si>
    <t>0340045P</t>
  </si>
  <si>
    <t>LYCEE PROFESSIONNEL JULES FERRY LYCEE DES METIERS DES SERVICES A LA PERSONNE ET DE L ENTREPRISE</t>
  </si>
  <si>
    <t>0340992U</t>
  </si>
  <si>
    <t>LYCEE PROFESSIONNEL PRIVE LE SACRE COEUR</t>
  </si>
  <si>
    <t>BEZIERS</t>
  </si>
  <si>
    <t>0341523W</t>
  </si>
  <si>
    <t>0350005R</t>
  </si>
  <si>
    <t>LYCEE POLYVALENT YVON BOURGES</t>
  </si>
  <si>
    <t>DINARD</t>
  </si>
  <si>
    <t>0350011X</t>
  </si>
  <si>
    <t>LYCEE GENERAL ET TECHNOLOGIQUE JEAN GUEHENNO</t>
  </si>
  <si>
    <t>FOUGERES</t>
  </si>
  <si>
    <t>0350024L</t>
  </si>
  <si>
    <t>LYCEE GENERAL EMILE ZOLA</t>
  </si>
  <si>
    <t>0350028R</t>
  </si>
  <si>
    <t>LYCEE GENERAL ET TECHNOLOGIQUE BREQUIGNY</t>
  </si>
  <si>
    <t>0350062C</t>
  </si>
  <si>
    <t>LYCEE PROFESSIONNEL MAUPERTUIS</t>
  </si>
  <si>
    <t>SAINT MALO</t>
  </si>
  <si>
    <t>0350783L</t>
  </si>
  <si>
    <t>COLLEGE ET LYCEE GENERAL ET TECHNOLOGIQUE PRIVES SAINT MARTIN - SAINTE GENEVIEVE</t>
  </si>
  <si>
    <t>0350790U</t>
  </si>
  <si>
    <t>REDON</t>
  </si>
  <si>
    <t>0350795Z</t>
  </si>
  <si>
    <t>LYCEE POLYVALENT PRIVE DE LA SALLE LYCEE DES METIERS DE LA GESTION ET DU COMMERCE</t>
  </si>
  <si>
    <t>0351878B</t>
  </si>
  <si>
    <t>LYCEE PROFESSIONNEL COETLOGON</t>
  </si>
  <si>
    <t>0351907H</t>
  </si>
  <si>
    <t>LYCEE GENERAL ET TECHNOLOGIQUE RENE DESCARTES</t>
  </si>
  <si>
    <t>0360003H</t>
  </si>
  <si>
    <t>LYCEE PROFESSIONNEL CHATEAUNEUF</t>
  </si>
  <si>
    <t>0360005K</t>
  </si>
  <si>
    <t>LYCEE POLYVALENT PASTEUR</t>
  </si>
  <si>
    <t>LE BLANC</t>
  </si>
  <si>
    <t>0360505D</t>
  </si>
  <si>
    <t>LYCEE POLYVALENT PRIVE SAINT CYR SAINTE JULITTE</t>
  </si>
  <si>
    <t>ISSOUDUN</t>
  </si>
  <si>
    <t>0360693H</t>
  </si>
  <si>
    <t>LYCEE POLYVALENT PRIVE SAINTE SOLANGE</t>
  </si>
  <si>
    <t>0370001A</t>
  </si>
  <si>
    <t>LYCEE GENERAL ET TECHNOLOGIQUE LEONARD DE VINCI</t>
  </si>
  <si>
    <t>0370035M</t>
  </si>
  <si>
    <t>LYCEE GENERAL DESCARTES</t>
  </si>
  <si>
    <t>0370037P</t>
  </si>
  <si>
    <t>LYCEE GENERAL ET TECHNOLOGIQUE CHOISEUL</t>
  </si>
  <si>
    <t>0370053G</t>
  </si>
  <si>
    <t>LYCEE PROFESSIONNEL GUSTAVE EIFFEL LYCEE DES METIERS DE L INDUSTRIE</t>
  </si>
  <si>
    <t>0370054H</t>
  </si>
  <si>
    <t>LYCEE PROFESSIONNEL MARTIN NADAUD LYCEE DES METIERS DE L ARCHITECTURE DE LA CONSTRUCTION ET DE L ENERGIE</t>
  </si>
  <si>
    <t>SAINT PIERRE DES CORPS</t>
  </si>
  <si>
    <t>0370728R</t>
  </si>
  <si>
    <t>LYCEE GENERAL ET TECHNOLOGIQUE PRIVE NOTRE DAME LA RICHE LYCEE DES METIERS DU COMMERCE ET DE L INFORMATIQUE SOUS LE PATRONAGE DE ST FRANCOIS</t>
  </si>
  <si>
    <t>0371532P</t>
  </si>
  <si>
    <t>LYCEE POLYVALENT PRIVE ESTHETIQUE DE TOURAINE</t>
  </si>
  <si>
    <t>0380010E</t>
  </si>
  <si>
    <t>LYCEE PROFESSIONNEL GAMBETTA</t>
  </si>
  <si>
    <t>BOURGOIN JALLIEU</t>
  </si>
  <si>
    <t>0380027Y</t>
  </si>
  <si>
    <t>LYCEE GENERAL CHAMPOLLION</t>
  </si>
  <si>
    <t>0380028Z</t>
  </si>
  <si>
    <t>0380033E</t>
  </si>
  <si>
    <t>LYCEE POLYVALENT VAUCANSON</t>
  </si>
  <si>
    <t>0380036H</t>
  </si>
  <si>
    <t>LYCEE PROFESSIONNEL GUYNEMER LYCEE DES METIERS DE L AUTOMOBILE DE LA MAINTENANCE DES ENGINS ET DES EQUIPEMENTS</t>
  </si>
  <si>
    <t>0380081G</t>
  </si>
  <si>
    <t>LYCEE POLYVALENT ELLA FITZGERALD</t>
  </si>
  <si>
    <t>0380092U</t>
  </si>
  <si>
    <t>LYCEE POLYVALENT FERDINAND BUISSON</t>
  </si>
  <si>
    <t>VOIRON</t>
  </si>
  <si>
    <t>0381603L</t>
  </si>
  <si>
    <t>LYCEE POLYVALENT ANDRE ARGOUGES</t>
  </si>
  <si>
    <t>0381670J</t>
  </si>
  <si>
    <t>LE PEAGE DE ROUSSILLON</t>
  </si>
  <si>
    <t>0381741L</t>
  </si>
  <si>
    <t>LYCEE PROFESSIONNEL PRIVE LE BREDA LYCEE DES METIERS DU COMMERCE DU SOCIAL ET DES SERVICES A LA PERSONNE</t>
  </si>
  <si>
    <t>ALLEVARD</t>
  </si>
  <si>
    <t>0381806G</t>
  </si>
  <si>
    <t>LYCEE PROFESSIONNEL PRIVE BORDIER LYCEE DES METIERS DU COMMERCE DU SOCIAL ET DES SERVICES A LA PERSONNE</t>
  </si>
  <si>
    <t>0382031B</t>
  </si>
  <si>
    <t>LYCEE PROFESSIONNEL THOMAS EDISON</t>
  </si>
  <si>
    <t>ECHIROLLES</t>
  </si>
  <si>
    <t>0382271M</t>
  </si>
  <si>
    <t>LYCEE PROFESSIONNEL J CL AUBRY LYCEE DES METIERS DES ARTS ET DES TECHNIQUES DE L INDUSTRIE</t>
  </si>
  <si>
    <t>0382440W</t>
  </si>
  <si>
    <t>LYCEE POLYVALENT LEONARD DE VINCI LYCEE DES METIERS DE L AUDIOVISUEL ET DU DESIGN</t>
  </si>
  <si>
    <t>VILLEFONTAINE</t>
  </si>
  <si>
    <t>0382838D</t>
  </si>
  <si>
    <t>LYCEE GENERAL ET TECHNOLOGIQUE LA PLEIADE</t>
  </si>
  <si>
    <t>0383119J</t>
  </si>
  <si>
    <t>LYCEE GENERAL ET TECHNOLOGIQUE PIERRE BEGHIN</t>
  </si>
  <si>
    <t>MOIRANS</t>
  </si>
  <si>
    <t>0390013C</t>
  </si>
  <si>
    <t>LYCEE POLYVALENT JACQUES DUHAMEL</t>
  </si>
  <si>
    <t>DOLE</t>
  </si>
  <si>
    <t>0390019J</t>
  </si>
  <si>
    <t>LYCEE GENERAL ET TECHNOLOGIQUE JEAN MICHEL</t>
  </si>
  <si>
    <t>LONS LE SAUNIER</t>
  </si>
  <si>
    <t>0390021L</t>
  </si>
  <si>
    <t>LYCEE PROFESSIONNEL MONTCIEL LYCEE DES METIERS DU SANITAIRE ET DU SOCIAL</t>
  </si>
  <si>
    <t>0390024P</t>
  </si>
  <si>
    <t>LYCEE PROFESSIONNEL PIERRE VERNOTTE</t>
  </si>
  <si>
    <t>MOIRANS EN MONTAGNE</t>
  </si>
  <si>
    <t>0390033Z</t>
  </si>
  <si>
    <t>LYCEE POLYVALENT HYACINTHE FRIANT LYCEE DES METIERS DE L HOTELLERIE DE LA RESTAURATION ET DU SANITAIRE ET DU SOCIAL</t>
  </si>
  <si>
    <t>POLIGNY</t>
  </si>
  <si>
    <t>0390786T</t>
  </si>
  <si>
    <t>LYCEE POLYVALENT PRE SAINT SAUVEUR</t>
  </si>
  <si>
    <t>SAINT CLAUDE</t>
  </si>
  <si>
    <t>0400027M</t>
  </si>
  <si>
    <t>LYCEE POLYVALENT JEAN TARIS LYCEE DES METIERS DE L AERONAUTIQUE</t>
  </si>
  <si>
    <t>PEYREHORADE</t>
  </si>
  <si>
    <t>0400049L</t>
  </si>
  <si>
    <t>LYCEE PROFESSIONNEL AMBROISE CROIZAT</t>
  </si>
  <si>
    <t>TARNOS</t>
  </si>
  <si>
    <t>0410001D</t>
  </si>
  <si>
    <t>LYCEE POLYVALENT AUGUSTIN THIERRY</t>
  </si>
  <si>
    <t>0410832G</t>
  </si>
  <si>
    <t>LYCEE PROFESSIONNEL SONIA DELAUNAY LYCEE DES METIERS DES SERVICES A LA PERSONNE ET DU TERTIAIRE</t>
  </si>
  <si>
    <t>0410954P</t>
  </si>
  <si>
    <t>0420008F</t>
  </si>
  <si>
    <t>LYCEE POLYVALENT JEREMIE DE LA RUE</t>
  </si>
  <si>
    <t>CHARLIEU</t>
  </si>
  <si>
    <t>0420021V</t>
  </si>
  <si>
    <t>LYCEE PROFESSIONNEL PIERRE COTON LYCEE DES METIERS DE L HABITAT ET DE L ENERGIE</t>
  </si>
  <si>
    <t>NERONDE</t>
  </si>
  <si>
    <t>0420029D</t>
  </si>
  <si>
    <t>LYCEE PROFESSIONNEL RENE CASSIN LYCEE DES METIERS DE LA DISTRIBUTION ET DES SERVICES</t>
  </si>
  <si>
    <t>RIVE DE GIER</t>
  </si>
  <si>
    <t>0420034J</t>
  </si>
  <si>
    <t>LYCEE GENERAL ET TECHNOLOGIQUE CARNOT</t>
  </si>
  <si>
    <t>0420049A</t>
  </si>
  <si>
    <t>LYCEE PROFESSIONNEL BENOIT CHARVET LYCEE DES METIERS DU TERTIAIRE LYCEE DES METIERS DES SOINS A LA PERSONNE</t>
  </si>
  <si>
    <t>0420073B</t>
  </si>
  <si>
    <t>LYCEE PROFESSIONNEL JACOB HOLTZER</t>
  </si>
  <si>
    <t>FIRMINY</t>
  </si>
  <si>
    <t>0420075D</t>
  </si>
  <si>
    <t>LYCEE PROFESSIONNEL BEAUREGARD</t>
  </si>
  <si>
    <t>MONTBRISON</t>
  </si>
  <si>
    <t>0420077F</t>
  </si>
  <si>
    <t>LYCEE PROFESSIONNEL ALBERT THOMAS</t>
  </si>
  <si>
    <t>0420974F</t>
  </si>
  <si>
    <t>LYCEE GENERAL ET TECHNOLOGIQUE PRIVE SAINTE ANNE</t>
  </si>
  <si>
    <t>0420976H</t>
  </si>
  <si>
    <t>LYCEE GENERAL ET TECHNOLOGIQUE PRIVE ENSEMBLE SCOLAIRE LA SALLE SITE SAINTE BARBE</t>
  </si>
  <si>
    <t>0420982P</t>
  </si>
  <si>
    <t>LYCEE PROFESSIONNEL PRIVE DES COLLINES</t>
  </si>
  <si>
    <t>0420998G</t>
  </si>
  <si>
    <t>LYCEE PROFESSIONNEL PRIVE DES MONTS DU LYONNAIS LYCEE DES METIERS DU COMMERCE ET DE LA GESTION DE LA MODE</t>
  </si>
  <si>
    <t>CHAZELLES SUR LYON</t>
  </si>
  <si>
    <t>0422160V</t>
  </si>
  <si>
    <t>LYCEE POLYVALENT PRIVE RENOUVEAU LYCEE DES METIERS DE LA RESTAURATION</t>
  </si>
  <si>
    <t>SAINT GENEST LERPT</t>
  </si>
  <si>
    <t>0422284E</t>
  </si>
  <si>
    <t>LYCEE GENERAL ET TECHNOLOGIQUE DES HORIZONS</t>
  </si>
  <si>
    <t>0430003V</t>
  </si>
  <si>
    <t>LYCEE GENERAL ET TECHNOLOGIQUE LA FAYETTE</t>
  </si>
  <si>
    <t>0430020N</t>
  </si>
  <si>
    <t>LYCEE POLYVALENT CHARLES ET ADRIEN DUPUY LYCEE DES METIERS DES SCIENCES ET TECHNIQUES</t>
  </si>
  <si>
    <t>0430101B</t>
  </si>
  <si>
    <t>LYCEE PROFESSIONNEL PRIVE PARADIS</t>
  </si>
  <si>
    <t>0440001M</t>
  </si>
  <si>
    <t>LYCEE POLYVALENT JOUBERT EMILIEN MAILLARD</t>
  </si>
  <si>
    <t>ANCENIS SAINT GEREON</t>
  </si>
  <si>
    <t>0440012Z</t>
  </si>
  <si>
    <t>LA BAULE ESCOUBLAC</t>
  </si>
  <si>
    <t>0440033X</t>
  </si>
  <si>
    <t>LYCEE PROFESSIONNEL FRANCOIS ARAGO LYCEE DES METIERS DU BOIS DE LA METALLERIE DE LA MAINTENANCE ET DES SYSTEMES NUMERIQUES</t>
  </si>
  <si>
    <t>0440035Z</t>
  </si>
  <si>
    <t>0440062D</t>
  </si>
  <si>
    <t>LYCEE GENERAL ET TECHNOLOGIQUE JEAN PERRIN LYCEE DES METIERS DE L ELECTRICITE ET DE LA DOMOTIQUE</t>
  </si>
  <si>
    <t>REZE</t>
  </si>
  <si>
    <t>0440119R</t>
  </si>
  <si>
    <t>LYCEE POLYVALENT PRIVE HOTELIER SAINTE ANNE LYCEE DES METIERS DE L HOTELLERIE ET DE LA RESTAURATION ET DE LA SANTE</t>
  </si>
  <si>
    <t>0440246D</t>
  </si>
  <si>
    <t>LYCEE POLYVALENT PRIVE SACRE COEUR LA SALLE LYCEE DES METIERS DU COMMERCE ET DE LA GESTION</t>
  </si>
  <si>
    <t>0440256P</t>
  </si>
  <si>
    <t>LYCEE POLYVALENT PRIVE SAINT PIERRE LA JOLIVERIE</t>
  </si>
  <si>
    <t>0440282T</t>
  </si>
  <si>
    <t>LYCEE PROFESSIONNEL PRIVE LE MASLE LYCEE DES METIERS DE LA RELATION CLIENT</t>
  </si>
  <si>
    <t>0441653H</t>
  </si>
  <si>
    <t>LYCEE POLYVALENT PRIVE SAINT JOSEPH LA JOLIVERIE</t>
  </si>
  <si>
    <t>0441656L</t>
  </si>
  <si>
    <t>LYCEE PROFESSIONNEL PABLO NERUDA</t>
  </si>
  <si>
    <t>BOUGUENAIS</t>
  </si>
  <si>
    <t>0442273G</t>
  </si>
  <si>
    <t>LYCEE GENERAL ET TECHNOLOGIQUE PRIVE CHARLES PEGUY</t>
  </si>
  <si>
    <t>GORGES</t>
  </si>
  <si>
    <t>0442765S</t>
  </si>
  <si>
    <t>LYCEE POLYVALENT NELSON MANDELA</t>
  </si>
  <si>
    <t>0442899M</t>
  </si>
  <si>
    <t>LYCEE POLYVALENT CAROLINE AIGLE</t>
  </si>
  <si>
    <t>NORT SUR ERDRE</t>
  </si>
  <si>
    <t>0450040Z</t>
  </si>
  <si>
    <t>LYCEE GENERAL ET TECHNOLOGIQUE EN FORET</t>
  </si>
  <si>
    <t>0450062Y</t>
  </si>
  <si>
    <t>LYCEE GENERAL ET TECHNOLOGIQUE DUHAMEL DU MONCEAU</t>
  </si>
  <si>
    <t>PITHIVIERS</t>
  </si>
  <si>
    <t>0450757D</t>
  </si>
  <si>
    <t>LYCEE GENERAL ET TECHNOLOGIQUE PRIVE SAINTE CROIX SAINT EUVERTE</t>
  </si>
  <si>
    <t>0451462V</t>
  </si>
  <si>
    <t>LYCEE GENERAL ET TECHNOLOGIQUE JACQUES MONOD</t>
  </si>
  <si>
    <t>SAINT JEAN DE BRAYE</t>
  </si>
  <si>
    <t>0460013P</t>
  </si>
  <si>
    <t>LYCEE POLYVALENT LEO FERRE</t>
  </si>
  <si>
    <t>GOURDON</t>
  </si>
  <si>
    <t>0460050E</t>
  </si>
  <si>
    <t>LYCEE PROFESSIONNEL PRIVE SAINT ETIENNE</t>
  </si>
  <si>
    <t>CAHORS</t>
  </si>
  <si>
    <t>0460529A</t>
  </si>
  <si>
    <t>LYCEE PROFESSIONNEL HOTELIER QUERCY PERIGORD LYCEE DES METIERS DE L HOTELLERIE ET RESTAURATION</t>
  </si>
  <si>
    <t>SOUILLAC</t>
  </si>
  <si>
    <t>0470001W</t>
  </si>
  <si>
    <t>0470028A</t>
  </si>
  <si>
    <t>LYCEE GENERAL GEORGE SAND</t>
  </si>
  <si>
    <t>NERAC</t>
  </si>
  <si>
    <t>0470029B</t>
  </si>
  <si>
    <t>LYCEE PROFESSIONNEL JACQUES DE ROMAS LYCEE DES METIERS DE L HOTELLERIE RESTAURATION ET DES SERVICES A LA PERSONNE</t>
  </si>
  <si>
    <t>0470641S</t>
  </si>
  <si>
    <t>LYCEE PROFESSIONNEL BENOIT D AZY</t>
  </si>
  <si>
    <t>FUMEL</t>
  </si>
  <si>
    <t>LOZERE</t>
  </si>
  <si>
    <t>0480007X</t>
  </si>
  <si>
    <t>LYCEE GENERAL ET TECHNOLOGIQUE CHAPTAL</t>
  </si>
  <si>
    <t>MENDE</t>
  </si>
  <si>
    <t>0490801E</t>
  </si>
  <si>
    <t>LYCEE PROFESSIONNEL PAUL EMILE VICTOR</t>
  </si>
  <si>
    <t>AVRILLE</t>
  </si>
  <si>
    <t>0490819Z</t>
  </si>
  <si>
    <t>LYCEE GENERAL ET TECHNOLOGIQUE PRIVE ST BENOIT SITE UNIVERSITE</t>
  </si>
  <si>
    <t>0490837U</t>
  </si>
  <si>
    <t>CHEMILLE EN ANJOU</t>
  </si>
  <si>
    <t>0490838V</t>
  </si>
  <si>
    <t>0492015Z</t>
  </si>
  <si>
    <t>LYCEE GENERAL ET TECHNOLOGIQUE PRIVE SACRE COEUR LA SALLE LYCEE DES METIERS DU COMMERCE ET DE LA GESTION</t>
  </si>
  <si>
    <t>0492285T</t>
  </si>
  <si>
    <t>LYCEE TECHNOLOGIQUE PRIVE LES ARDILLIERS</t>
  </si>
  <si>
    <t>0492406Z</t>
  </si>
  <si>
    <t>LYCEE GENERAL ET TECHNOLOGIQUE PRIVE SAINTE MARIE</t>
  </si>
  <si>
    <t>0500002F</t>
  </si>
  <si>
    <t>LYCEE GENERAL ET TECHNOLOGIQUE EMILE LITTRE</t>
  </si>
  <si>
    <t>0500049G</t>
  </si>
  <si>
    <t>LYCEE POLYVALENT ROBERT DE MORTAIN LYCEE DES METIERS DES CARRIERES DU SANITAIRE ET DU SOCIAL</t>
  </si>
  <si>
    <t>MORTAIN BOCAGE</t>
  </si>
  <si>
    <t>0500087Y</t>
  </si>
  <si>
    <t>LYCEE POLYVALENT CLAUDE LEHEC LYCEE DES METIERS DE LA MAINTENANCE DES MATERIELS</t>
  </si>
  <si>
    <t>SAINT HILAIRE DU HARCOUËT</t>
  </si>
  <si>
    <t>0501299R</t>
  </si>
  <si>
    <t>LYCEE GENERAL ET TECHNOLOGIQUE PRIVE THOMAS HELYE</t>
  </si>
  <si>
    <t>0501789Y</t>
  </si>
  <si>
    <t>LYCEE PROFESSIONNEL PRIVE LE BON SAUVEUR LYCEE DES METIERS DES SOINS A LA PERSONNE ET DU TOURISME</t>
  </si>
  <si>
    <t>0510006E</t>
  </si>
  <si>
    <t>LYCEE GENERAL PIERRE BAYEN</t>
  </si>
  <si>
    <t>CHALONS EN CHAMPAGNE</t>
  </si>
  <si>
    <t>0510035L</t>
  </si>
  <si>
    <t>LYCEE GENERAL ET TECHNOLOGIQUE HUGUES LIBERGIER LYCEE DES METIERS DES BIOTECHNOLOGIES DE LA CHIMIE DU SOCIAL ET DE L ASSISTANCE AU MANAGEMENT</t>
  </si>
  <si>
    <t>0510038P</t>
  </si>
  <si>
    <t>LYCEE PROFESSIONNEL EUROPE LYCEE DES METIERS DES SOINS PERSONNELS ET SERVICES A LA PERSONNE</t>
  </si>
  <si>
    <t>0510053F</t>
  </si>
  <si>
    <t>LYCEE POLYVALENT LA FONTAINE DU VE</t>
  </si>
  <si>
    <t>SEZANNE</t>
  </si>
  <si>
    <t>0511130B</t>
  </si>
  <si>
    <t>LYCEE GENERAL PRIVE JEAN XXIII</t>
  </si>
  <si>
    <t>0511140M</t>
  </si>
  <si>
    <t>0511142P</t>
  </si>
  <si>
    <t>LYCEE GENERAL PRIVE SACRE COEUR</t>
  </si>
  <si>
    <t>0530049R</t>
  </si>
  <si>
    <t>LYCEE GENERAL ET TECHNOLOGIQUE PRIVE D AVESNIERES</t>
  </si>
  <si>
    <t>LAVAL</t>
  </si>
  <si>
    <t>0530778H</t>
  </si>
  <si>
    <t>LYCEE PROFESSIONNEL GASTON LESNARD LYCEE DES METIERS DU BATIMENT</t>
  </si>
  <si>
    <t>0530904V</t>
  </si>
  <si>
    <t>LYCEE PROFESSIONNEL PRIVE IMMACULEE CONCEPTION</t>
  </si>
  <si>
    <t>0530949U</t>
  </si>
  <si>
    <t>LYCEE POLYVALENT RAOUL VADEPIED</t>
  </si>
  <si>
    <t>EVRON</t>
  </si>
  <si>
    <t>0540038Y</t>
  </si>
  <si>
    <t>LYCEE GENERAL ET TECHNOLOGIQUE HENRI POINCARE</t>
  </si>
  <si>
    <t>0540066D</t>
  </si>
  <si>
    <t>LYCEE GENERAL ET TECHNOLOGIQUE LOUIS MAJORELLE</t>
  </si>
  <si>
    <t>TOUL</t>
  </si>
  <si>
    <t>0540082W</t>
  </si>
  <si>
    <t>LYCEE PROFESSIONNEL PAUL LOUIS CYFFLE LYCEE DES METIERS DES INDUSTRIES GRAPHIQUES ET DES SERVICES AUX ORGANISATIONS</t>
  </si>
  <si>
    <t>0541309E</t>
  </si>
  <si>
    <t>LYCEE GENERAL ET TECHNOLOGIQUE PRIVE DES RECOLLETS</t>
  </si>
  <si>
    <t>LONGWY</t>
  </si>
  <si>
    <t>0541313J</t>
  </si>
  <si>
    <t>LYCEE GENERAL PRIVE SAINT LEON IX</t>
  </si>
  <si>
    <t>0541319R</t>
  </si>
  <si>
    <t>LYCEE GENERAL PRIVE SAINT DOMINIQUE</t>
  </si>
  <si>
    <t>0541986R</t>
  </si>
  <si>
    <t>LYCEE GENERAL PRIVE LA MALGRANGE</t>
  </si>
  <si>
    <t>JARVILLE LA MALGRANGE</t>
  </si>
  <si>
    <t>0542161F</t>
  </si>
  <si>
    <t>LYCEE TECHNOLOGIQUE PRIVE PIERRE DE COUBERTIN</t>
  </si>
  <si>
    <t>0542262R</t>
  </si>
  <si>
    <t>LYCEE POLYVALENT EMMANUEL HERE LYCEE DES METIERS DU BATIMENT ET DE L ENERGIE</t>
  </si>
  <si>
    <t>LAXOU</t>
  </si>
  <si>
    <t>0542448T</t>
  </si>
  <si>
    <t>LYCEE TECHNOLOGIQUE CLAUDE DAUNOT</t>
  </si>
  <si>
    <t>0550026E</t>
  </si>
  <si>
    <t>LYCEE PROFESSIONNEL ALAIN FOURNIER</t>
  </si>
  <si>
    <t>0550047C</t>
  </si>
  <si>
    <t>0550049E</t>
  </si>
  <si>
    <t>0550700M</t>
  </si>
  <si>
    <t>LYCEE PROFESSIONNEL PRIVE NOTRE DAME DES VERTUS</t>
  </si>
  <si>
    <t>LIGNY EN BARROIS</t>
  </si>
  <si>
    <t>0560016N</t>
  </si>
  <si>
    <t>LYCEE POLYVALENT BROCELIANDE LYCEE DES METIERS DU TRANSPORT DE LA LOGISTIQUE LYCEE DES METIERS DE LA MAINTENANCE DES VEHICULES INDUSTRIELS</t>
  </si>
  <si>
    <t>GUER</t>
  </si>
  <si>
    <t>0560042S</t>
  </si>
  <si>
    <t>LYCEE PROFESSIONNEL JULIEN CROZET</t>
  </si>
  <si>
    <t>PORT LOUIS</t>
  </si>
  <si>
    <t>0560053D</t>
  </si>
  <si>
    <t>LYCEE PROFESSIONNEL JEAN GUEHENNO</t>
  </si>
  <si>
    <t>0560098C</t>
  </si>
  <si>
    <t>LYCEE GENERAL ET TECHNOLOGIQUE PRIVE NOTRE DAME DU VOEU</t>
  </si>
  <si>
    <t>HENNEBONT</t>
  </si>
  <si>
    <t>0560105K</t>
  </si>
  <si>
    <t>LYCEE POLYVALENT PRIVE LA MENNAIS LYCEE DES METIERS DE L ELECTRICITE ET DES SERVICES A L ENTREPRISE</t>
  </si>
  <si>
    <t>PLOËRMEL</t>
  </si>
  <si>
    <t>0560114V</t>
  </si>
  <si>
    <t>LYCEE GENERAL PRIVE SAINT FRANCOIS XAVIER</t>
  </si>
  <si>
    <t>0560119A</t>
  </si>
  <si>
    <t>LYCEE POLYVALENT PRIVE SAINTE ANNE SAINT LOUIS</t>
  </si>
  <si>
    <t>SAINTE ANNE D AURAY</t>
  </si>
  <si>
    <t>0560182U</t>
  </si>
  <si>
    <t>LYCEE POLYVALENT JEANNE D ARC SAINT IVY LYCEE DES METIERS DE L HOTELLERIE ET DU TOURISME</t>
  </si>
  <si>
    <t>0560197K</t>
  </si>
  <si>
    <t>LYCEE PROFESSIONNEL PRIVE SAINT MICHEL</t>
  </si>
  <si>
    <t>PRIZIAC</t>
  </si>
  <si>
    <t>0561534N</t>
  </si>
  <si>
    <t>LYCEE GENERAL ET TECHNOLOGIQUE BENJAMIN FRANKLIN</t>
  </si>
  <si>
    <t>AURAY</t>
  </si>
  <si>
    <t>0561641E</t>
  </si>
  <si>
    <t>LYCEE POLYV MARCELLIN BERTHELOT LYCEE DES METIERS DES MATERIAUX PLASTIQUES ET COMPOSITES ET DES OUTILLAGES</t>
  </si>
  <si>
    <t>QUESTEMBERT</t>
  </si>
  <si>
    <t>0570081D</t>
  </si>
  <si>
    <t>LYCEE GENERAL ET TECHNOLOGIQUE ERCKMANN CHATRIAN</t>
  </si>
  <si>
    <t>PHALSBOURG</t>
  </si>
  <si>
    <t>0570094T</t>
  </si>
  <si>
    <t>LYCEE POLYVALENT MANGIN</t>
  </si>
  <si>
    <t>SARREBOURG</t>
  </si>
  <si>
    <t>0570098X</t>
  </si>
  <si>
    <t>LYCEE GENERAL ET TECHNOLOGIQUE JEAN DE PANGE</t>
  </si>
  <si>
    <t>SARREGUEMINES</t>
  </si>
  <si>
    <t>0570099Y</t>
  </si>
  <si>
    <t>LYCEE HENRI NOMINE LYCEE DES METIERS DES SERVICES AUX ENTREPRISES</t>
  </si>
  <si>
    <t>0570124A</t>
  </si>
  <si>
    <t>LYCEE PROFESSIONNEL RENE CASSIN</t>
  </si>
  <si>
    <t>0570294K</t>
  </si>
  <si>
    <t>0572341K</t>
  </si>
  <si>
    <t>MONTIGNY LES METZ</t>
  </si>
  <si>
    <t>0573172N</t>
  </si>
  <si>
    <t>LYCEE TECHNOLOGIQUE PRIVE SAINTE CHRETIENNE</t>
  </si>
  <si>
    <t>SAINT AVOLD</t>
  </si>
  <si>
    <t>0573227Y</t>
  </si>
  <si>
    <t>LYCEE POLYVALENT LOUIS DE CORMONTAIGNE</t>
  </si>
  <si>
    <t>0580050P</t>
  </si>
  <si>
    <t>LYCEE PROFESSIONNEL JEAN ROSTAND</t>
  </si>
  <si>
    <t>NEVERS</t>
  </si>
  <si>
    <t>0590005K</t>
  </si>
  <si>
    <t>LYCEE PROFESSIONNEL PIERRE JOSEPH FONTAINE</t>
  </si>
  <si>
    <t>ANZIN</t>
  </si>
  <si>
    <t>0590018Z</t>
  </si>
  <si>
    <t>LYCEE POLYVALENT JESSE DE FOREST</t>
  </si>
  <si>
    <t>AVESNES SUR HELPE</t>
  </si>
  <si>
    <t>0590035T</t>
  </si>
  <si>
    <t>LYCEE GENERAL ET TECHNOLOGIQUE FENELON</t>
  </si>
  <si>
    <t>0590063Y</t>
  </si>
  <si>
    <t>LYCEE GENERAL ALBERT CHATELET</t>
  </si>
  <si>
    <t>0590098L</t>
  </si>
  <si>
    <t>LYCEE PROFESSIONNEL PLACIDE COURTOY</t>
  </si>
  <si>
    <t>HAUTMONT</t>
  </si>
  <si>
    <t>0590101P</t>
  </si>
  <si>
    <t>LYCEE GENERAL ET TECHNOLOGIQUE DES FLANDRES</t>
  </si>
  <si>
    <t>0590112B</t>
  </si>
  <si>
    <t>LYCEE GENERAL ET TECHNOLOGIQUE DUPLEIX</t>
  </si>
  <si>
    <t>LANDRECIES</t>
  </si>
  <si>
    <t>0590116F</t>
  </si>
  <si>
    <t>LYCEE GENERAL FENELON</t>
  </si>
  <si>
    <t>0590144L</t>
  </si>
  <si>
    <t>LYCEE PROFESSIONNEL AUTOMOBILE ALFRED MONGY LYCEE DES METIERS DE LA MAINTENANCE DES VEHICULES</t>
  </si>
  <si>
    <t>MARCQ EN BAROEUL</t>
  </si>
  <si>
    <t>0590198V</t>
  </si>
  <si>
    <t>LYCEE PROFESSIONNEL GEORGES GUYNEMER</t>
  </si>
  <si>
    <t>0590222W</t>
  </si>
  <si>
    <t>LYCEE GENERAL ET TECHNOLOGIQUE WATTEAU</t>
  </si>
  <si>
    <t>0590223X</t>
  </si>
  <si>
    <t>LYCEE GENERAL ET TECHNOLOGIQUE DU HAINAUT</t>
  </si>
  <si>
    <t>0590265T</t>
  </si>
  <si>
    <t>LYCEE PROFESSIONNEL EDMOND LABBE</t>
  </si>
  <si>
    <t>0590270Y</t>
  </si>
  <si>
    <t>LYCEE PROFESSIONNEL DU HAINAUT LYCEE DES METIERS DE L AUTOMOBILE LYCEE DES METIERS DE LA CHAUDRONNERIE</t>
  </si>
  <si>
    <t>0592832H</t>
  </si>
  <si>
    <t>LYCEE PROFESSIONNEL VERTES FEUILLES LYCEE DES METIERS DE LA SECURITE ET DE LA PREVENTION</t>
  </si>
  <si>
    <t>SAINT ANDRE LEZ LILLE</t>
  </si>
  <si>
    <t>0592928M</t>
  </si>
  <si>
    <t>LYCEE POLYVALENT PRIVE SAINTE JEANNE D ARC LYCEE DES METIERS DE L HOTELLERIE RESTAURATION LYCEE DES METIERS DE L ESTHETIQUE ET DE LA COIFFURE</t>
  </si>
  <si>
    <t>AULNOYE AYMERIES</t>
  </si>
  <si>
    <t>0592966D</t>
  </si>
  <si>
    <t>LYCEE POLYVALENT PRIVE EIC JEHANNE D ARC</t>
  </si>
  <si>
    <t>0592976P</t>
  </si>
  <si>
    <t>LYCEE POLYVALENT PRIVE HELENE BOUCHER</t>
  </si>
  <si>
    <t>SOMAIN</t>
  </si>
  <si>
    <t>0593007Y</t>
  </si>
  <si>
    <t>LYCEE GENERAL ET TECHNOLOGIQUE PRIVE FREDERIC OZANAM LYCEE DES METIERS DE LA CONSTRUCTION DE L ENVIRONNEMENT ET DES ENERGIES</t>
  </si>
  <si>
    <t>0593027V</t>
  </si>
  <si>
    <t>LYCEE PROFESSIONNEL PRIVE INDUSTRIES LILLOISES LYCEE DES METIERS DE LA CONSTRUCTION DE L ENVIRONNEMENT ET DES ÉNERGIES</t>
  </si>
  <si>
    <t>0593030Y</t>
  </si>
  <si>
    <t>LYCEE PROFESSIONNEL PRIVE NOTRE DAME DU SACRE COEUR LYCEE DES METIERS DU BIEN ÊTRE DE LA SANTE ET DU SOCIAL</t>
  </si>
  <si>
    <t>0593071T</t>
  </si>
  <si>
    <t>LYCEE POLYVALENT PRIVE DEFOREST DE LEWARDE</t>
  </si>
  <si>
    <t>0593077Z</t>
  </si>
  <si>
    <t>0593104D</t>
  </si>
  <si>
    <t>LYCEE POLYVALENT PRIVE SAINT PIERRE</t>
  </si>
  <si>
    <t>0593106F</t>
  </si>
  <si>
    <t>LYCEE GENERAL PRIVE SAINTE ODILE</t>
  </si>
  <si>
    <t>0593109J</t>
  </si>
  <si>
    <t>LYCEE GENERAL PRIVE NOTRE DAME DE LA PAIX</t>
  </si>
  <si>
    <t>0593225K</t>
  </si>
  <si>
    <t>LYCEE PRIVE DE MARCQ</t>
  </si>
  <si>
    <t>0593495D</t>
  </si>
  <si>
    <t>WAZIERS</t>
  </si>
  <si>
    <t>0594391C</t>
  </si>
  <si>
    <t>LYCEE TECHNOLOGIQUE ECOLE SUP ARTS APPLIQUES TEXTILE</t>
  </si>
  <si>
    <t>0595678B</t>
  </si>
  <si>
    <t>TRITH SAINT LEGER</t>
  </si>
  <si>
    <t>0595786U</t>
  </si>
  <si>
    <t>LYCEE GENERAL ET TECHNOLOGIQUE JEAN PROUVE</t>
  </si>
  <si>
    <t>0595787V</t>
  </si>
  <si>
    <t>LYCEE PROFESSIONNEL ALAIN SAVARY LYCEE DES METIERS</t>
  </si>
  <si>
    <t>WATTRELOS</t>
  </si>
  <si>
    <t>0595809U</t>
  </si>
  <si>
    <t>LYCEE GENERAL ET TECHNOLOGIQUE DE L ESCAUT</t>
  </si>
  <si>
    <t>0595894L</t>
  </si>
  <si>
    <t>LYCEE PROFESSIONNEL FRANCOIS RABELAIS</t>
  </si>
  <si>
    <t>0596122J</t>
  </si>
  <si>
    <t>LYCEE GENERAL PRIVE JEANNINE MANUEL</t>
  </si>
  <si>
    <t>0600003C</t>
  </si>
  <si>
    <t>LYCEE PROFESSIONNEL JEAN BAPTISTE COROT LYCEE DES METIERS DE L HABITAT ET DU COMMERCE</t>
  </si>
  <si>
    <t>0600041U</t>
  </si>
  <si>
    <t>LYCEE PROFESSIONNEL CHARLES DE BOVELLES LYCEE DES METIERS</t>
  </si>
  <si>
    <t>NOYON</t>
  </si>
  <si>
    <t>0600049C</t>
  </si>
  <si>
    <t>LYCEE PROFESSIONNEL AMYOT D INVILLE LYCEE DES METIERS DU BTP DE LA VENTE ET DE LA COMMUNICATION GRAPHIQUE</t>
  </si>
  <si>
    <t>SENLIS</t>
  </si>
  <si>
    <t>0600063T</t>
  </si>
  <si>
    <t>LYCEE PROFESSIONNEL JULES UHRY</t>
  </si>
  <si>
    <t>CREIL</t>
  </si>
  <si>
    <t>0601162M</t>
  </si>
  <si>
    <t>LYCEE PROFESSIONNEL PRIVE ST VINCENT DE PAUL</t>
  </si>
  <si>
    <t>0601164P</t>
  </si>
  <si>
    <t>LYCEE PROFESSIONNEL PRIVE CROISET</t>
  </si>
  <si>
    <t>0601699W</t>
  </si>
  <si>
    <t>LYCEE GENERAL ET TECHNOLOGIQUE PRIVE SAINT ESPRIT</t>
  </si>
  <si>
    <t>0601701Y</t>
  </si>
  <si>
    <t>LYCEE GENERAL ET TECHNOLOGIQUE PRIVE JEAN PAUL II</t>
  </si>
  <si>
    <t>0601824G</t>
  </si>
  <si>
    <t>LYCEE GENERAL ET TECHNOLOGIQUE JEANNE HACHETTE</t>
  </si>
  <si>
    <t>0601831P</t>
  </si>
  <si>
    <t>LYCEE GENERAL ET TECHNOLOGIQUE PRIVE ST JOSEPH DU MONCEL</t>
  </si>
  <si>
    <t>PONT SAINTE MAXENCE</t>
  </si>
  <si>
    <t>0601863Z</t>
  </si>
  <si>
    <t>LYCEE POLYVALENT CHARLES DE GAULLE LYCEE DES METIERS DE LA RESTAURATION ET DU TOURISME</t>
  </si>
  <si>
    <t>0601897L</t>
  </si>
  <si>
    <t>LYCEE PROFESSIONNEL JULES VERNE LYCEE DES METIERS DU GENIE ELECTRIQUE ET DES SERVICES A LA PERSONNE</t>
  </si>
  <si>
    <t>GRANDVILLIERS</t>
  </si>
  <si>
    <t>0601947R</t>
  </si>
  <si>
    <t>LYCEE PROFESSIONNEL PRIVE SEVIGNE</t>
  </si>
  <si>
    <t>0610006A</t>
  </si>
  <si>
    <t>LYCEE POLYVALENT MEZERAY GABRIEL</t>
  </si>
  <si>
    <t>0610724F</t>
  </si>
  <si>
    <t>LYCEE PROFESSIONNEL PRIVE ESAT DE GIEL</t>
  </si>
  <si>
    <t>GIEL COURTEILLES</t>
  </si>
  <si>
    <t>0620011A</t>
  </si>
  <si>
    <t>LYCEE PROFESSIONNEL JACQUES LE CARON</t>
  </si>
  <si>
    <t>0620027T</t>
  </si>
  <si>
    <t>LYCEE POLYVALENT PABLO PICASSO</t>
  </si>
  <si>
    <t>AVION</t>
  </si>
  <si>
    <t>0620040G</t>
  </si>
  <si>
    <t>LYCEE GENERAL ET TECHNOLOGIQUE LOUIS BLARINGHEM</t>
  </si>
  <si>
    <t>BETHUNE</t>
  </si>
  <si>
    <t>0620062F</t>
  </si>
  <si>
    <t>LYCEE GENERAL ET TECHNOLOGIQUE PIERRE DE COUBERTIN</t>
  </si>
  <si>
    <t>CALAIS</t>
  </si>
  <si>
    <t>0620070P</t>
  </si>
  <si>
    <t>LYCEE GENERAL ET TECHNOLOGIQUE DIDEROT</t>
  </si>
  <si>
    <t>CARVIN</t>
  </si>
  <si>
    <t>0620110H</t>
  </si>
  <si>
    <t>LYCEE PROFESSIONNEL AUGUSTE BEHAL LYCEE DES METIERS DE LA PERSONNE SANTE SOCIAL LYCEE DES METIERS DE CONSTRUCTION BOIS ET MATERIAUX</t>
  </si>
  <si>
    <t>0620113L</t>
  </si>
  <si>
    <t>LYCEE GENERAL ET TECHNOLOGIQUE HENRI DARRAS</t>
  </si>
  <si>
    <t>LIEVIN</t>
  </si>
  <si>
    <t>0620187S</t>
  </si>
  <si>
    <t>LYCEE PROFESSIONNEL JULES VERNE LYCEE DES METIERS DU BATIMENT ET DES ENERGIES RENOUVELABLES</t>
  </si>
  <si>
    <t>ETAPLES</t>
  </si>
  <si>
    <t>0620188T</t>
  </si>
  <si>
    <t>LYCEE PROFESSIONNEL DU DETROIT LYCEE DES METIERS DE LA MODE ET DES TEXTILES LYCEE DES METIERS DE LA MAINTENANCE INDUSTRIELLE DES TERRES D OPALE</t>
  </si>
  <si>
    <t>0620189U</t>
  </si>
  <si>
    <t>LYCEE PROFESSIONNEL PIERRE DE COUBERTIN</t>
  </si>
  <si>
    <t>0620190V</t>
  </si>
  <si>
    <t>LYCEE PROFESSIONNEL HENRI DARRAS</t>
  </si>
  <si>
    <t>0620192X</t>
  </si>
  <si>
    <t>LYCEE PROFESSIONNEL PIERRE MENDES FRANCE LYCEE DES METIERS DES SYSTEMES AUTOMATIQUES ET DE L ELECTRONIQUE COMMUNICANTE</t>
  </si>
  <si>
    <t>BRUAY LA BUISSIERE</t>
  </si>
  <si>
    <t>0620220C</t>
  </si>
  <si>
    <t>LYCEE PROFESSIONNEL LA PEUPLERAIE</t>
  </si>
  <si>
    <t>SALLAUMINES</t>
  </si>
  <si>
    <t>0620256S</t>
  </si>
  <si>
    <t>LYCEE POLYVALENT GUY MOLLET</t>
  </si>
  <si>
    <t>0620258U</t>
  </si>
  <si>
    <t>WINGLES</t>
  </si>
  <si>
    <t>0622107D</t>
  </si>
  <si>
    <t>LYCEE GENERAL PRIVE NAZARETH HAFFREINGUE</t>
  </si>
  <si>
    <t>BOULOGNE SUR MER</t>
  </si>
  <si>
    <t>0622120T</t>
  </si>
  <si>
    <t>LYCEE GENERAL PRIVE NOTRE DAME DE SION</t>
  </si>
  <si>
    <t>0622275L</t>
  </si>
  <si>
    <t>LYCEE PROFESSIONNEL JEAN CHARLES CAZIN</t>
  </si>
  <si>
    <t>0622276M</t>
  </si>
  <si>
    <t>LYCEE POLYVALENT JAN LAVEZZARI</t>
  </si>
  <si>
    <t>BERCK</t>
  </si>
  <si>
    <t>0622801H</t>
  </si>
  <si>
    <t>LYCEE PROFESSIONNEL JEAN BERTIN LYCEE DES METIERS DES TRAVAUX PUBLICS</t>
  </si>
  <si>
    <t>0622803K</t>
  </si>
  <si>
    <t>LYCEE GENERAL ET TECHNOLOGIQUE BLAISE PASCAL</t>
  </si>
  <si>
    <t>LONGUENESSE</t>
  </si>
  <si>
    <t>0623377J</t>
  </si>
  <si>
    <t>LYCEE PROFESSIONNEL DU BATIMENT FRANCOIS HENNEBIQUE</t>
  </si>
  <si>
    <t>0630001J</t>
  </si>
  <si>
    <t>AMBERT</t>
  </si>
  <si>
    <t>0630018C</t>
  </si>
  <si>
    <t>LYCEE GENERAL BLAISE PASCAL</t>
  </si>
  <si>
    <t>0630021F</t>
  </si>
  <si>
    <t>LYCEE POLYVALENT LA FAYETTE LYCEE DES METIERS DE L INGENIERIE INDUSTRIELLE</t>
  </si>
  <si>
    <t>0630022G</t>
  </si>
  <si>
    <t>LYCEE PROFESSIONNEL ROGER CLAUSTRES LYCEE DES METIERS DES REALISATIONS INDUSTRIELLES ET ARTISANALES</t>
  </si>
  <si>
    <t>0630024J</t>
  </si>
  <si>
    <t>LYCEE PROFESSIONNEL AMEDEE GASQUET LYCEE DES METIERS DES SERVICES AUX ENTREPRISES</t>
  </si>
  <si>
    <t>0630054S</t>
  </si>
  <si>
    <t>LYCEE PROFESSIONNEL MARIE LAURENCIN LYCEE DES METIERS DE LA MODE ET DES ARTS</t>
  </si>
  <si>
    <t>0631032E</t>
  </si>
  <si>
    <t>LYCEE GENERAL PRIVE SAINT PIERRE</t>
  </si>
  <si>
    <t>COURPIERE</t>
  </si>
  <si>
    <t>0631048X</t>
  </si>
  <si>
    <t>LYCEE PROFESSIONNEL PRIVE RENE RAMBAUD COIFFURE</t>
  </si>
  <si>
    <t>0631070W</t>
  </si>
  <si>
    <t>LYCEE GENERAL ET TECHNOLOGIQUE PRIVE SAINTE THECLE LYCEE DES METIERS DE LA SANTE ET DU SOCIAL</t>
  </si>
  <si>
    <t>CHAMALIERES</t>
  </si>
  <si>
    <t>0631074A</t>
  </si>
  <si>
    <t>LYCEE GENERAL ET TECHNOLOGIQUE PRIVE FENELON LYCEE DES METIERS DE LA SANTE ET DU SOCIAL</t>
  </si>
  <si>
    <t>0631408N</t>
  </si>
  <si>
    <t>LYCEE PROFESSIONNEL PRIVE LES CORDELIERS LYCEE DES METIERS DE LA SANTE ET DU SOCIAL</t>
  </si>
  <si>
    <t>0631669X</t>
  </si>
  <si>
    <t>LYCEE POLYVALENT LYCEE DES METIERS DE L HOTELLERIE DE LA RESTAURATION ET DU TOURISME</t>
  </si>
  <si>
    <t>0631847R</t>
  </si>
  <si>
    <t>0640012R</t>
  </si>
  <si>
    <t>LYCEE PROFESSIONNEL LOUIS DE FOIX</t>
  </si>
  <si>
    <t>0640017W</t>
  </si>
  <si>
    <t>LYCEE GENERAL EXPERIMENTAL ANDRE MALRAUX</t>
  </si>
  <si>
    <t>0640040W</t>
  </si>
  <si>
    <t>LYCEE PROFESSIONNEL JEAN PIERRE CHAMPO LYCEE DES METIERS DE LA MAINTENANCE</t>
  </si>
  <si>
    <t>MAULEON LICHARRE</t>
  </si>
  <si>
    <t>0640046C</t>
  </si>
  <si>
    <t>LYCEE GENERAL PAUL REY</t>
  </si>
  <si>
    <t>NAY</t>
  </si>
  <si>
    <t>0640049F</t>
  </si>
  <si>
    <t>LYCEE PROFESSIONNEL GUYNEMER LYCEE DES METIERS DE L INDUSTRIE ET DU NUMERIQUE</t>
  </si>
  <si>
    <t>0640050G</t>
  </si>
  <si>
    <t>LYCEE PROFESSIONNEL DU 4 SEPTEMBRE 1870 LYCEE DES METIERS DU COMMERCE ET DES SERVICES</t>
  </si>
  <si>
    <t>0640122K</t>
  </si>
  <si>
    <t>LYCEE GENERAL PRIVE LE BEAU RAMEAU</t>
  </si>
  <si>
    <t>IGON</t>
  </si>
  <si>
    <t>0640125N</t>
  </si>
  <si>
    <t>0640131V</t>
  </si>
  <si>
    <t>0640137B</t>
  </si>
  <si>
    <t>USTARITZ</t>
  </si>
  <si>
    <t>0640189H</t>
  </si>
  <si>
    <t>LYCEE PROFESSIONNEL PRIVE SAINT VINCENT DE PAUL</t>
  </si>
  <si>
    <t>0641441U</t>
  </si>
  <si>
    <t>LYCEE TECHNOLOGIQUE PRIVE STELLA MARIS</t>
  </si>
  <si>
    <t>0641663K</t>
  </si>
  <si>
    <t>LYCEE PROFESSIONNEL PRIVE STELLA MARIS LYCEE DES METIERS DE LA SANTE ET DU SOCIAL</t>
  </si>
  <si>
    <t>0641732K</t>
  </si>
  <si>
    <t>LYCEE GENERAL ET TECHNOLOGIQUE SAINT JOHN PERSE</t>
  </si>
  <si>
    <t>0650029D</t>
  </si>
  <si>
    <t>LYCEE PROFESSIONNEL REFFYE</t>
  </si>
  <si>
    <t>0650062P</t>
  </si>
  <si>
    <t>0650065T</t>
  </si>
  <si>
    <t>LYCEE TECHNOLOGIQUE PRIVE PRADEAU LA SEDE SAINT PIERRE</t>
  </si>
  <si>
    <t>0660021P</t>
  </si>
  <si>
    <t>LYCEE POLYVALENT CHARLES RENOUVIER</t>
  </si>
  <si>
    <t>PRADES</t>
  </si>
  <si>
    <t>0660520G</t>
  </si>
  <si>
    <t>LYCEE PROFESSIONNEL LEON BLUM</t>
  </si>
  <si>
    <t>0660768B</t>
  </si>
  <si>
    <t>LYCEE GENERAL PRIVE SAINT LOUIS DE GONZAGUE</t>
  </si>
  <si>
    <t>0660856X</t>
  </si>
  <si>
    <t>LYCEE POLYVALENT ROSA LUXEMBURG LYCEE DES METIERS DU NAUTISME</t>
  </si>
  <si>
    <t>CANET EN ROUSSILLON</t>
  </si>
  <si>
    <t>0660931D</t>
  </si>
  <si>
    <t>LYCEE GENERAL PRIVE SAINT PIERRE DE LA MER</t>
  </si>
  <si>
    <t>SAINT CYPRIEN</t>
  </si>
  <si>
    <t>0670129B</t>
  </si>
  <si>
    <t>LYCEE POLYVALENT JEAN GEILER</t>
  </si>
  <si>
    <t>0671509B</t>
  </si>
  <si>
    <t>LYCEE POLYVALENT HEINRICH NESSEL LYCEE DES METIERS</t>
  </si>
  <si>
    <t>HAGUENAU</t>
  </si>
  <si>
    <t>0671611M</t>
  </si>
  <si>
    <t>LYCEE GENERAL PRIVE INSTITUTION LA DOCTRINE CHRETIENNE</t>
  </si>
  <si>
    <t>0671636P</t>
  </si>
  <si>
    <t>LYCEE D ENSEIGNEMENT GENERAL ET TECHNOLOGIQUE PRIVE ORT</t>
  </si>
  <si>
    <t>0672299K</t>
  </si>
  <si>
    <t>LYCEE PROFESSIONNEL PRIVE INSTITUTION SAINTE PHILOMENE</t>
  </si>
  <si>
    <t>0672534R</t>
  </si>
  <si>
    <t>LYCEE POLYVALENT HAUT BARR LYCEE DES METIERS</t>
  </si>
  <si>
    <t>SAVERNE</t>
  </si>
  <si>
    <t>0672602P</t>
  </si>
  <si>
    <t>LYCEE PROFESSIONNEL PRIVE CHARLES DE FOUCAULD</t>
  </si>
  <si>
    <t>SCHILTIGHEIM</t>
  </si>
  <si>
    <t>0672615D</t>
  </si>
  <si>
    <t>LYCEE POLYVALENT LOUIS MARCHAL</t>
  </si>
  <si>
    <t>MOLSHEIM</t>
  </si>
  <si>
    <t>0680010S</t>
  </si>
  <si>
    <t>0680031P</t>
  </si>
  <si>
    <t>LYCEE GENERAL ET TECHNOLOGIQUE ALBERT SCHWEITZER</t>
  </si>
  <si>
    <t>0680037W</t>
  </si>
  <si>
    <t>LYCEE PROFESSIONNEL CHARLES STOESSEL LYCEE DES METIERS</t>
  </si>
  <si>
    <t>0680066C</t>
  </si>
  <si>
    <t>0680074L</t>
  </si>
  <si>
    <t>LYCEE PROFESSIONNEL CHARLES POINTET LYCEE DES METIERS</t>
  </si>
  <si>
    <t>0681656F</t>
  </si>
  <si>
    <t>LYCEE PROFESSIONNEL PRIVE INSTITUTION SAINT JEAN</t>
  </si>
  <si>
    <t>0681793E</t>
  </si>
  <si>
    <t>LYCEE TECHNOLOGIQUE PRIVE SAINT JOSEPH DE CLUNY</t>
  </si>
  <si>
    <t>0690010L</t>
  </si>
  <si>
    <t>LYCEE PROFESSIONNEL TONY GARNIER LYCEE DES METIERS DU BATIMENT ET DES TRAVAUX PUBLICS</t>
  </si>
  <si>
    <t>BRON</t>
  </si>
  <si>
    <t>0690027E</t>
  </si>
  <si>
    <t>LYCEE GENERAL ET TECHNOLOGIQUE EDOUARD HERRIOT</t>
  </si>
  <si>
    <t>LYON 6E ARRONDISSEMENT</t>
  </si>
  <si>
    <t>0690028F</t>
  </si>
  <si>
    <t>LYCEE GENERAL ET TECHNOLOGIQUE SAINT JUST</t>
  </si>
  <si>
    <t>0690032K</t>
  </si>
  <si>
    <t>LYCEE GENERAL ET TECHNOLOGIQUE JULIETTE RECAMIER</t>
  </si>
  <si>
    <t>0690042W</t>
  </si>
  <si>
    <t>LYCEE GENERAL ET TECHNOLOGIQUE COLBERT</t>
  </si>
  <si>
    <t>0690048C</t>
  </si>
  <si>
    <t>LYCEE PROFESSIONNEL DIDEROT LYCEE DES METIERS DU TEXTILE DE L HABILLEMENT ET DE LA MAINTENANCE INDUSTRIELLE</t>
  </si>
  <si>
    <t>0690085T</t>
  </si>
  <si>
    <t>LYCEE POLYVALENT RENE CASSIN</t>
  </si>
  <si>
    <t>0690093B</t>
  </si>
  <si>
    <t>LYCEE PROFESSIONNEL HELENE BOUCHER LYCEE DES METIERS DE LA RESTAURATION DE LA PROPRETE ET DE L ENVIRONNEMENT</t>
  </si>
  <si>
    <t>VENISSIEUX</t>
  </si>
  <si>
    <t>0690097F</t>
  </si>
  <si>
    <t>LYCEE POLYVALENT CLAUDE BERNARD LYCEE DES METIERS DE LA VENTE DES SERVICES ET DU COMMERCE</t>
  </si>
  <si>
    <t>0690103M</t>
  </si>
  <si>
    <t>LYCEE POLYVALENT FREDERIC FAYS LYCEE DES METIERS DES TECHNIQUES DE CONCEPTION ET DE PRODUCTION</t>
  </si>
  <si>
    <t>0690105P</t>
  </si>
  <si>
    <t>LYCEE PROFESSIONNEL EMILE BEJUIT AUTOMOBILE LYCEE DES METIERS DE L AUTOMOBILE ET DU TRANSPORT</t>
  </si>
  <si>
    <t>0690538K</t>
  </si>
  <si>
    <t>LYCEE GENERAL PRIVE PIERRE TERMIER</t>
  </si>
  <si>
    <t>0690540M</t>
  </si>
  <si>
    <t>LYCEE GENERAL PRIVE NOTRE DAME DE BELLEGARDE</t>
  </si>
  <si>
    <t>NEUVILLE SUR SAONE</t>
  </si>
  <si>
    <t>0690552A</t>
  </si>
  <si>
    <t>LYCEE GENERAL PRIVE NOTRE DAME DE MONGRE</t>
  </si>
  <si>
    <t>0690554C</t>
  </si>
  <si>
    <t>LYCEE GENERAL PRIVE IMMACULEE CONCEPTION</t>
  </si>
  <si>
    <t>0690660T</t>
  </si>
  <si>
    <t>LYCEE PROFESSIONNEL PRIVE JAPY LYCEE DES METIERS DE LA VENTE ET DE LA GESTION ADMINISTRATIVE</t>
  </si>
  <si>
    <t>0691626T</t>
  </si>
  <si>
    <t>LYCEE PROFESSIONNEL GEORGES LAMARQUE LYCEE DES METIERS DES ARTS ET TECHNIQUES DU BOIS ET DE LA TAPISSERIE D AMEUBLEMENT</t>
  </si>
  <si>
    <t>RILLIEUX LA PAPE</t>
  </si>
  <si>
    <t>0693094N</t>
  </si>
  <si>
    <t>LYCEE PROFESSIONNEL FERNAND FOREST</t>
  </si>
  <si>
    <t>SAINT PRIEST</t>
  </si>
  <si>
    <t>0693330V</t>
  </si>
  <si>
    <t>LYCEE POLYVALENT ARAGON PICASSO LYCEE DES METIERS</t>
  </si>
  <si>
    <t>GIVORS</t>
  </si>
  <si>
    <t>0693371P</t>
  </si>
  <si>
    <t>LYCEE PROFESSIONNEL PRIVE DON BOSCO LYCEE DES METIERS DES SERVICES A LA PERSONNE</t>
  </si>
  <si>
    <t>0693373S</t>
  </si>
  <si>
    <t>LYCEE PROFESSIONNEL PRIVE CARREL LYCEE DES METIERS DES RELATIONS COMMERCIALES</t>
  </si>
  <si>
    <t>0693518Z</t>
  </si>
  <si>
    <t>CHARBONNIERES LES BAINS</t>
  </si>
  <si>
    <t>0693587Z</t>
  </si>
  <si>
    <t>LYCEE GENERAL PRIVE LA XAVIERE</t>
  </si>
  <si>
    <t>0693786R</t>
  </si>
  <si>
    <t>LYCEE POLYVALENT PRIVE JEHANNE DE FRANCE</t>
  </si>
  <si>
    <t>0694066V</t>
  </si>
  <si>
    <t>LYCEE GENERAL PRIVE BETH HANNA</t>
  </si>
  <si>
    <t>0694197M</t>
  </si>
  <si>
    <t>0694405N</t>
  </si>
  <si>
    <t>LYCEE GENERAL ET TECHNOLOGIQUE DOCTEUR CHARLES MERIEUX</t>
  </si>
  <si>
    <t>0700011G</t>
  </si>
  <si>
    <t>LYCEE PROFESSIONNEL HENRI FERTET LYCEE DES METIERS DE L AUTOMOBILE ET DES TRANSPORTS</t>
  </si>
  <si>
    <t>GRAY</t>
  </si>
  <si>
    <t>0710018J</t>
  </si>
  <si>
    <t>LYCEE POLYVALENT JULIEN WITTMER</t>
  </si>
  <si>
    <t>CHAROLLES</t>
  </si>
  <si>
    <t>0710026T</t>
  </si>
  <si>
    <t>LYCEE POLYVALENT LEON BLUM</t>
  </si>
  <si>
    <t>LE CREUSOT</t>
  </si>
  <si>
    <t>0710087J</t>
  </si>
  <si>
    <t>LYCEE PROFESSIONNEL ASTIER LYCEE DES METIERS DE LA MAINTENANCE</t>
  </si>
  <si>
    <t>PARAY LE MONIAL</t>
  </si>
  <si>
    <t>0710112L</t>
  </si>
  <si>
    <t>0711249X</t>
  </si>
  <si>
    <t>LYCEE POLYVALENT PRIVE FREDERIC OZANAM</t>
  </si>
  <si>
    <t>MACON</t>
  </si>
  <si>
    <t>0711322B</t>
  </si>
  <si>
    <t>LYCEE CAMILLE DU GAST THOMAS DUMOREY</t>
  </si>
  <si>
    <t>CHALON SUR SAONE</t>
  </si>
  <si>
    <t>0711755X</t>
  </si>
  <si>
    <t>LYCEE POLYVALENT PRIVE DU SACRE COEUR</t>
  </si>
  <si>
    <t>0720013Y</t>
  </si>
  <si>
    <t>LYCEE PROFESSIONNEL MARECHAL LECLERC DE HAUTECLOCQUE</t>
  </si>
  <si>
    <t>MONTVAL SUR LOIR</t>
  </si>
  <si>
    <t>0720021G</t>
  </si>
  <si>
    <t>LYCEE POLYVALENT D ESTOURNELLES DE CONSTANT</t>
  </si>
  <si>
    <t>LA FLECHE</t>
  </si>
  <si>
    <t>0720027N</t>
  </si>
  <si>
    <t>LYCEE POLYVALENT PERSEIGNE</t>
  </si>
  <si>
    <t>MAMERS</t>
  </si>
  <si>
    <t>0720029R</t>
  </si>
  <si>
    <t>0720048L</t>
  </si>
  <si>
    <t>LYCEE POLYVALENT RAPHAËL ELIZE LYCEE DES METIERS DE LA MAINTENANCE INDUSTRIELLE DE L EBENISTERIE DE LA GESTION ADMINISTRATIVE ET RELATIONS CLIENTS</t>
  </si>
  <si>
    <t>SABLE SUR SARTHE</t>
  </si>
  <si>
    <t>0720055U</t>
  </si>
  <si>
    <t>LYCEE GENERAL ET TECHNOLOGIQUE PAUL SCARRON</t>
  </si>
  <si>
    <t>SILLE LE GUILLAUME</t>
  </si>
  <si>
    <t>0720837U</t>
  </si>
  <si>
    <t>0720843A</t>
  </si>
  <si>
    <t>LYCEE POLYVALENT PRIVE SAINTE ANNE</t>
  </si>
  <si>
    <t>0721478R</t>
  </si>
  <si>
    <t>LYCEE POLYVALENT PRIVE SAINT JOSEPH LA SALLE</t>
  </si>
  <si>
    <t>PRUILLE LE CHETIF</t>
  </si>
  <si>
    <t>0721684P</t>
  </si>
  <si>
    <t>LYCEE POLYVALENT PRIVE SAINT CHARLES SAINTE CROIX LYCEE DES METIERS COMMERCE COMPTABILITE GESTION LYCEE DES METIERS DE L INFORMATIQUE</t>
  </si>
  <si>
    <t>0730003G</t>
  </si>
  <si>
    <t>LYCEE POLYVALENT MARLIOZ</t>
  </si>
  <si>
    <t>0730006K</t>
  </si>
  <si>
    <t>LYCEE PROFESSIONNEL LE GRAND ARC</t>
  </si>
  <si>
    <t>ALBERTVILLE</t>
  </si>
  <si>
    <t>0730029K</t>
  </si>
  <si>
    <t>LYCEE POLYVALENT AMBROISE CROIZAT LYCEE DES METIERS DES SERVICES DE MONTAGNE</t>
  </si>
  <si>
    <t>MOUTIERS</t>
  </si>
  <si>
    <t>0730032N</t>
  </si>
  <si>
    <t>LYCEE PROFESSIONNEL LE NIVOLET LYCEE DES METIERS DU BATIMENT DU BOIS ET DE LA TOPOGRAPHIE</t>
  </si>
  <si>
    <t>LA RAVOIRE</t>
  </si>
  <si>
    <t>0731392S</t>
  </si>
  <si>
    <t>LYCEE GENERAL ET TECHNOLOGIQUE DU GRANIER</t>
  </si>
  <si>
    <t>0740009H</t>
  </si>
  <si>
    <t>LYCEE POLYVALENT DES GLIERES</t>
  </si>
  <si>
    <t>ANNEMASSE</t>
  </si>
  <si>
    <t>0740014N</t>
  </si>
  <si>
    <t>LYCEE PROFESSIONNEL F BISE</t>
  </si>
  <si>
    <t>0740031G</t>
  </si>
  <si>
    <t>LYCEE PROFESSIONNEL PORTE DES ALPES LYCEE DES METIERS DU BATIMENT ET DES TRAVAUX PUBLICS</t>
  </si>
  <si>
    <t>RUMILLY</t>
  </si>
  <si>
    <t>0740059M</t>
  </si>
  <si>
    <t>LYCEE PROFESSIONNEL DU CHABLAIS</t>
  </si>
  <si>
    <t>0740148J</t>
  </si>
  <si>
    <t>LYCEE PROFESSIONNEL PRIVE LA FONTAINE</t>
  </si>
  <si>
    <t>FAVERGES SEYTHENEX</t>
  </si>
  <si>
    <t>0741443S</t>
  </si>
  <si>
    <t>LYCEE GENERAL PRIVE SAINTE CROIX DES NEIGES</t>
  </si>
  <si>
    <t>ABONDANCE</t>
  </si>
  <si>
    <t>0741476C</t>
  </si>
  <si>
    <t>0741532N</t>
  </si>
  <si>
    <t>LYCEE GENERAL ET TECHNOLOGIQUE DE L ALBANAIS</t>
  </si>
  <si>
    <t>0750647W</t>
  </si>
  <si>
    <t>LYCEE GENERAL ET TECHNOLOGIQUE TURGOT</t>
  </si>
  <si>
    <t>0750651A</t>
  </si>
  <si>
    <t>LYCEE POLYVALENT SIMONE WEIL</t>
  </si>
  <si>
    <t>0750653C</t>
  </si>
  <si>
    <t>LYCEE GENERAL ET TECHNOLOGIQUE SOPHIE GERMAIN</t>
  </si>
  <si>
    <t>0750654D</t>
  </si>
  <si>
    <t>LYCEE GENERAL HENRI IV</t>
  </si>
  <si>
    <t>0750677D</t>
  </si>
  <si>
    <t>LYCEE POLYVALENT ELISA LEMONNIER</t>
  </si>
  <si>
    <t>0750679F</t>
  </si>
  <si>
    <t>LYCEE GENERAL ET TECHNOLOGIQUE PAUL VALERY</t>
  </si>
  <si>
    <t>0750681H</t>
  </si>
  <si>
    <t>LYCEE POLYVALENT BOULLE LYCEE DES METIERS D ART D ARCHITECTURE INTERIEURE ET DU DESIGN</t>
  </si>
  <si>
    <t>0750684L</t>
  </si>
  <si>
    <t>LYCEE GENERAL GABRIEL FAURE</t>
  </si>
  <si>
    <t>0750689S</t>
  </si>
  <si>
    <t>LYCEE GENERAL PAUL BERT</t>
  </si>
  <si>
    <t>PARIS 14E ARRONDISSEMENT</t>
  </si>
  <si>
    <t>0750692V</t>
  </si>
  <si>
    <t>LYCEE GENERAL ET TECHNOLOGIQUE EMILE DUBOIS</t>
  </si>
  <si>
    <t>0750693W</t>
  </si>
  <si>
    <t>LYCEE GENERAL BUFFON</t>
  </si>
  <si>
    <t>0750695Y</t>
  </si>
  <si>
    <t>LYCEE POLYVALENT FRESNEL LYCEE DES METIERS DE L OPTIQUE</t>
  </si>
  <si>
    <t>0750696Z</t>
  </si>
  <si>
    <t>LYCEE GENERAL ET TECHNOLOGIQUE ROGER VERLOMME</t>
  </si>
  <si>
    <t>0750697A</t>
  </si>
  <si>
    <t>LYCEE TECHNOLOGIQUE BATIMENT SAINT LAMBERT</t>
  </si>
  <si>
    <t>0750699C</t>
  </si>
  <si>
    <t>LYCEE GENERAL ET TECHNOLOGIQUE JANSON DE SAILLY</t>
  </si>
  <si>
    <t>0750714U</t>
  </si>
  <si>
    <t>LYCEE GENERAL HELENE BOUCHER</t>
  </si>
  <si>
    <t>0752109K</t>
  </si>
  <si>
    <t>LYCEE PROFESSIONNEL SUZANNE VALADON</t>
  </si>
  <si>
    <t>0752388N</t>
  </si>
  <si>
    <t>LYCEE PROFESSIONNEL PIERRE LESCOT</t>
  </si>
  <si>
    <t>PARIS 1ER ARRONDISSEMENT</t>
  </si>
  <si>
    <t>0753268V</t>
  </si>
  <si>
    <t>LYCEE POLYVALENT JEAN LURCAT</t>
  </si>
  <si>
    <t>0753647G</t>
  </si>
  <si>
    <t>ECOLE ALSACIENNE (LYCEE GENERAL PRIVE)</t>
  </si>
  <si>
    <t>0753820V</t>
  </si>
  <si>
    <t>LYCEE GENERAL ET TECHNOLOGIQUE PRIVE LES FRANCS BOURGEOIS</t>
  </si>
  <si>
    <t>0753851D</t>
  </si>
  <si>
    <t>LYCEE GENERAL PRIVE LA ROCHEFOUCAULD</t>
  </si>
  <si>
    <t>0753852E</t>
  </si>
  <si>
    <t>LYCEE GENERAL ET TECHNOLOGIQUE PRIVE SAINTE JEANNE ELISABETH</t>
  </si>
  <si>
    <t>0753890W</t>
  </si>
  <si>
    <t>PARIS 11E ARRONDISSEMENT</t>
  </si>
  <si>
    <t>0753916Z</t>
  </si>
  <si>
    <t>LYCEE GENERAL PRIVE SAINTE ELISABETH</t>
  </si>
  <si>
    <t>0753943D</t>
  </si>
  <si>
    <t>INSTITUT LA TOUR (ECOLE SECONDAIRE PRIVEE)</t>
  </si>
  <si>
    <t>0753946G</t>
  </si>
  <si>
    <t>ETABLISSEMENT PRIVE NOTRE DAME DES OISEAUX (ECOLE SECONDAIRE PRIVEE)</t>
  </si>
  <si>
    <t>0754025T</t>
  </si>
  <si>
    <t>LYCEE POLYVALENT PRIVE SAINT NICOLAS</t>
  </si>
  <si>
    <t>0754030Y</t>
  </si>
  <si>
    <t>LYCEE POLYVALENT PRIVE ALBERT DE MUN</t>
  </si>
  <si>
    <t>0754089M</t>
  </si>
  <si>
    <t>LYCEE FRANCE QUERE VOTRE ECOLE CHEZ VOUS</t>
  </si>
  <si>
    <t>0754684J</t>
  </si>
  <si>
    <t>LYCEE GENERAL GEORGES BRASSENS</t>
  </si>
  <si>
    <t>0754924V</t>
  </si>
  <si>
    <t>LYCEE POLYVALENT PRIVE NOTRE DAME SAINT VINCENT DE PAUL LYCEE DES METIERS DE LA SANTE ET DU SOCIAL</t>
  </si>
  <si>
    <t>0755352K</t>
  </si>
  <si>
    <t>LYCEE GENERAL PRIVE N R HATORAH</t>
  </si>
  <si>
    <t>0760013B</t>
  </si>
  <si>
    <t>BOLBEC</t>
  </si>
  <si>
    <t>0760024N</t>
  </si>
  <si>
    <t>LYCEE PROFESSIONNEL EMULATION DIEPPOISE</t>
  </si>
  <si>
    <t>0760052U</t>
  </si>
  <si>
    <t>LYCEE GENERAL FRANCOIS IER</t>
  </si>
  <si>
    <t>0760058A</t>
  </si>
  <si>
    <t>LYCEE POLYVALENT SCHUMAN PERRET LYCEE DES METIERS DE L HABITAT DES SCIENCES ET DE L INDUSTRIE</t>
  </si>
  <si>
    <t>0760096S</t>
  </si>
  <si>
    <t>LYCEE GENERAL ET TECHNOLOGIQUE GUSTAVE FLAUBERT</t>
  </si>
  <si>
    <t>0760110G</t>
  </si>
  <si>
    <t>LYCEE GENERAL ET TECHNOLOGIQUE MARCEL SEMBAT</t>
  </si>
  <si>
    <t>SOTTEVILLE LES ROUEN</t>
  </si>
  <si>
    <t>0760174B</t>
  </si>
  <si>
    <t>LYCEE GENERAL ET TECHNOLOGIQUE CLAUDE MONET</t>
  </si>
  <si>
    <t>0761341V</t>
  </si>
  <si>
    <t>LYCEE POLYVALENT PRIVE LES TOURELLES LYCEE DES METIERS DE LA GESTION ET DU MANAGEMENT</t>
  </si>
  <si>
    <t>0761353H</t>
  </si>
  <si>
    <t>LYCEE PROFESSIONNEL PRIVE DE LA COIFFURE ALBERT POURRIERE</t>
  </si>
  <si>
    <t>0761708U</t>
  </si>
  <si>
    <t>LYCEE GENERAL ET TECHNOLOGIQUE PRIVE FENELON</t>
  </si>
  <si>
    <t>0761735Y</t>
  </si>
  <si>
    <t>SAINTE ADRESSE</t>
  </si>
  <si>
    <t>0762600N</t>
  </si>
  <si>
    <t>LYCEE POLYVALENT EDOUARD DELAMARE DEBOUTTEVILLE</t>
  </si>
  <si>
    <t>FORGES LES EAUX</t>
  </si>
  <si>
    <t>0762602R</t>
  </si>
  <si>
    <t>LYCEE PROFESSIONNEL DES 4 CANTONS GRIEU LYCEE DES METIERS DE LA MAINTENANCE ET DE L INFORMATION NUMERIQUE</t>
  </si>
  <si>
    <t>0762953X</t>
  </si>
  <si>
    <t>LYCEE GENERAL ET TECHNOLOGIQUE DE LA COTE D ALBATRE</t>
  </si>
  <si>
    <t>SAINT VALERY EN CAUX</t>
  </si>
  <si>
    <t>0770924L</t>
  </si>
  <si>
    <t>LYCEE POLYVALENT DE COULOMMIERS</t>
  </si>
  <si>
    <t>COULOMMIERS</t>
  </si>
  <si>
    <t>0770926N</t>
  </si>
  <si>
    <t>LYCEE GENERAL ET TECHNOLOGIQUE FRANCOIS COUPERIN</t>
  </si>
  <si>
    <t>0770927P</t>
  </si>
  <si>
    <t>LYCEE GENERAL INTERNATIONAL FRANCOIS 1ER</t>
  </si>
  <si>
    <t>0770943G</t>
  </si>
  <si>
    <t>LYCEE PROFESSIONNEL BENJAMIN FRANKLIN LYCEE DES METIERS DU BATIMENT</t>
  </si>
  <si>
    <t>LA ROCHETTE</t>
  </si>
  <si>
    <t>0770945J</t>
  </si>
  <si>
    <t>LYCEE PROFESSIONNEL GUSTAVE EIFFEL LYCEE DES METIERS DES STRUCTURES METALLIQUES ET DE LA CHAUDRONERIE LYCEE DES METIERS DE L ELECTROTECHNIQUE</t>
  </si>
  <si>
    <t>VARENNES SUR SEINE</t>
  </si>
  <si>
    <t>0771658J</t>
  </si>
  <si>
    <t>LYCEE POLYVALENT DU GUE A TRESMES LYCEE DES METIERS DE L HOTELLERIE ET RESTAURATION - DES ARTS ET DESIGN - DE L AMENAGEMENT ET FINITION DU BATIMENT</t>
  </si>
  <si>
    <t>CONGIS SUR THEROUANNE</t>
  </si>
  <si>
    <t>0772151V</t>
  </si>
  <si>
    <t>LYCEE PROFESSIONNEL PRIVE LES SINOPLIES</t>
  </si>
  <si>
    <t>0772228D</t>
  </si>
  <si>
    <t>LYCEE POLYVALENT CHARLES DE GAULLE LYCEE DES METIERS DE LA SANTE ET DU TRAVAIL SOCIAL</t>
  </si>
  <si>
    <t>LONGPERRIER</t>
  </si>
  <si>
    <t>0772243V</t>
  </si>
  <si>
    <t>PONTAULT COMBAULT</t>
  </si>
  <si>
    <t>0772244W</t>
  </si>
  <si>
    <t>LYCEE PROFESSIONNEL ANTONIN CAREME LYCEE DES METIERS DE L HOTELLERIE ET DE LA RESTAURATION</t>
  </si>
  <si>
    <t>SAVIGNY LE TEMPLE</t>
  </si>
  <si>
    <t>0772312V</t>
  </si>
  <si>
    <t>LYCEE POLYVALENT FLORA TRISTAN LYCEE DES METIERS DE L ADMINISTRATION DES PME PMI LYCEE DES METIERS DE LA MODE</t>
  </si>
  <si>
    <t>MONTEREAU FAULT YONNE</t>
  </si>
  <si>
    <t>0772342C</t>
  </si>
  <si>
    <t>LYCEE POLYVALENT CLEMENT ADER</t>
  </si>
  <si>
    <t>TOURNAN EN BRIE</t>
  </si>
  <si>
    <t>0772602K</t>
  </si>
  <si>
    <t>LYCEE PRIVE SAINTE CELINE</t>
  </si>
  <si>
    <t>LA FERTE SOUS JOUARRE</t>
  </si>
  <si>
    <t>0772840U</t>
  </si>
  <si>
    <t>LYCEE PRIVE LA SALLE SAINT MARIE</t>
  </si>
  <si>
    <t>SAINT PIERRE LES NEMOURS</t>
  </si>
  <si>
    <t>0780422K</t>
  </si>
  <si>
    <t>LYCEE GENERAL ET TECHNOLOGIQUE FRANCOIS VILLON</t>
  </si>
  <si>
    <t>LES MUREAUX</t>
  </si>
  <si>
    <t>0780582J</t>
  </si>
  <si>
    <t>LYCEE GENERAL ET TECHNOLOGIQUE JEAN VILAR</t>
  </si>
  <si>
    <t>PLAISIR</t>
  </si>
  <si>
    <t>0781664K</t>
  </si>
  <si>
    <t>RAMBOUILLET</t>
  </si>
  <si>
    <t>0781860Y</t>
  </si>
  <si>
    <t>LYCEE POLYVALENT LES PIERRES VIVES</t>
  </si>
  <si>
    <t>CARRIERES SUR SEINE</t>
  </si>
  <si>
    <t>0782563M</t>
  </si>
  <si>
    <t>LYCEE GENERAL ET TECHNOLOGIQUE LA BRUYERE</t>
  </si>
  <si>
    <t>0782593V</t>
  </si>
  <si>
    <t>LYCEE PROFESSIONNEL JEAN PERRIN</t>
  </si>
  <si>
    <t>0782924E</t>
  </si>
  <si>
    <t>LYCEE GENERAL ET TECHNOLOGIQUE EVARISTE GALOIS</t>
  </si>
  <si>
    <t>SARTROUVILLE</t>
  </si>
  <si>
    <t>0783283V</t>
  </si>
  <si>
    <t>LYCEE GENERAL ET TECHNOLOGIQUE PRIVE L ERMITAGE</t>
  </si>
  <si>
    <t>MAISONS LAFFITTE</t>
  </si>
  <si>
    <t>0783323N</t>
  </si>
  <si>
    <t>LYCEE TECHNOLOGIQUE PRIVE SAINT THOMAS DE VILLENEUVE</t>
  </si>
  <si>
    <t>0783351U</t>
  </si>
  <si>
    <t>LYCEE GENERAL ET TECHNOLOGIQUE PRIVE NOTRE DAME DU GRANDCHAMP</t>
  </si>
  <si>
    <t>0783431F</t>
  </si>
  <si>
    <t>LYCEE POLYVALENT JULES VERNE LYCEE DES METIERS DE L ARTISANAT D ART DANS LES PROFESSIONS DU SPECTACLE</t>
  </si>
  <si>
    <t>0783537W</t>
  </si>
  <si>
    <t>MANTES LA JOLIE</t>
  </si>
  <si>
    <t>0783657B</t>
  </si>
  <si>
    <t>LYCEE D ENSEIGNEMENT GENERAL PRIVE SAINT AUGUSTIN</t>
  </si>
  <si>
    <t>0790036K</t>
  </si>
  <si>
    <t>LYCEE GENERAL ET TECHNOLOGIQUE CITE SCOLAIRE JEAN MOULIN</t>
  </si>
  <si>
    <t>0790038M</t>
  </si>
  <si>
    <t>LYCEE PROFESSIONNEL JEAN MOULIN LYCEE DES METIERS DE LA PRODUCTION DE L HABITAT ET DES SERVICES</t>
  </si>
  <si>
    <t>0790080H</t>
  </si>
  <si>
    <t>0800001S</t>
  </si>
  <si>
    <t>LYCEE D ENSEIGNEMENT GENERAL ET TECHNOLOGIQUE BOUCHER DE PERTHES</t>
  </si>
  <si>
    <t>ABBEVILLE</t>
  </si>
  <si>
    <t>0800007Y</t>
  </si>
  <si>
    <t>LYCEE POLYVALENT LAMARCK LYCEE DES METIERS</t>
  </si>
  <si>
    <t>ALBERT</t>
  </si>
  <si>
    <t>0800046R</t>
  </si>
  <si>
    <t>LYCEE D ENSEIGNEMENT GENERAL ET TECHNOLOGIQUE PIERRE MENDES FRANCE</t>
  </si>
  <si>
    <t>0800062H</t>
  </si>
  <si>
    <t>LYCEE PROFESSIONNEL EDOUARD GAND LYCEE DES METIERS DES SERVICES A LA PERSONNE ET AUX ORGANISATIONS</t>
  </si>
  <si>
    <t>0801514L</t>
  </si>
  <si>
    <t>LYCEE PROFESSIONNEL PIERRE MENDES FRANCE LYCEE DES METIERS DE LA MAINTENANCE ET DE LA LOGISTIQUE</t>
  </si>
  <si>
    <t>0801628K</t>
  </si>
  <si>
    <t>LYCEE PROFESSIONNEL ROMAIN ROLLAND LYCEE DES METIERS DU TERTIAIRE ET DE LA SECURITE</t>
  </si>
  <si>
    <t>0801841S</t>
  </si>
  <si>
    <t>LYCEE GENERAL ET TECHNOLOGIQUE ROBERT DE LUZARCHES</t>
  </si>
  <si>
    <t>0801888T</t>
  </si>
  <si>
    <t>LYCEE D ENSEIGNEMENT GENERAL ET TECHNOLOGIQUE PRIVE SAINT MARTIN</t>
  </si>
  <si>
    <t>0801948H</t>
  </si>
  <si>
    <t>LYCEE PROFESSIONNEL PRIVE SAINT MARTIN LYCEE DES METIERS DE L HOTELLERIE ET DE LA RESTAURATION</t>
  </si>
  <si>
    <t>0810016C</t>
  </si>
  <si>
    <t>LYCEE PROFESSIONNEL LE SIDOBRE</t>
  </si>
  <si>
    <t>0810018E</t>
  </si>
  <si>
    <t>LYCEE PROFESSIONNEL ANNE VEAUTE LYCEE DES METIERS DU PARAMEDICAL ET DU TERTIAIRE</t>
  </si>
  <si>
    <t>0810030T</t>
  </si>
  <si>
    <t>LYCEE GENERAL LAS CASES</t>
  </si>
  <si>
    <t>LAVAUR</t>
  </si>
  <si>
    <t>0810071M</t>
  </si>
  <si>
    <t>LYCEE GENERAL PRIVE BARRAL</t>
  </si>
  <si>
    <t>0820004J</t>
  </si>
  <si>
    <t>LYCEE POLYVALENT JEAN DE PRADES</t>
  </si>
  <si>
    <t>CASTELSARRASIN</t>
  </si>
  <si>
    <t>0820061W</t>
  </si>
  <si>
    <t>LYCEE PROFESSIONNEL PRIVE THEAS</t>
  </si>
  <si>
    <t>0830032J</t>
  </si>
  <si>
    <t>LYCEE POLYVALENT DE LORGUES THOMAS EDISON</t>
  </si>
  <si>
    <t>LORGUES</t>
  </si>
  <si>
    <t>0830053G</t>
  </si>
  <si>
    <t>LYCEE GENERAL ET TECHNOLOGIQUE DUMONT D URVILLE</t>
  </si>
  <si>
    <t>0830114Y</t>
  </si>
  <si>
    <t>LYCEE PROFESSIONNEL PRIVE SAINTE MARTHE</t>
  </si>
  <si>
    <t>CUERS</t>
  </si>
  <si>
    <t>0830116A</t>
  </si>
  <si>
    <t>LYCEE PROFESSIONNEL PRIVE MARIE FRANCE</t>
  </si>
  <si>
    <t>0831187P</t>
  </si>
  <si>
    <t>OLLIOULES</t>
  </si>
  <si>
    <t>0831242Z</t>
  </si>
  <si>
    <t>LYCEE POLYVALENT DU GOLFE DE SAINT TROPEZ</t>
  </si>
  <si>
    <t>GASSIN</t>
  </si>
  <si>
    <t>0831407D</t>
  </si>
  <si>
    <t>LYCEE GENERAL ET TECHNOLOGIQUE DU COUDON</t>
  </si>
  <si>
    <t>LA GARDE</t>
  </si>
  <si>
    <t>0831646N</t>
  </si>
  <si>
    <t>LYCEE POLYVALENT DU VAL D ARGENS</t>
  </si>
  <si>
    <t>LE MUY</t>
  </si>
  <si>
    <t>0840017M</t>
  </si>
  <si>
    <t>LYCEE GENERAL ET TECHNOLOGIQUE ISMAËL DAUPHIN</t>
  </si>
  <si>
    <t>CAVAILLON</t>
  </si>
  <si>
    <t>0840026X</t>
  </si>
  <si>
    <t>LYCEE GENERAL ET TECHNOLOGIQUE DE L ARC</t>
  </si>
  <si>
    <t>ORANGE</t>
  </si>
  <si>
    <t>0840041N</t>
  </si>
  <si>
    <t>LYCEE PROFESSIONNEL MARIA CASARES LYCEE DES METIERS DES SERVICES AUX ENTREPRISES DE LA COIFFURE ET DE L ESTHETIQUE</t>
  </si>
  <si>
    <t>0840075A</t>
  </si>
  <si>
    <t>LYCEE GENERAL PRIVE SAINT LOUIS</t>
  </si>
  <si>
    <t>0840918S</t>
  </si>
  <si>
    <t>LYCEE POLYVALENT VAL DE DURANCE</t>
  </si>
  <si>
    <t>PERTUIS</t>
  </si>
  <si>
    <t>0841117H</t>
  </si>
  <si>
    <t>LYCEE GENERAL ET TECHNOLOGIQUE STEPHANE HESSEL</t>
  </si>
  <si>
    <t>VAISON LA ROMAINE</t>
  </si>
  <si>
    <t>0850006V</t>
  </si>
  <si>
    <t>LYCEE GENERAL ET TECHNOLOGIQUE GEORGES CLEMENCEAU</t>
  </si>
  <si>
    <t>CHANTONNAY</t>
  </si>
  <si>
    <t>0850032Y</t>
  </si>
  <si>
    <t>LYCEE GENERAL ET TECHNOLOGIQUE SAVARY DE MAULEON</t>
  </si>
  <si>
    <t>0850118S</t>
  </si>
  <si>
    <t>LYCEE GENERAL PRIVE L ESPERANCE</t>
  </si>
  <si>
    <t>SAINTE CECILE</t>
  </si>
  <si>
    <t>0851344Z</t>
  </si>
  <si>
    <t>LYCEE POLYVALENT PRIVE NOTRE DAME LYCEE DES METIERS</t>
  </si>
  <si>
    <t>FONTENAY LE COMTE</t>
  </si>
  <si>
    <t>0851390Z</t>
  </si>
  <si>
    <t>LYCEE POLYVALENT LEONARD DE VINCI</t>
  </si>
  <si>
    <t>MONTAIGU VENDEE</t>
  </si>
  <si>
    <t>0851401L</t>
  </si>
  <si>
    <t>LYCEE GENERAL ET TECHNOLOGIQUE JEAN DE LATTRE DE TASSIGNY</t>
  </si>
  <si>
    <t>0860009T</t>
  </si>
  <si>
    <t>LYCEE GENERAL ET TECHNOLOGIQUE ANDRE THEURIET</t>
  </si>
  <si>
    <t>CIVRAY</t>
  </si>
  <si>
    <t>0860029P</t>
  </si>
  <si>
    <t>LYCEE PROFESSIONNEL RAOUL MORTIER LYCEE DES METIERS DE L ENERGIE ET DES SERVICES AUX ENTREPRISES</t>
  </si>
  <si>
    <t>0860037Y</t>
  </si>
  <si>
    <t>0860038Z</t>
  </si>
  <si>
    <t>LYCEE GENERAL ET TECHNOLOGIQUE ALIENOR D AQUITAINE</t>
  </si>
  <si>
    <t>0861113T</t>
  </si>
  <si>
    <t>LYCEE PROFESSIONNEL LE VERGER LYCEE DES METIERS DE L ELECTROTECHNIQUE ET DE LA MAINTENANCE</t>
  </si>
  <si>
    <t>CHATELLERAULT</t>
  </si>
  <si>
    <t>0870015U</t>
  </si>
  <si>
    <t>LYCEE GENERAL GAY LUSSAC</t>
  </si>
  <si>
    <t>0870041X</t>
  </si>
  <si>
    <t>LYCEE PROFESSIONNEL EDOUARD VAILLANT</t>
  </si>
  <si>
    <t>SAINT JUNIEN</t>
  </si>
  <si>
    <t>0880013L</t>
  </si>
  <si>
    <t>LYCEE DES METIERS PIERRE MENDES FRANCE</t>
  </si>
  <si>
    <t>CONTREXEVILLE</t>
  </si>
  <si>
    <t>0880099E</t>
  </si>
  <si>
    <t>LYCEE GENERAL ET TECHNOLOGIQUE PRIVE BEAU JARDIN</t>
  </si>
  <si>
    <t>SAINT DIE DES VOSGES</t>
  </si>
  <si>
    <t>0880101G</t>
  </si>
  <si>
    <t>LYCEE GENERAL ET TECHNOLOGIQUE PRIVE NOTRE DAME SAINT JOSEPH</t>
  </si>
  <si>
    <t>0880152M</t>
  </si>
  <si>
    <t>LYCEE POLYVALENT GEORGES BAUMONT LYCEE DES METIERS DE L INGENIERIE ET DES CREATIONS INDUSTRIELLES</t>
  </si>
  <si>
    <t>0880153N</t>
  </si>
  <si>
    <t>LYCEE ANDRE MALRAUX LYCEE DES METIERS FILIERE BOIS</t>
  </si>
  <si>
    <t>REMIREMONT</t>
  </si>
  <si>
    <t>0881651S</t>
  </si>
  <si>
    <t>0890067P</t>
  </si>
  <si>
    <t>LYCEE POLYVALENT PRIVE SAINT ETIENNE</t>
  </si>
  <si>
    <t>SENS</t>
  </si>
  <si>
    <t>0890819G</t>
  </si>
  <si>
    <t>LYCEE PROFESSIONNEL VAUBAN LYCEE DES METIERS</t>
  </si>
  <si>
    <t>0891159B</t>
  </si>
  <si>
    <t>LYCEE PROFESSIONNEL SAINT GERMAIN</t>
  </si>
  <si>
    <t>0910620E</t>
  </si>
  <si>
    <t>LYCEE POLYVALENT ROBERT DOISNEAU LYCEE DES METIERS DES SERVICES AUX ENTREPRISES ET DE L INDUSTRIE</t>
  </si>
  <si>
    <t>CORBEIL ESSONNES</t>
  </si>
  <si>
    <t>0910622G</t>
  </si>
  <si>
    <t>LYCEE POLYVALENT GEOFFROY SAINT HILAIRE</t>
  </si>
  <si>
    <t>ETAMPES</t>
  </si>
  <si>
    <t>0910627M</t>
  </si>
  <si>
    <t>LYCEE GENERAL ET TECHNOLOGIQUE JEAN BAPTISTE COROT</t>
  </si>
  <si>
    <t>0910826D</t>
  </si>
  <si>
    <t>LYCEE GENERAL ET TECHNOLOGIQUE PRIVE SAINT LOUIS SAINT CLEMENT</t>
  </si>
  <si>
    <t>VIRY CHATILLON</t>
  </si>
  <si>
    <t>0910843X</t>
  </si>
  <si>
    <t>LYCEE POLYVALENT PRIVE ST PIERRE LYCEE DES METIERS COMMUNICATION GESTION MERCATIQUE LYCEE DES METIERS D HOTELLERIE RESTAURATION TOURISME</t>
  </si>
  <si>
    <t>BRUNOY</t>
  </si>
  <si>
    <t>0911844K</t>
  </si>
  <si>
    <t>LYCEE D ENSEIGNEMENT GENERAL PRIVE RUDOLF STEINER</t>
  </si>
  <si>
    <t>VERRIERES LE BUISSON</t>
  </si>
  <si>
    <t>0911962N</t>
  </si>
  <si>
    <t>LYCEE POLYVALENT MARIE LAURENCIN</t>
  </si>
  <si>
    <t>MENNECY</t>
  </si>
  <si>
    <t>0912117G</t>
  </si>
  <si>
    <t>LYCEE POLYVALENT PRIVE NOTRE DAME DE SION</t>
  </si>
  <si>
    <t>0912161E</t>
  </si>
  <si>
    <t>LYCEE POLYVALENT PRIVE SAINT LEON</t>
  </si>
  <si>
    <t>0912251C</t>
  </si>
  <si>
    <t>LYCEE POLYVALENT HENRI POINCARE LYCEE DES METIERS DE L AIDE A LA PERSONNE</t>
  </si>
  <si>
    <t>PALAISEAU</t>
  </si>
  <si>
    <t>0920130S</t>
  </si>
  <si>
    <t>ANTONY</t>
  </si>
  <si>
    <t>0920164D</t>
  </si>
  <si>
    <t>LYCEE PROFESSIONNEL JEAN MONNET LYCEE DES METIERS DES CONSTRUCTIONS ET DE LA GESTION ADMINISTRATIVE</t>
  </si>
  <si>
    <t>MONTROUGE</t>
  </si>
  <si>
    <t>0920170K</t>
  </si>
  <si>
    <t>LYCEE POLYVALENT FLORIAN LYCEE DES METIERS DE LA VENTE ET DE LA BEAUTE</t>
  </si>
  <si>
    <t>0920802X</t>
  </si>
  <si>
    <t>LYCEE GENERAL ET TECHNOLOGIQUE JEAN PIERRE VERNANT</t>
  </si>
  <si>
    <t>SEVRES</t>
  </si>
  <si>
    <t>0920894X</t>
  </si>
  <si>
    <t>BAGNEUX</t>
  </si>
  <si>
    <t>0920898B</t>
  </si>
  <si>
    <t>LYCEE GENERAL ET TECHNOLOGIQUE PRIVE RAMBAM</t>
  </si>
  <si>
    <t>BOULOGNE BILLANCOURT</t>
  </si>
  <si>
    <t>0921365J</t>
  </si>
  <si>
    <t>LYCEE GENERAL ET TECHNOLOGIQUE PRIVE MADELEINE DANIELOU</t>
  </si>
  <si>
    <t>0921399W</t>
  </si>
  <si>
    <t>LYCEE GENERAL ET TECHNOLOGIQUE MAURICE GENEVOIX</t>
  </si>
  <si>
    <t>0922277A</t>
  </si>
  <si>
    <t>LYCEE POLYVALENT CHARLES PETIET</t>
  </si>
  <si>
    <t>VILLENEUVE LA GARENNE</t>
  </si>
  <si>
    <t>0922398G</t>
  </si>
  <si>
    <t>LYCEE POLYVALENT GUSTAVE EIFFEL LYCEE DES METIERS DE LA SANTE DE LA COMMUNICATION ET DU COMMERCE</t>
  </si>
  <si>
    <t>0922427N</t>
  </si>
  <si>
    <t>LYCEE POLYVALENT CLAUDE GARAMONT LYCEE DES METIERS DE LA CHAINE GRAPHIQUES</t>
  </si>
  <si>
    <t>0922464D</t>
  </si>
  <si>
    <t>NANTERRE</t>
  </si>
  <si>
    <t>0922653J</t>
  </si>
  <si>
    <t>LYCEE POLYVALENT PRIVE LA SALLE SAINT NICOLAS LYCEE DES METIERS</t>
  </si>
  <si>
    <t>ISSY LES MOULINEAUX</t>
  </si>
  <si>
    <t>0930118Y</t>
  </si>
  <si>
    <t>LYCEE GENERAL ET TECHNOLOGIQUE JEAN RENOIR</t>
  </si>
  <si>
    <t>BONDY</t>
  </si>
  <si>
    <t>0930122C</t>
  </si>
  <si>
    <t>LYCEE GENERAL ET TECHNOLOGIQUE CONDORCET</t>
  </si>
  <si>
    <t>0930125F</t>
  </si>
  <si>
    <t>LYCEE ENSEIGNEMENT GENERAL ET TECHNOLOGIQUE PAUL ELUARD</t>
  </si>
  <si>
    <t>0930130L</t>
  </si>
  <si>
    <t>LYCEE PROFESSIONNEL CONDORCET LYCEE DES METIERS DU TRAITEMENT DE SURFACE DES MATERIAUX LYCEE DES METIERS DE MAINTENANCE ET APRES VENTE AUTOMOBILE</t>
  </si>
  <si>
    <t>0930830X</t>
  </si>
  <si>
    <t>LE RAINCY</t>
  </si>
  <si>
    <t>0930846P</t>
  </si>
  <si>
    <t>LYCEE PROFESSIONNEL VOILLAUME LYC METIERS MANAGEMENT GESTION ADMINISTRATION COMMUNICATION LYC METIERS CONCEPTION REALISATION SYSTEMES INDUSTRIELS</t>
  </si>
  <si>
    <t>0931026K</t>
  </si>
  <si>
    <t>LYCEE POLYVALENT PRIVE PROTECTORAT SAINT JOSEPH</t>
  </si>
  <si>
    <t>0931233K</t>
  </si>
  <si>
    <t>LYCEE PROFESSIONNEL JEAN BAPTISTE CLEMENT LYCEE DES METIERS DE LA VENTE ET DU COMMERCE</t>
  </si>
  <si>
    <t>0931573E</t>
  </si>
  <si>
    <t>LYCEE PROFESSIONNEL PRIVE ROBERT SCHUMAN</t>
  </si>
  <si>
    <t>DUGNY</t>
  </si>
  <si>
    <t>0931584S</t>
  </si>
  <si>
    <t>LYCEE POLYVALENT JEAN ROSTAND</t>
  </si>
  <si>
    <t>VILLEPINTE</t>
  </si>
  <si>
    <t>0931738J</t>
  </si>
  <si>
    <t>LYCEE PROFESSIONNEL ARTHUR RIMBAUD</t>
  </si>
  <si>
    <t>0932030B</t>
  </si>
  <si>
    <t>LYCEE POLYVALENT MAURICE UTRILLO</t>
  </si>
  <si>
    <t>STAINS</t>
  </si>
  <si>
    <t>0932047V</t>
  </si>
  <si>
    <t>LYCEE POLYVALENT EVARISTE GALOIS LYCEE DES METIERS DE L AUDIOVISUEL</t>
  </si>
  <si>
    <t>NOISY LE GRAND</t>
  </si>
  <si>
    <t>0932116V</t>
  </si>
  <si>
    <t>LYCEE POLYVALENT EUGENIE COTTON LYCEE DES METIERS CREATION GRAPHIQUE NUMERIQUE ET DEVELOPPEMENT DE L ENTREPRISE</t>
  </si>
  <si>
    <t>0932119Y</t>
  </si>
  <si>
    <t>LYCEE POLYVALENT EUGENE HENAFF LYCEE DES METIERS DE L ENERGIE</t>
  </si>
  <si>
    <t>BAGNOLET</t>
  </si>
  <si>
    <t>0932122B</t>
  </si>
  <si>
    <t>LYCEE POLYVALENT D ALEMBERT</t>
  </si>
  <si>
    <t>0932260B</t>
  </si>
  <si>
    <t>LYCEE POLYVALENT GEORGES BRASSENS LYCEE DES METIERS DU MANAGEMENT DE LA GESTION DE L ADMINISTRATION ET DE LA COMMUNICATION</t>
  </si>
  <si>
    <t>0932303Y</t>
  </si>
  <si>
    <t>LYCEE GENERAL PRIVE MERKAZ HATORAH FILLES</t>
  </si>
  <si>
    <t>0932618R</t>
  </si>
  <si>
    <t>LYCEE TECHNOLOGIQUE PRIVE ROBERT SCHUMAN</t>
  </si>
  <si>
    <t>0932654E</t>
  </si>
  <si>
    <t>0932667U</t>
  </si>
  <si>
    <t>LYCEE POLYVALENT ANGELA DAVIS</t>
  </si>
  <si>
    <t>0940116R</t>
  </si>
  <si>
    <t>LYCEE GENERAL ET TECHNOLOGIQUE EUGENE DELACROIX</t>
  </si>
  <si>
    <t>MAISONS ALFORT</t>
  </si>
  <si>
    <t>0940117S</t>
  </si>
  <si>
    <t>LYCEE GENERAL EDOUARD BRANLY</t>
  </si>
  <si>
    <t>0940129E</t>
  </si>
  <si>
    <t>LYCEE POLYVALENT JEAN MACE LYCEE DES METIERS DE LA METALLURGIE DE LA MAINTENANCE INDUSTRIELLE ET ELECTRONIQUE</t>
  </si>
  <si>
    <t>VITRY SUR SEINE</t>
  </si>
  <si>
    <t>0940138P</t>
  </si>
  <si>
    <t>LYCEE PROFESSIONNEL ARMAND GUILLAUMIN LYCEE DES METIERS DE LA COIFFURE DE L ESTHETIQUE ET DES SOINS DE LA PERSONNE</t>
  </si>
  <si>
    <t>ORLY</t>
  </si>
  <si>
    <t>0940141T</t>
  </si>
  <si>
    <t>LYCEE POLYVALENT JACQUES BREL LYCEE DES METIERS DES MOTOCYCLES LYCEE DES METIERS DE L EBENISTERIE</t>
  </si>
  <si>
    <t>0940145X</t>
  </si>
  <si>
    <t>LYCEE PROFESSIONNEL CAMILLE CLAUDEL</t>
  </si>
  <si>
    <t>0940877T</t>
  </si>
  <si>
    <t>LYCEE GENERAL PRIVE NOTRE DAME DE LA PROVIDENCE</t>
  </si>
  <si>
    <t>VINCENNES</t>
  </si>
  <si>
    <t>0940878U</t>
  </si>
  <si>
    <t>LYCEE GENERAL ET TECHNOLOGIQUE PRIVE TEILHARD DE CHARDIN</t>
  </si>
  <si>
    <t>SAINT MAUR DES FOSSES</t>
  </si>
  <si>
    <t>0940881X</t>
  </si>
  <si>
    <t>LYCEE GENERAL PRIVE MONTALEMBERT</t>
  </si>
  <si>
    <t>0941355M</t>
  </si>
  <si>
    <t>LYCEE POLYVALENT PAUL BERT LYCEE DES METIERS DU COMMERCE ET DE L ADMINISTRATION</t>
  </si>
  <si>
    <t>0941413A</t>
  </si>
  <si>
    <t>0941724N</t>
  </si>
  <si>
    <t>LYCEE PROFESSIONNEL PRIVE CLAUDE NICOLAS LEDOUX LYCEE DES METIERS DE LA CONSTRUCTION ET DE SON ENVIRONNEMENT</t>
  </si>
  <si>
    <t>0941877E</t>
  </si>
  <si>
    <t>LYCEE GENERAL PRIVE NOTRE DAME DES MISSIONS</t>
  </si>
  <si>
    <t>CHARENTON LE PONT</t>
  </si>
  <si>
    <t>0941909P</t>
  </si>
  <si>
    <t>LYCEE GENERAL PRIVE BERNARD PALISSY</t>
  </si>
  <si>
    <t>BOISSY SAINT LEGER</t>
  </si>
  <si>
    <t>0941952L</t>
  </si>
  <si>
    <t>LYCEE POLYVALENT FRANCOIS ARAGO</t>
  </si>
  <si>
    <t>VILLENEUVE SAINT GEORGES</t>
  </si>
  <si>
    <t>0942130E</t>
  </si>
  <si>
    <t>LYCEE POLYVALENT MONTALEAU LYCEE DES METIERS DE L HOTELLERIE ET DE LA RESTAURATION</t>
  </si>
  <si>
    <t>SUCY EN BRIE</t>
  </si>
  <si>
    <t>0942443V</t>
  </si>
  <si>
    <t>LYCEE GT SAINT JOSEPH</t>
  </si>
  <si>
    <t>VILLEJUIF</t>
  </si>
  <si>
    <t>0950648N</t>
  </si>
  <si>
    <t>LYCEE GENERAL ET TECHNOLOGIQUE JEAN JACQUES ROUSSEAU</t>
  </si>
  <si>
    <t>MONTMORENCY</t>
  </si>
  <si>
    <t>0950785M</t>
  </si>
  <si>
    <t>SANNOIS</t>
  </si>
  <si>
    <t>0950949R</t>
  </si>
  <si>
    <t>LYCEE PROFESSIONNEL JEAN MERMOZ LYCEE DES METIERS DE L ELECTROTECHNIQUE DES SERVICES COMMERCIAUX ET ADMINISTRATIFS</t>
  </si>
  <si>
    <t>MONTSOULT</t>
  </si>
  <si>
    <t>0951282C</t>
  </si>
  <si>
    <t>LYCEE PROFESSIONNEL DU VEXIN LYCEE DES METIERS DE LA SECURITE</t>
  </si>
  <si>
    <t>CHARS</t>
  </si>
  <si>
    <t>0951723G</t>
  </si>
  <si>
    <t>LYCEE GENERAL ET TECHNOLOGIQUE MONTESQUIEU</t>
  </si>
  <si>
    <t>HERBLAY SUR SEINE</t>
  </si>
  <si>
    <t>0951748J</t>
  </si>
  <si>
    <t>LYCEE POLYVALENT EVARISTE GALOIS</t>
  </si>
  <si>
    <t>BEAUMONT SUR OISE</t>
  </si>
  <si>
    <t>0951824S</t>
  </si>
  <si>
    <t>LYCEE POLYVALENT DE L HAUTIL</t>
  </si>
  <si>
    <t>JOUY LE MOUTIER</t>
  </si>
  <si>
    <t>0951937P</t>
  </si>
  <si>
    <t>LYCEE POLYVALENT PAUL EMILE VICTOR</t>
  </si>
  <si>
    <t>OSNY</t>
  </si>
  <si>
    <t>0951940T</t>
  </si>
  <si>
    <t>LYCEE GENERAL ET TECHNOLOGIQUE PRIVE OZAR HATORAH</t>
  </si>
  <si>
    <t>0952173W</t>
  </si>
  <si>
    <t>LYCEE POLYVALENT EUGENE RONCERAY</t>
  </si>
  <si>
    <t>BEZONS</t>
  </si>
  <si>
    <t>6200001G</t>
  </si>
  <si>
    <t>LYCEE GENERAL ET TECHNOLOGIQUE FESCH AJACCIO</t>
  </si>
  <si>
    <t>7200093N</t>
  </si>
  <si>
    <t>LYCEE PROFESSIONNEL JEAN NICOLI BASTIA</t>
  </si>
  <si>
    <t>9710003B</t>
  </si>
  <si>
    <t>LYCEE GENERAL ET TECHNOLOGIQUE BAIMBRIDGE</t>
  </si>
  <si>
    <t>LES ABYMES</t>
  </si>
  <si>
    <t>9710418C</t>
  </si>
  <si>
    <t>LYCEE PROFESSIONNEL PAUL LACAVE LYCEE DES METIERS DE L AUTOMOBILE</t>
  </si>
  <si>
    <t>CAPESTERRE BELLE EAU</t>
  </si>
  <si>
    <t>9710593T</t>
  </si>
  <si>
    <t>LYCEE PROFESSIONNEL PRIVE SAINT JOSEPH DE CLUNY</t>
  </si>
  <si>
    <t>BAIE MAHAULT</t>
  </si>
  <si>
    <t>9710774P</t>
  </si>
  <si>
    <t>LYCEE GENERAL ET TECHNOLOGIQUE FAUSTIN FLERET</t>
  </si>
  <si>
    <t>MORNE A L EAU</t>
  </si>
  <si>
    <t>9710775R</t>
  </si>
  <si>
    <t>LYCEE PROFESSIONNEL PRIVE LES PERSEVERANTS</t>
  </si>
  <si>
    <t>9710882G</t>
  </si>
  <si>
    <t>LYCEE GENERAL ET TECHNOLOGIQUE DES DROITS DE L HOMME</t>
  </si>
  <si>
    <t>PETIT BOURG</t>
  </si>
  <si>
    <t>9710923B</t>
  </si>
  <si>
    <t>LYCEE GENERAL ET TECHNOLOGIQUE JARDIN D ESSAI</t>
  </si>
  <si>
    <t>9711032V</t>
  </si>
  <si>
    <t>LYCEE POLYVALENT CHARLES COEFFIN</t>
  </si>
  <si>
    <t>9711046K</t>
  </si>
  <si>
    <t>LYCEE POLYVALENT CHEVALIER DE SAINT GEORGES LYCEE DES METIERS DE L INGENIERIE DES SYSTEMES D INFORMATION ET DE SERVICES</t>
  </si>
  <si>
    <t>9711080X</t>
  </si>
  <si>
    <t>LYCEE PROFESSIONNEL PRIVE DE COIFFURE ET D ESTHETIQUE</t>
  </si>
  <si>
    <t>9711082Z</t>
  </si>
  <si>
    <t>LYCEE POLYVALENT NORD GRANDE TERRE</t>
  </si>
  <si>
    <t>9720004X</t>
  </si>
  <si>
    <t>LYCEE GENERAL ET TECHNOLOGIQUE JOSEPH GAILLARD (PTE DES NEGRES)</t>
  </si>
  <si>
    <t>9720063L</t>
  </si>
  <si>
    <t>LYCEE GENERAL ET TECHNOLOGIQUE PRIVE SAINT JOSEPH DE CLUNY</t>
  </si>
  <si>
    <t>9720074Y</t>
  </si>
  <si>
    <t>9720615L</t>
  </si>
  <si>
    <t>LYCEE POLYVALENT PRIVE AMEP</t>
  </si>
  <si>
    <t>9720692V</t>
  </si>
  <si>
    <t>LYCEE GENERAL ET TECHNOLOGIQUE DU NORD ATLANTIQUE</t>
  </si>
  <si>
    <t>SAINTE MARIE</t>
  </si>
  <si>
    <t>9720695Y</t>
  </si>
  <si>
    <t>LYCEE POLYVALENT ACAJOU 2</t>
  </si>
  <si>
    <t>9720771F</t>
  </si>
  <si>
    <t>LYCEE POLYVALENT LA JETEE</t>
  </si>
  <si>
    <t>LE FRANCOIS</t>
  </si>
  <si>
    <t>9730003R</t>
  </si>
  <si>
    <t>LYCEE PROFESSIONNEL MAX JOSEPHINE</t>
  </si>
  <si>
    <t>9730010Y</t>
  </si>
  <si>
    <t>LYCEE GENERAL ET TECHNOLOGIQUE PRIVE EXTERNAT SAINT JOSEPH</t>
  </si>
  <si>
    <t>9730513V</t>
  </si>
  <si>
    <t>LYCEE POLYVALENT RAYMOND TARCY</t>
  </si>
  <si>
    <t>9740043D</t>
  </si>
  <si>
    <t>LYCEE GENERAL ET TECHNOLOGIQUE SARDA GARRIGA</t>
  </si>
  <si>
    <t>SAINT ANDRE</t>
  </si>
  <si>
    <t>9740575G</t>
  </si>
  <si>
    <t>LYCEE PROFESSIONNEL FRANCOIS DE MAHY</t>
  </si>
  <si>
    <t>9740737H</t>
  </si>
  <si>
    <t>LYCEE PROFESSIONNEL DE L HORIZON</t>
  </si>
  <si>
    <t>9740738J</t>
  </si>
  <si>
    <t>LYCEE PROFESSIONNEL HOTELIER DE LA RENAISSANCE LYCEE DES METIERS DE LA RESTAURATION DE L HOTELLERIE ET DE L ALIMENTATION</t>
  </si>
  <si>
    <t>9740934X</t>
  </si>
  <si>
    <t>SAINT JOSEPH</t>
  </si>
  <si>
    <t>9741255W</t>
  </si>
  <si>
    <t>LYCEE POLYVALENT PRIVE LA SALLE SAINT CHARLES</t>
  </si>
  <si>
    <t>9741256X</t>
  </si>
  <si>
    <t>LYCEE GENERAL ET TECHNOLOGIQUE PRIVE LEVAVASSEUR</t>
  </si>
  <si>
    <t>9741270M</t>
  </si>
  <si>
    <t>LYCEE POLYVALENT BEL AIR LYCEE DES METIERS DE LA CONSTRUCTION METALLIQUE</t>
  </si>
  <si>
    <t>SAINTE SUZANNE</t>
  </si>
  <si>
    <t>9741324W</t>
  </si>
  <si>
    <t>LYCEE GENERAL ET TECHNOLOGIQUE MAHATMA GANDHI</t>
  </si>
  <si>
    <t>9741620T</t>
  </si>
  <si>
    <t>LYCEE POLYVALENT MEMONA HINTERMANN AFFEJEE</t>
  </si>
  <si>
    <t>9760220K</t>
  </si>
  <si>
    <t>LYCEE PROFESSIONNEL DE DZOUMOGNE LYCEES DES METIERS</t>
  </si>
  <si>
    <t>BANDRABOUA</t>
  </si>
  <si>
    <t>9760270P</t>
  </si>
  <si>
    <t>LPO DU NORD</t>
  </si>
  <si>
    <t>ACOUA</t>
  </si>
  <si>
    <t>0010001W</t>
  </si>
  <si>
    <t>LYCEE PROFESSIONNEL ALEXANDRE BERARD LYCEE DES METIERS DE L ENERGIE ET DE L HABITAT</t>
  </si>
  <si>
    <t>0010010F</t>
  </si>
  <si>
    <t>LYCEE GENERAL ET TECHNOLOGIQUE DU BUGEY</t>
  </si>
  <si>
    <t>BELLEY</t>
  </si>
  <si>
    <t>0010013J</t>
  </si>
  <si>
    <t>LYCEE GENERAL LALANDE</t>
  </si>
  <si>
    <t>0010014K</t>
  </si>
  <si>
    <t>LYCEE GENERAL ET TECHNOLOGIQUE EDGAR QUINET</t>
  </si>
  <si>
    <t>0010034G</t>
  </si>
  <si>
    <t>LYCEE POLYVALENT PAUL PAINLEVE</t>
  </si>
  <si>
    <t>OYONNAX</t>
  </si>
  <si>
    <t>0011010T</t>
  </si>
  <si>
    <t>LYCEE PROFESSIONNEL DU BUGEY</t>
  </si>
  <si>
    <t>0011326L</t>
  </si>
  <si>
    <t>LYCEE GENERAL DE LA COTIERE</t>
  </si>
  <si>
    <t>LA BOISSE</t>
  </si>
  <si>
    <t>0020025S</t>
  </si>
  <si>
    <t>LYCEE PROFESSIONNEL CHATEAU POTEL LYCEE DES METIERS HORTICULTURE ET MAINTENANCE (VEHICULES INDUSTRIELS MATERIELS AGRICOLES ET TRAVAUX PUBLICS)</t>
  </si>
  <si>
    <t>LA FERTE MILON</t>
  </si>
  <si>
    <t>0020032Z</t>
  </si>
  <si>
    <t>LYCEE GENERAL ET TECHNOLOGIQUE PAUL CLAUDEL</t>
  </si>
  <si>
    <t>0020034B</t>
  </si>
  <si>
    <t>LYCEE POLYVALENT PIERRE MECHAIN</t>
  </si>
  <si>
    <t>0020050U</t>
  </si>
  <si>
    <t>LYCEE D ENSEIGNEMENT GENERAL ET TECHNOLOGIQUE CONDORCET</t>
  </si>
  <si>
    <t>0020089L</t>
  </si>
  <si>
    <t>LYCEE PROFESSIONNEL FREDERIC ET IRENE JOLIOT CURIE LYCEE DES METIERS DE LA GESTION ET DE L INDUSTRIE</t>
  </si>
  <si>
    <t>HIRSON</t>
  </si>
  <si>
    <t>0021476U</t>
  </si>
  <si>
    <t>LYCEE POLYVALENT LEONARD DE VINCI LYCEE DES METIERS DES ECO SCIENCES ET DES ECO TECHNOLOGIES</t>
  </si>
  <si>
    <t>0021869W</t>
  </si>
  <si>
    <t>LYCEE D ENSEIGNEMENT GENERAL ET TECHNOLOGIQUE PRIVE SAINT JOSEPH</t>
  </si>
  <si>
    <t>0022002R</t>
  </si>
  <si>
    <t>0022042J</t>
  </si>
  <si>
    <t>LYCEE POLYVALENT JEAN BOUIN LYCEE DES METIERS DE LA MODE DES SERVICES A LA PERSONNE ET AUX COLLECTIVITES</t>
  </si>
  <si>
    <t>0030036Y</t>
  </si>
  <si>
    <t>LYCEE GENERAL THEODORE DE BANVILLE</t>
  </si>
  <si>
    <t>0030038A</t>
  </si>
  <si>
    <t>LYCEE POLYVALENT JEAN MONNET LYCEE DES METIERS DU DESIGN ET DES ARTS VERRIERS</t>
  </si>
  <si>
    <t>YZEURE</t>
  </si>
  <si>
    <t>0030072M</t>
  </si>
  <si>
    <t>0030445T</t>
  </si>
  <si>
    <t>LYCEE GENERAL PRIVE SAINTE LOUISE</t>
  </si>
  <si>
    <t>0030905T</t>
  </si>
  <si>
    <t>LYCEE PROFESSIONNEL GUSTAVE EIFFEL LYCEE DES METIERS DE LA MAINTENANCE DES MATERIELS ET DES VEHICULES MOTOCYCLES</t>
  </si>
  <si>
    <t>GANNAT</t>
  </si>
  <si>
    <t>0030924N</t>
  </si>
  <si>
    <t>LYCEE PROFESSIONNEL VAL D ALLIER</t>
  </si>
  <si>
    <t>VARENNES SUR ALLIER</t>
  </si>
  <si>
    <t>0030935A</t>
  </si>
  <si>
    <t>LYCEE PRIVE D ENSEIGNEMENT SUPERIEUR DE VICHY</t>
  </si>
  <si>
    <t>VICHY</t>
  </si>
  <si>
    <t>0040490L</t>
  </si>
  <si>
    <t>LYCEE GENERAL ET TECHNOLOGIQUE PIERRE GILLES DE GENNES</t>
  </si>
  <si>
    <t>0050027C</t>
  </si>
  <si>
    <t>VEYNES</t>
  </si>
  <si>
    <t>0060014H</t>
  </si>
  <si>
    <t>0060029Z</t>
  </si>
  <si>
    <t>LYCEE GENERAL ET TECHNOLOGIQUE PARC IMPERIAL</t>
  </si>
  <si>
    <t>0060075Z</t>
  </si>
  <si>
    <t>LYCEE GENERAL ET TECHNOLOGIQUE LES EUCALYPTUS</t>
  </si>
  <si>
    <t>0060670W</t>
  </si>
  <si>
    <t>0060715V</t>
  </si>
  <si>
    <t>0060729K</t>
  </si>
  <si>
    <t>LYCEE GENERAL PRIVE STANISLAS</t>
  </si>
  <si>
    <t>0061642C</t>
  </si>
  <si>
    <t>LYCEE GENERAL ET TECHNOLOGIQUE INTERNATIONAL</t>
  </si>
  <si>
    <t>VALBONNE</t>
  </si>
  <si>
    <t>0061691F</t>
  </si>
  <si>
    <t>LYCEE GENERAL ET TECHNOLOGIQUE THIERRY MAULNIER LYCEE DES METIERS DE LA CHIMIE</t>
  </si>
  <si>
    <t>0061760F</t>
  </si>
  <si>
    <t>LYCEE GENERAL ET TECHNOLOGIQUE ALEXIS DE TOCQUEVILLE</t>
  </si>
  <si>
    <t>0070004S</t>
  </si>
  <si>
    <t>LYCEE POLYVALENT ASTIER</t>
  </si>
  <si>
    <t>0070009X</t>
  </si>
  <si>
    <t>LYCEE PROFESSIONNEL LEON PAVIN</t>
  </si>
  <si>
    <t>CHOMERAC</t>
  </si>
  <si>
    <t>0070069M</t>
  </si>
  <si>
    <t>LYCEE GENERAL ET TECHNOLOGIQUE PRIVE SACRE COEUR NOTRE DAME</t>
  </si>
  <si>
    <t>0070100W</t>
  </si>
  <si>
    <t>LYCEE PROFESSIONNEL PRIVE MARC SEGUIN</t>
  </si>
  <si>
    <t>0070112J</t>
  </si>
  <si>
    <t>LYCEE PROFESSIONNEL PRIVE SAINT ANDRE</t>
  </si>
  <si>
    <t>0070115M</t>
  </si>
  <si>
    <t>LYCEE PROFESSIONNEL PRIVE JULES FROMENT LYCEE DES METIERS DE LA RELATION DANS LE COMMERCE LES SERVICES LA SANTE ET LE SOCIAL</t>
  </si>
  <si>
    <t>0080027L</t>
  </si>
  <si>
    <t>LYCEE GENERAL ET TECHNOLOGIQUE MONGE</t>
  </si>
  <si>
    <t>0080081V</t>
  </si>
  <si>
    <t>LYCEE GENERAL PRIVE MABILLON</t>
  </si>
  <si>
    <t>0100016N</t>
  </si>
  <si>
    <t>LYCEE PROFESSIONNEL DENIS DIDEROT</t>
  </si>
  <si>
    <t>0100023W</t>
  </si>
  <si>
    <t>LYCEE POLYVALENT MARIE DE CHAMPAGNE</t>
  </si>
  <si>
    <t>0101022G</t>
  </si>
  <si>
    <t>LYCEE PROFESSIONNEL EDOUARD HERRIOT LYCEE DES METIERS DE LA MODE DE L HOTELLERIE ET DE LA RESTAURATION</t>
  </si>
  <si>
    <t>SAINTE SAVINE</t>
  </si>
  <si>
    <t>0110007Y</t>
  </si>
  <si>
    <t>LYCEE POLYVALENT JULES FIL LYCEE DES METIERS DE LA SANTE DU SOCIAL ET DES SCIENCES DE L INDUSTRIE NUMERIQUE</t>
  </si>
  <si>
    <t>CARCASSONNE</t>
  </si>
  <si>
    <t>0110012D</t>
  </si>
  <si>
    <t>CASTELNAUDARY</t>
  </si>
  <si>
    <t>0110027V</t>
  </si>
  <si>
    <t>LYCEE PROFESSIONNEL ÉDOUARD HERRIOT</t>
  </si>
  <si>
    <t>QUILLAN</t>
  </si>
  <si>
    <t>0110045P</t>
  </si>
  <si>
    <t>0110670U</t>
  </si>
  <si>
    <t>LYCEE POLYVALENT PRIVE BEAUSEJOUR LYCEE DES METIERS DE LA SANTE ET DU SOCIAL</t>
  </si>
  <si>
    <t>NARBONNE</t>
  </si>
  <si>
    <t>0110823K</t>
  </si>
  <si>
    <t>LYCEE PROFESSIONNEL CHARLES CROS LYCEE DES METIERS DE LA COMMERCIALISATION ET DE LA RESTAURATION</t>
  </si>
  <si>
    <t>0111048E</t>
  </si>
  <si>
    <t>LYCEE POLYVALENT ERNEST FERROUL</t>
  </si>
  <si>
    <t>LEZIGNAN CORBIERES</t>
  </si>
  <si>
    <t>0120006S</t>
  </si>
  <si>
    <t>LYCEE POLYVALENT LA DECOUVERTE</t>
  </si>
  <si>
    <t>DECAZEVILLE</t>
  </si>
  <si>
    <t>0130003H</t>
  </si>
  <si>
    <t>LYCEE POLYVALENT VAUVENARGUES</t>
  </si>
  <si>
    <t>0130010R</t>
  </si>
  <si>
    <t>LYCEE POLYVALENT MONTMAJOUR</t>
  </si>
  <si>
    <t>ARLES</t>
  </si>
  <si>
    <t>0130011S</t>
  </si>
  <si>
    <t>LYCEE TECHNOLOGIQUE LOUIS PASQUET LYCEE DES METIERS DES ENERGIES ET DE L INDUSTRIE</t>
  </si>
  <si>
    <t>0130037V</t>
  </si>
  <si>
    <t>LYCEE GENERAL ET TECHNOLOGIQUE MARCEL PAGNOL</t>
  </si>
  <si>
    <t>0130039X</t>
  </si>
  <si>
    <t>LYCEE GENERAL ET TECHNOLOGIQUE SAINT CHARLES</t>
  </si>
  <si>
    <t>MARSEILLE 1ER ARRONDISSEMENT</t>
  </si>
  <si>
    <t>0130048G</t>
  </si>
  <si>
    <t>0130056R</t>
  </si>
  <si>
    <t>LYCEE PROFESSIONNEL LYCEE DES METIERS LA FLORIDE</t>
  </si>
  <si>
    <t>MARSEILLE 14E ARRONDISSEMENT</t>
  </si>
  <si>
    <t>0130062X</t>
  </si>
  <si>
    <t>LYCEE PROFESSIONNEL FREDERIC MISTRAL LYCEE DES METIERS DE L AUTOMOBILE ET DES SERVICES AUX ENTREPRISES</t>
  </si>
  <si>
    <t>0130151U</t>
  </si>
  <si>
    <t>LYCEE PROFESSIONNEL CHARLES MONGRAND</t>
  </si>
  <si>
    <t>0130164H</t>
  </si>
  <si>
    <t>LYCEE GENERAL ET TECHNOLOGIQUE ALPHONSE DAUDET</t>
  </si>
  <si>
    <t>TARASCON</t>
  </si>
  <si>
    <t>0131323T</t>
  </si>
  <si>
    <t>LYCEE GENERAL PRIVE DE PROVENCE</t>
  </si>
  <si>
    <t>0131335F</t>
  </si>
  <si>
    <t>LYCEE GENERAL PRIVE CHEVREUL BLANCARDE</t>
  </si>
  <si>
    <t>MARSEILLE 4E ARRONDISSEMENT</t>
  </si>
  <si>
    <t>0131424C</t>
  </si>
  <si>
    <t>LYCEE PROFESSIONNEL PRIVE ORT LEON BRAMSON</t>
  </si>
  <si>
    <t>0131433M</t>
  </si>
  <si>
    <t>LYCEE DES METIERS PRIVE SAINT HENRI LYCEE DES METIERS DU BATIMENT CONNECTE ET DES ENERGIES RENOUVELABLES</t>
  </si>
  <si>
    <t>0131436R</t>
  </si>
  <si>
    <t>LYCEE TECHNOLOGIQUE PRIVE MODELE ELECTRONIQUE</t>
  </si>
  <si>
    <t>0131441W</t>
  </si>
  <si>
    <t>0131549N</t>
  </si>
  <si>
    <t>LYCEE GENERAL ET TECHNOLOGIQUE FREDERIC JOLIOT CURIE</t>
  </si>
  <si>
    <t>AUBAGNE</t>
  </si>
  <si>
    <t>0132193N</t>
  </si>
  <si>
    <t>LYCEE DES METIERS PRIVE EDMOND ROSTAND</t>
  </si>
  <si>
    <t>0133244F</t>
  </si>
  <si>
    <t>LYCEE POLYVALENT MARIE MADELEINE FOURCADE</t>
  </si>
  <si>
    <t>GARDANNE</t>
  </si>
  <si>
    <t>0133286B</t>
  </si>
  <si>
    <t>LYCEE TECHNOLOGIQUE PRIVE BELSUNCE</t>
  </si>
  <si>
    <t>MARSEILLE 2E ARRONDISSEMENT</t>
  </si>
  <si>
    <t>0133288D</t>
  </si>
  <si>
    <t>0133395V</t>
  </si>
  <si>
    <t>LYCEE TECHNOLOGIQUE PRIVE SAINTE MARIE</t>
  </si>
  <si>
    <t>0133396W</t>
  </si>
  <si>
    <t>LYCEE DES METIERS PRIVE DON BOSCO</t>
  </si>
  <si>
    <t>0133474F</t>
  </si>
  <si>
    <t>LYCEE TECHNOLOGIQUE PRIVE MARIE GASQUET</t>
  </si>
  <si>
    <t>0134004G</t>
  </si>
  <si>
    <t>LYCEE PRIVE SAINT CHARLES</t>
  </si>
  <si>
    <t>SAINT MARTIN DE CRAU</t>
  </si>
  <si>
    <t>0140017T</t>
  </si>
  <si>
    <t>0140043W</t>
  </si>
  <si>
    <t>LYCEE GENERAL ANDRE MAUROIS</t>
  </si>
  <si>
    <t>DEAUVILLE</t>
  </si>
  <si>
    <t>0140061R</t>
  </si>
  <si>
    <t>LYCEE GENERAL MARCEL GAMBIER</t>
  </si>
  <si>
    <t>0141164P</t>
  </si>
  <si>
    <t>LYCEE GENERAL PRIVE INSTITUTION SAINTE MARIE</t>
  </si>
  <si>
    <t>0141169V</t>
  </si>
  <si>
    <t>LYCEE GENERAL PRIVE INSTITUTION FREMONT</t>
  </si>
  <si>
    <t>0141418R</t>
  </si>
  <si>
    <t>LYCEE TECHNOLOGIQUE PRIVE LES ROSIERS</t>
  </si>
  <si>
    <t>0141796B</t>
  </si>
  <si>
    <t>LYCEE GENERAL ET TECHNOLOGIQUE SALVADOR ALLENDE</t>
  </si>
  <si>
    <t>HEROUVILLE SAINT CLAIR</t>
  </si>
  <si>
    <t>0142084P</t>
  </si>
  <si>
    <t>LYCEE TECHNOLOGIQUE PRIVE NOTRE DAME DE FIDELITE</t>
  </si>
  <si>
    <t>0142107P</t>
  </si>
  <si>
    <t>LYCEE GENERAL CHARLES DE GAULLE</t>
  </si>
  <si>
    <t>0142108R</t>
  </si>
  <si>
    <t>LYCEE TECHNOLOGIQUE PRIVE NOTRE DAME DE NAZARETH</t>
  </si>
  <si>
    <t>DOUVRES LA DELIVRANDE</t>
  </si>
  <si>
    <t>0142120D</t>
  </si>
  <si>
    <t>LYCEE POLYVALENT CHARLES TELLIER LYCEE DES METIERS DU GENIE ELECTRIQUE</t>
  </si>
  <si>
    <t>CONDE EN NORMANDIE</t>
  </si>
  <si>
    <t>0142131R</t>
  </si>
  <si>
    <t>LYCEE POLYVALENT JULES DUMONT D URVILLE</t>
  </si>
  <si>
    <t>0150022T</t>
  </si>
  <si>
    <t>LYCEE PROFESSIONNEL JOSEPH CONSTANT</t>
  </si>
  <si>
    <t>MURAT</t>
  </si>
  <si>
    <t>0150747F</t>
  </si>
  <si>
    <t>LYCEE POLYVALENT LYCEE DES METIERS DE L EAU ET DE LA GESTION COMPTABLE</t>
  </si>
  <si>
    <t>MAURIAC</t>
  </si>
  <si>
    <t>0160022M</t>
  </si>
  <si>
    <t>LYCEE POLYVALENT EMILE ROUX</t>
  </si>
  <si>
    <t>CONFOLENS</t>
  </si>
  <si>
    <t>0160047P</t>
  </si>
  <si>
    <t>LYCEE PROFESSIONNEL CHARLES AUGUSTIN COULOMB</t>
  </si>
  <si>
    <t>0160048R</t>
  </si>
  <si>
    <t>LYCEE PROFESSIONNEL PIERRE ANDRE CHABANNE LYCEE DES METIERS DES SERVICES A LA PERSONNE ET AUX ENTREPRISES</t>
  </si>
  <si>
    <t>CHASSENEUIL SUR BONNIEURE</t>
  </si>
  <si>
    <t>0160062F</t>
  </si>
  <si>
    <t>LYCEE GENERAL ET TECHNOLOGIQUE PRIVE SAINT PAUL</t>
  </si>
  <si>
    <t>0160083D</t>
  </si>
  <si>
    <t>LYCEE POLYVALENT PRIVE SAINT JOSEPH L AMANDIER</t>
  </si>
  <si>
    <t>SAINT YRIEIX SUR CHARENTE</t>
  </si>
  <si>
    <t>0161003D</t>
  </si>
  <si>
    <t>LYCEE PROFESSIONNEL LOUISE MICHEL</t>
  </si>
  <si>
    <t>RUFFEC</t>
  </si>
  <si>
    <t>0170022G</t>
  </si>
  <si>
    <t>LYCEE GENERAL ET TECHNOLOGIQUE MAURICE MERLEAU PONTY</t>
  </si>
  <si>
    <t>0170051N</t>
  </si>
  <si>
    <t>LYCEE POLYVALENT LOUIS AUDOUIN DUBREUIL</t>
  </si>
  <si>
    <t>SAINT JEAN D ANGELY</t>
  </si>
  <si>
    <t>0170052P</t>
  </si>
  <si>
    <t>LYCEE PROFESSIONNEL BLAISE PASCAL LYCEE DES METIERS DE LA MAINTENANCE DE LA SECURITE ET DES TRAVAUX PUBLICS</t>
  </si>
  <si>
    <t>0170135E</t>
  </si>
  <si>
    <t>LYCEE POLYVALENT JEAN HYPPOLITE LYCEE DES METIERS DE LA SANTE ET DU SOCIAL</t>
  </si>
  <si>
    <t>JONZAC</t>
  </si>
  <si>
    <t>0171238D</t>
  </si>
  <si>
    <t>LYCEE PROFESSIONNEL ROMPSAY</t>
  </si>
  <si>
    <t>0171428K</t>
  </si>
  <si>
    <t>LYCEE TECHNOLOGIQUE DE LA MER ET DU LITTORAL</t>
  </si>
  <si>
    <t>BOURCEFRANC LE CHAPUS</t>
  </si>
  <si>
    <t>0180005H</t>
  </si>
  <si>
    <t>LYCEE GENERAL ALAIN FOURNIER</t>
  </si>
  <si>
    <t>BOURGES</t>
  </si>
  <si>
    <t>0180009M</t>
  </si>
  <si>
    <t>LYCEE PROFESSIONNEL JEAN DE BERRY LYCEE DES METIERS DU BATIMENT</t>
  </si>
  <si>
    <t>0180026F</t>
  </si>
  <si>
    <t>0180561M</t>
  </si>
  <si>
    <t>LYCEE GENERAL ET TECHNOLOGIQUE PRIVE SAINTE MARIE SAINT DOMINIQUE</t>
  </si>
  <si>
    <t>0180823X</t>
  </si>
  <si>
    <t>LYCEE PROFESSIONNEL VAUVERT LYCEE DES METIERS DE L AUTOMOBILE ET DU COMMERCE</t>
  </si>
  <si>
    <t>0190011J</t>
  </si>
  <si>
    <t>LYCEE GENERAL D ARSONVAL</t>
  </si>
  <si>
    <t>0190034J</t>
  </si>
  <si>
    <t>TULLE</t>
  </si>
  <si>
    <t>0190045W</t>
  </si>
  <si>
    <t>LYCEE PROFESSIONNEL GEORGES CABANIS</t>
  </si>
  <si>
    <t>0190674E</t>
  </si>
  <si>
    <t>LYCEE PROFESSIONNEL REGIONAL BERNART DE VENTADOUR</t>
  </si>
  <si>
    <t>0190783Y</t>
  </si>
  <si>
    <t>LP CENTRE DES MONEDIERES</t>
  </si>
  <si>
    <t>TREIGNAC</t>
  </si>
  <si>
    <t>0210003P</t>
  </si>
  <si>
    <t>LYCEE POLYVALENT PRIEUR DE LA COTE D OR</t>
  </si>
  <si>
    <t>AUXONNE</t>
  </si>
  <si>
    <t>0211068X</t>
  </si>
  <si>
    <t>LYCEE GENERAL ET TECHNOLOGIQUE PRIVE DU SAINT COEUR</t>
  </si>
  <si>
    <t>0212045J</t>
  </si>
  <si>
    <t>LYCEE POLYVALENT MAREY</t>
  </si>
  <si>
    <t>0220058U</t>
  </si>
  <si>
    <t>LYCEE POLYVALENT CHAPTAL</t>
  </si>
  <si>
    <t>0220075M</t>
  </si>
  <si>
    <t>LYCEE PROFESSIONNEL JEAN MONNET LYCEE DES METIERS DU BATIMENT ET DE L ART DE LA PIERRE</t>
  </si>
  <si>
    <t>0220094H</t>
  </si>
  <si>
    <t>LYCEE GENERAL ET TECHNOLOGIQUE PRIVE LES CORDELIERS NOTRE DAME DE LA VICTOIRE</t>
  </si>
  <si>
    <t>0220097L</t>
  </si>
  <si>
    <t>0220099N</t>
  </si>
  <si>
    <t>LYCEE GENERAL ET TECHNOLOGIQUE PRIVE ST JOSEPH</t>
  </si>
  <si>
    <t>LAMBALLE ARMOR</t>
  </si>
  <si>
    <t>0220102S</t>
  </si>
  <si>
    <t>LYCEE GENERAL ET TECHNOLOGIQUE PRIVE SAINT JOSEPH BOSSUET</t>
  </si>
  <si>
    <t>0220107X</t>
  </si>
  <si>
    <t>LYCEE GENERAL ET TECHNOLOGIQUE PRIVE NOTRE DAME DE CAMPOSTAL</t>
  </si>
  <si>
    <t>ROSTRENEN</t>
  </si>
  <si>
    <t>0230020X</t>
  </si>
  <si>
    <t>LYCEE GENERAL ET TECHNOLOGIQUE PIERRE BOURDAN</t>
  </si>
  <si>
    <t>GUERET</t>
  </si>
  <si>
    <t>0230051F</t>
  </si>
  <si>
    <t>LYCEE POLYVALENT JEAN FAVARD</t>
  </si>
  <si>
    <t>0240024W</t>
  </si>
  <si>
    <t>LYCEE GENERAL BERTRAN DE BORN</t>
  </si>
  <si>
    <t>0240028A</t>
  </si>
  <si>
    <t>LYCEE PROFESSIONNEL PABLO PICASSO</t>
  </si>
  <si>
    <t>0240076C</t>
  </si>
  <si>
    <t>LYCEE GENERAL ET TECHNOLOGIQUE PRIVE SAINTE MARTHE SAINT FRONT</t>
  </si>
  <si>
    <t>0240094X</t>
  </si>
  <si>
    <t>LYCEE PROFESSIONNEL PRIVE SAINTE MARTHE SAINT FRONT</t>
  </si>
  <si>
    <t>0240984P</t>
  </si>
  <si>
    <t>LYCEE PROFESSIONNEL LEONARD DE VINCI LYCEE DES METIERS DE L INDUSTRIE</t>
  </si>
  <si>
    <t>0251021Z</t>
  </si>
  <si>
    <t>LGT PR ST PAUL LYCEE DES METIERS DE LA CONCEPTION DE PRODUITS ET DE L AMENAGEMENT DE L HABITAT</t>
  </si>
  <si>
    <t>0251024C</t>
  </si>
  <si>
    <t>LYCEE GENERAL ET TECHNOLOGIQUE PRIVE LES AUGUSTINS</t>
  </si>
  <si>
    <t>0260037Z</t>
  </si>
  <si>
    <t>LYCEE PROFESSIONNEL VICTOR HUGO</t>
  </si>
  <si>
    <t>0260063C</t>
  </si>
  <si>
    <t>LYCEE GENERAL PRIVE NOTRE DAME DE LA GALAURE</t>
  </si>
  <si>
    <t>CHATEAUNEUF DE GALAURE</t>
  </si>
  <si>
    <t>0260072M</t>
  </si>
  <si>
    <t>0260074P</t>
  </si>
  <si>
    <t>LYCEE TECHNOLOGIQUE PRIVE MONTPLAISIR</t>
  </si>
  <si>
    <t>0261139X</t>
  </si>
  <si>
    <t>LYCEE PROFESSIONNEL PRIVE MONTPLAISIR LYCEE DES METIERS DES TECHNOLOGIES MEDICO SOCIALES DE L ADMINISTRATION ET DE LA GESTION D ENTREPRISE</t>
  </si>
  <si>
    <t>0261148G</t>
  </si>
  <si>
    <t>LYCEE PROFESSIONNEL HOTELIER DE L HERMITAGE LYCEE DES METIERS DE LA RESTAURATION ET DU VIN</t>
  </si>
  <si>
    <t>TAIN L HERMITAGE</t>
  </si>
  <si>
    <t>0261505V</t>
  </si>
  <si>
    <t>LYCEE POLYVALENT ALGOUD LAFFEMAS LYCEE DES METIERS DU NUMERIQUE</t>
  </si>
  <si>
    <t>0270017X</t>
  </si>
  <si>
    <t>LYCEE GENERAL ET TECHNOLOGIQUE MODESTE LEROY</t>
  </si>
  <si>
    <t>0271070S</t>
  </si>
  <si>
    <t>LYCEE POLYVALENT PRIVE NOTRE DAME</t>
  </si>
  <si>
    <t>0271431J</t>
  </si>
  <si>
    <t>LYCEE GENERAL ET TECHNOLOGIQUE JACQUES PREVERT</t>
  </si>
  <si>
    <t>0271606Z</t>
  </si>
  <si>
    <t>LYCEE PROFESSIONNEL AUGUSTIN BOISMARD LYCEE DES METIERS D ART BOIS TISSU CUIR</t>
  </si>
  <si>
    <t>BRIONNE</t>
  </si>
  <si>
    <t>0280044W</t>
  </si>
  <si>
    <t>LYCEE POLYVALENT JEHAN DE BEAUCE</t>
  </si>
  <si>
    <t>0280684S</t>
  </si>
  <si>
    <t>SAINT MAURICE SAINT GERMAIN</t>
  </si>
  <si>
    <t>0280687V</t>
  </si>
  <si>
    <t>LYCEE PROFESSIONNEL PRIVE DE COUASNON LYCEE DES METIERS DES SERVICES A LA PERSONNE ET A L ENTREPRISE</t>
  </si>
  <si>
    <t>0280700J</t>
  </si>
  <si>
    <t>LYCEE PROFESSIONNEL JEAN FELIX PAULSEN LYCEE DES METIERS DES SERVICES DE L ELECTROTECHNIQUE ET DE LA MAINTENANCE INDUSTRIELLE</t>
  </si>
  <si>
    <t>0280925D</t>
  </si>
  <si>
    <t>LYCEE PROFESSIONNEL GILBERT COURTOIS LYCEE DES METIERS DES SERVICES ET DE L INDUSTRIE</t>
  </si>
  <si>
    <t>0290012F</t>
  </si>
  <si>
    <t>0290030A</t>
  </si>
  <si>
    <t>LYCEE POLYVALENT PIERRE GUEGUIN LYCEE DES METIERS DE L ENERGIE INDUSTRIELLE LYCEE DES METIERS DU NAUTISME</t>
  </si>
  <si>
    <t>CONCARNEAU</t>
  </si>
  <si>
    <t>0290034E</t>
  </si>
  <si>
    <t>LYCEE GENERAL ET TECHNOLOGIQUE JEAN MARIE LE BRIS</t>
  </si>
  <si>
    <t>0290076A</t>
  </si>
  <si>
    <t>LYCEE GENERAL ET TECHNOLOGIQUE DE KERNEUZEC</t>
  </si>
  <si>
    <t>QUIMPERLE</t>
  </si>
  <si>
    <t>0290105G</t>
  </si>
  <si>
    <t>LYCEE PROFESSIONNEL TRISTAN CORBIERE LYCEE DES METIERS DE L AERONAUTIQUE DE LA MECATRONIQUE LYCEE DES METIERS DU SANITAIRE ET SOCIAL</t>
  </si>
  <si>
    <t>0290156M</t>
  </si>
  <si>
    <t>0290200K</t>
  </si>
  <si>
    <t>LYCEE PROFESSIONNEL PRIVE LE PORSMEUR LYCEE DES METIERS DE LA VENTE ET DU SANITAIRE ET SOCIAL</t>
  </si>
  <si>
    <t>0290335G</t>
  </si>
  <si>
    <t>LYCEE GENERAL ET TECHNOLOGIQUE PRIVE LA CROIX ROUGE LA SALLE</t>
  </si>
  <si>
    <t>0290338K</t>
  </si>
  <si>
    <t>LYCEE GENERAL PRIVE SAINTE ANNE</t>
  </si>
  <si>
    <t>0290340M</t>
  </si>
  <si>
    <t>LYCEE POLYVALENT PRIVE ESTRAN FENELON LYCEE DES METIERS DES SERVICES A LA PERSONNE LYCEE DES METIERS DE L HOTELLERIE RESTAURATION ET DU TOURISME</t>
  </si>
  <si>
    <t>0292139T</t>
  </si>
  <si>
    <t>LYCEE PROFESSIONNEL PRIVE JAVOUHEY</t>
  </si>
  <si>
    <t>0300028T</t>
  </si>
  <si>
    <t>LYCEE PROFESSIONNEL PRIVE CEVENOL</t>
  </si>
  <si>
    <t>0300106C</t>
  </si>
  <si>
    <t>LYCEE PROFESSIONNEL PRIVE SAINTE MARIE LYCEE DES METIERS DE LA SANTE ET DES PROCEDES DE LA CHIMIE ET DE L EAU</t>
  </si>
  <si>
    <t>0301722J</t>
  </si>
  <si>
    <t>VILLENEUVE LES AVIGNON</t>
  </si>
  <si>
    <t>0301778V</t>
  </si>
  <si>
    <t>LYCEE POLYVALENT JACQUES PREVERT LYCEE DES METIERS DU MANAGEMENT ET DE LA GESTION</t>
  </si>
  <si>
    <t>SAINT CHRISTOL LEZ ALES</t>
  </si>
  <si>
    <t>0310017A</t>
  </si>
  <si>
    <t>LYCEE POLYVALENT PAUL MATHOU LYCEE DES METIERS DES TRAVAUX PUBLICS ET DU BATIMENT</t>
  </si>
  <si>
    <t>GOURDAN POLIGNAN</t>
  </si>
  <si>
    <t>0310028M</t>
  </si>
  <si>
    <t>LYCEE GENERAL ET TECHNOLOGIQUE VINCENT AURIOL</t>
  </si>
  <si>
    <t>REVEL</t>
  </si>
  <si>
    <t>0310032S</t>
  </si>
  <si>
    <t>LYCEE GENERAL ET TECHNOLOGIQUE DE BAGATELLE</t>
  </si>
  <si>
    <t>SAINT GAUDENS</t>
  </si>
  <si>
    <t>0310047H</t>
  </si>
  <si>
    <t>LYCEE GENERAL ET TECHNOLOGIQUE OZENNE</t>
  </si>
  <si>
    <t>0310054R</t>
  </si>
  <si>
    <t>LYCEE PROFESSIONNEL RENEE BONNET</t>
  </si>
  <si>
    <t>0311131L</t>
  </si>
  <si>
    <t>LYCEE POLYVALENT PRIVE SAINTE THERESE</t>
  </si>
  <si>
    <t>0311134P</t>
  </si>
  <si>
    <t>LYCEE POLYVALENT PRIVE EMILIE DE RODAT</t>
  </si>
  <si>
    <t>0311145B</t>
  </si>
  <si>
    <t>LYCEE GENERAL ET TECHNOLOGIQUE PRIVE SAINT JOSEPH LA SALLE</t>
  </si>
  <si>
    <t>0311902Z</t>
  </si>
  <si>
    <t>0312063Z</t>
  </si>
  <si>
    <t>LYCEE PROFESSIONNEL PRIVE CASTELNOUVEL</t>
  </si>
  <si>
    <t>LEGUEVIN</t>
  </si>
  <si>
    <t>0312267W</t>
  </si>
  <si>
    <t>LYCEE GENERAL ET TECHNOLOGIQUE DES ARENES</t>
  </si>
  <si>
    <t>0312289V</t>
  </si>
  <si>
    <t>LYCEE GENERAL ET TECHNOLOGIQUE PIERRE PAUL RIQUET</t>
  </si>
  <si>
    <t>SAINT ORENS DE GAMEVILLE</t>
  </si>
  <si>
    <t>0312355S</t>
  </si>
  <si>
    <t>LYCEE GENERAL ET TECHNOLOGIQUE PRIVE ORT MAURICE GRYNFOGEL</t>
  </si>
  <si>
    <t>0312686B</t>
  </si>
  <si>
    <t>LYCEE POLYVALENT SAINT EXUPERY LYCEE DES METIERS DE LA PRODUCTIQUE ET DE LA MAINTENANCE AERONAUTIQUE</t>
  </si>
  <si>
    <t>BLAGNAC</t>
  </si>
  <si>
    <t>0312759F</t>
  </si>
  <si>
    <t>LYCEE POLYVALENT JOSEPH GALLIENI LYCEE DES METIERS DE L AUTOMOBILE DU TRANSPORT ET DE LA LOGISTIQUE</t>
  </si>
  <si>
    <t>0312822Z</t>
  </si>
  <si>
    <t>LYCEE POLYVALENT CHARLES DE GAULLE LYCEE DES METIERS DE L ENERGETIQUE ET DE LA DOMOTIQUE</t>
  </si>
  <si>
    <t>MURET</t>
  </si>
  <si>
    <t>0312915A</t>
  </si>
  <si>
    <t>VILLEFRANCHE DE LAURAGAIS</t>
  </si>
  <si>
    <t>0312995M</t>
  </si>
  <si>
    <t>LYCEE POLYVALENT MARTIN MALVY</t>
  </si>
  <si>
    <t>CAZERES</t>
  </si>
  <si>
    <t>0320002D</t>
  </si>
  <si>
    <t>LYCEE GENERAL ET TECHNOLOGIQUE PARDAILHAN</t>
  </si>
  <si>
    <t>0320067Z</t>
  </si>
  <si>
    <t>LYCEE POLYVALENT LE GARROS LYCEE DES METIERS DU GENIE CIVIL DE LA PRODUCTION ET DU LABORATOIRE</t>
  </si>
  <si>
    <t>0330018R</t>
  </si>
  <si>
    <t>BLANQUEFORT</t>
  </si>
  <si>
    <t>0330028B</t>
  </si>
  <si>
    <t>LYCEE POLYVALENT GUSTAVE EIFFEL</t>
  </si>
  <si>
    <t>0330029C</t>
  </si>
  <si>
    <t>LYCEE GENERAL ET TECHNOLOGIQUE NICOLAS BREMONTIER</t>
  </si>
  <si>
    <t>0330069W</t>
  </si>
  <si>
    <t>LYCEE PROFESSIONNEL LA MORLETTE : LYCEE DES METIERS DES SOINS ET DES SERVICES A LA PERSONNE</t>
  </si>
  <si>
    <t>CENON</t>
  </si>
  <si>
    <t>0330115W</t>
  </si>
  <si>
    <t>LYCEE GENERAL RECLUS</t>
  </si>
  <si>
    <t>0330142A</t>
  </si>
  <si>
    <t>LYCEE PROFESSIONNEL TREGEY RIVE DE GARONNE</t>
  </si>
  <si>
    <t>0331460H</t>
  </si>
  <si>
    <t>LYCEE PROFESSIONNEL LES CHARTRONS</t>
  </si>
  <si>
    <t>0331495W</t>
  </si>
  <si>
    <t>LYCEE GENERAL ET TECHNOLOGIQUE PRIVE L ASSOMPTION STE CLOTILDE</t>
  </si>
  <si>
    <t>0331502D</t>
  </si>
  <si>
    <t>LYCEE GENERAL ET TECHNOLOGIQUE PRIVE SAINT JOSEPH DE TIVOLI</t>
  </si>
  <si>
    <t>0331548D</t>
  </si>
  <si>
    <t>0331668J</t>
  </si>
  <si>
    <t>LYCEE PROFESSIONNEL MARCEL DASSAULT</t>
  </si>
  <si>
    <t>MERIGNAC</t>
  </si>
  <si>
    <t>0332192D</t>
  </si>
  <si>
    <t>LYCEE POLYVALENT HOTELIER TOURISME GASCOGNE LYCEE DES METIERS DE L HOTELLERIE ET DU TOURISME</t>
  </si>
  <si>
    <t>0332345V</t>
  </si>
  <si>
    <t>LYCEE PROFESSIONNEL PHILADELPHE DE GERDE</t>
  </si>
  <si>
    <t>0332495H</t>
  </si>
  <si>
    <t>LYCEE PROFESSIONNEL PRIVE BEL ORME LYCEE DES METIERS</t>
  </si>
  <si>
    <t>0340005W</t>
  </si>
  <si>
    <t>LYCEE GENERAL FERDINAND FABRE</t>
  </si>
  <si>
    <t>BEDARIEUX</t>
  </si>
  <si>
    <t>0340006X</t>
  </si>
  <si>
    <t>LYCEE PROFESSIONNEL FERNAND LEGER LYCEE DES METIERS DU BTP ET DES ARTS</t>
  </si>
  <si>
    <t>0340011C</t>
  </si>
  <si>
    <t>0340012D</t>
  </si>
  <si>
    <t>LYCEE PROFESSIONNEL JEAN MERMOZ LYCEE DES METIERS DE LA MAINTENANCE DE LA MENUISERIE ET DE LA RELATION CLIENT</t>
  </si>
  <si>
    <t>0340030Y</t>
  </si>
  <si>
    <t>LYCEE POLYVALENT LOUIS FEUILLADE</t>
  </si>
  <si>
    <t>LUNEL</t>
  </si>
  <si>
    <t>0340040J</t>
  </si>
  <si>
    <t>LYCEE POLYVALENT JULES GUESDE</t>
  </si>
  <si>
    <t>0340043M</t>
  </si>
  <si>
    <t>LYCEE PROFESSIONNEL PIERRE MENDES FRANCE LYCEE DES METIERS DES POLYTECHNIQUES</t>
  </si>
  <si>
    <t>0340061G</t>
  </si>
  <si>
    <t>LYCEE PROFESSIONNEL CHARLES ALLIES LYCEE DES METIERS DU COMMERCE ET DE LA MAINTENANCE DES MATERIELS</t>
  </si>
  <si>
    <t>PEZENAS</t>
  </si>
  <si>
    <t>0340088L</t>
  </si>
  <si>
    <t>LYCEE PROFESSIONNEL IRENE ET FREDERIC JOLIOT CURIE</t>
  </si>
  <si>
    <t>0340923U</t>
  </si>
  <si>
    <t>LYCEE PROFESSIONNEL PRIVE LE PARTERRE</t>
  </si>
  <si>
    <t>0340991T</t>
  </si>
  <si>
    <t>LYCEE POLYVALENT PRIVE NEVERS</t>
  </si>
  <si>
    <t>0341765J</t>
  </si>
  <si>
    <t>LYCEE GENERAL ET TECHNOLOGIQUE PRIVE RABELAIS</t>
  </si>
  <si>
    <t>0342066L</t>
  </si>
  <si>
    <t>LYCEE POLYVALENT JEAN JAURES LYCEE DES METIERS DE LA SANTE ET DU SOCIAL</t>
  </si>
  <si>
    <t>SAINT CLEMENT DE RIVIERE</t>
  </si>
  <si>
    <t>0342436N</t>
  </si>
  <si>
    <t>LYCEE POLYVALENT SIMONE VEIL</t>
  </si>
  <si>
    <t>GIGNAC</t>
  </si>
  <si>
    <t>0350009V</t>
  </si>
  <si>
    <t>LYCEE PROFESSIONNEL ALPHONSE PELLE</t>
  </si>
  <si>
    <t>DOL DE BRETAGNE</t>
  </si>
  <si>
    <t>0350026N</t>
  </si>
  <si>
    <t>LYCEE GENERAL ET TECHNOLOGIQUE JEAN MACE</t>
  </si>
  <si>
    <t>0350030T</t>
  </si>
  <si>
    <t>LYCEE POLYVALENT PIERRE MENDES FRANCE LYCEE DES METIERS DU BATIMENT ET DE L ENERGETIQUE</t>
  </si>
  <si>
    <t>0350031U</t>
  </si>
  <si>
    <t>LYCEE PROFESSIONNEL JEAN JAURES LYCEE DES METIERS</t>
  </si>
  <si>
    <t>0350032V</t>
  </si>
  <si>
    <t>LYCEE PROFESSIONNEL LOUIS GUILLOUX LYCEE DES METIERS DE L HOTELLERIE RESTAURATION LYCEE DES METIERS DE LA MODE</t>
  </si>
  <si>
    <t>0350048M</t>
  </si>
  <si>
    <t>LYCEE POLYVALENT JACQUES CARTIER</t>
  </si>
  <si>
    <t>0350053T</t>
  </si>
  <si>
    <t>LYCEE GENERAL ET TECHNOLOGIQUE BERTRAND D ARGENTRE</t>
  </si>
  <si>
    <t>VITRE</t>
  </si>
  <si>
    <t>0350102W</t>
  </si>
  <si>
    <t>LYCEE PROFESSIONNEL BEAUMONT LYCEE DES METIERS DES SERVICES LYCEE DES METIERS DE L INDUSTRIE ET DE L HABITAT</t>
  </si>
  <si>
    <t>0350761M</t>
  </si>
  <si>
    <t>0350777E</t>
  </si>
  <si>
    <t>LYCEE GENERAL ET TECHNOLOGIQUE PRIVE SAINT MARTIN</t>
  </si>
  <si>
    <t>0350778F</t>
  </si>
  <si>
    <t>LYCEE GENERAL PRIVE ASSOMPTION</t>
  </si>
  <si>
    <t>0350787R</t>
  </si>
  <si>
    <t>LYCEE GENERAL ET TECHNOLOGIQUE PRIVE LES RIMAINS</t>
  </si>
  <si>
    <t>0350791V</t>
  </si>
  <si>
    <t>LYCEE POLYVALENT PRIVE MARCEL CALLO LYCEE DES METIERS DE L INDUSTRIE DE L AUTOMOBILE ET DE L AERONAUTIQUE</t>
  </si>
  <si>
    <t>0350801F</t>
  </si>
  <si>
    <t>SAINT GREGOIRE</t>
  </si>
  <si>
    <t>0350807M</t>
  </si>
  <si>
    <t>LYCEE PROFESSIONNEL PRIVE NOTRE DAME LYCEE DES METIERS DE LA RESTAURATION ET DU SERVICE</t>
  </si>
  <si>
    <t>SAINT MEEN LE GRAND</t>
  </si>
  <si>
    <t>0351054F</t>
  </si>
  <si>
    <t>LYCEE PROFESSIONNEL CHARLES TILLON</t>
  </si>
  <si>
    <t>0351930H</t>
  </si>
  <si>
    <t>LYCEE POLYVALENT PRIVE LA PROVIDENCE</t>
  </si>
  <si>
    <t>MONTAUBAN DE BRETAGNE</t>
  </si>
  <si>
    <t>0352009U</t>
  </si>
  <si>
    <t>LYCEE GENERAL ET TECHNOLOGIQUE VICTOR ET HELENE BASCH</t>
  </si>
  <si>
    <t>0352072M</t>
  </si>
  <si>
    <t>LYCEE POLYVALENT PRIVE INSTITUTION SAINT MALO LA PROVIDENCE</t>
  </si>
  <si>
    <t>0352235P</t>
  </si>
  <si>
    <t>LYCEE GENERAL ET TECHNOLOGIQUE RENE CASSIN</t>
  </si>
  <si>
    <t>MONTFORT SUR MEU</t>
  </si>
  <si>
    <t>0352318E</t>
  </si>
  <si>
    <t>LYCEE GENERAL ET TECHNOLOGIQUE JEAN BRITO</t>
  </si>
  <si>
    <t>BAIN DE BRETAGNE</t>
  </si>
  <si>
    <t>0352471W</t>
  </si>
  <si>
    <t>LYCEE GENERAL PRIVE SAINT MAGLOIRE</t>
  </si>
  <si>
    <t>0370016S</t>
  </si>
  <si>
    <t>LYCEE POLYVALENT THERESE PLANIOL LYCEE DES METIERS DU SERVICE ET DE LA PRODUCTION</t>
  </si>
  <si>
    <t>LOCHES</t>
  </si>
  <si>
    <t>0370040T</t>
  </si>
  <si>
    <t>L P ALBERT BAYET LYCEE DES METIERS DE L HOTELLERIE RESTAURATION DE L AUTOMOBILE ET DE LA LOGISTIQUE ET DES INDUSTRIES GRAPHIQUES ET PLURIMEDIA</t>
  </si>
  <si>
    <t>0370731U</t>
  </si>
  <si>
    <t>LYCEE GENERAL ET TECHNOLOGIQUE PRIVE SAINTE URSULE</t>
  </si>
  <si>
    <t>0371417P</t>
  </si>
  <si>
    <t>LYCEE GENERAL ET TECHNOLOGIQUE JEAN MONNET</t>
  </si>
  <si>
    <t>0380018N</t>
  </si>
  <si>
    <t>LYCEE TECHNOLOGIQUE PRIVE ISER LYCEE DES METIERS DU COMMERCE DU SOCIAL ET DES SERVICES A LA PERSONNE</t>
  </si>
  <si>
    <t>0380049X</t>
  </si>
  <si>
    <t>LYCEE POLYVALENT DE LA MATHEYSINE</t>
  </si>
  <si>
    <t>LA MURE</t>
  </si>
  <si>
    <t>0380073Y</t>
  </si>
  <si>
    <t>LYCEE POLYVALENT ELIE CARTAN LYCEE DES METIERS DES EQUIPEMENTS INDUSTRIELS ET DU TEXTILE</t>
  </si>
  <si>
    <t>LA TOUR DU PIN</t>
  </si>
  <si>
    <t>0381630R</t>
  </si>
  <si>
    <t>UNITE SOINS ETUDES DE L ACADEMIE DE GRENOBLE ANNEXE DU LYCEE CHAMPOLLION</t>
  </si>
  <si>
    <t>0381805F</t>
  </si>
  <si>
    <t>LYCEE PROFESSIONNEL PRIVE LES PORTES DE CHARTREUSE</t>
  </si>
  <si>
    <t>VOREPPE</t>
  </si>
  <si>
    <t>0382099A</t>
  </si>
  <si>
    <t>LYCEE POLYVALENT ROGER DESCHAUX LYCEE DES METIERS DE LA CONSTRUCTION DU BTP ET DE L ENERGETIQUE</t>
  </si>
  <si>
    <t>SASSENAGE</t>
  </si>
  <si>
    <t>0382863F</t>
  </si>
  <si>
    <t>LYCEE POLYVALENT DU GRESIVAUDAN</t>
  </si>
  <si>
    <t>MEYLAN</t>
  </si>
  <si>
    <t>0390042J</t>
  </si>
  <si>
    <t>LYCEE VICTOR CONSIDERANT</t>
  </si>
  <si>
    <t>SALINS LES BAINS</t>
  </si>
  <si>
    <t>0390070P</t>
  </si>
  <si>
    <t>0400002K</t>
  </si>
  <si>
    <t>LYCEE POLYVALENT GASTON CRAMPE</t>
  </si>
  <si>
    <t>AIRE SUR L ADOUR</t>
  </si>
  <si>
    <t>0400004M</t>
  </si>
  <si>
    <t>LYCEE PROFESSIONNEL LOUIS DARMANTE LYCEE DES METIERS DE L HOTELLERIE ET DU COMMERCE</t>
  </si>
  <si>
    <t>CAPBRETON</t>
  </si>
  <si>
    <t>0400019D</t>
  </si>
  <si>
    <t>LYCEE PROFESSIONNEL FREDERIC ESTEVE LYCEE DES METIERS DE L AUTOMOBILE ET DU TRANSPORT</t>
  </si>
  <si>
    <t>MONT DE MARSAN</t>
  </si>
  <si>
    <t>0400020E</t>
  </si>
  <si>
    <t>LYCEE PROFESSIONNEL ROBERT WLERICK LYCEE DES METIERS TERTIAIRES ET SERVICES</t>
  </si>
  <si>
    <t>0400047J</t>
  </si>
  <si>
    <t>LYCEE PROFESSIONNEL JEAN D ARCET</t>
  </si>
  <si>
    <t>0400057V</t>
  </si>
  <si>
    <t>LYCEE PROFESSIONNEL DES GRANDS LACS LYCEE DES METIERS DES GRANDS LACS</t>
  </si>
  <si>
    <t>0400080V</t>
  </si>
  <si>
    <t>LYCEE D ENSEIGNEMENT PROFESSIONNEL JEAN CASSAIGNE</t>
  </si>
  <si>
    <t>0400933X</t>
  </si>
  <si>
    <t>LYCEE GENERAL SUD DES LANDES</t>
  </si>
  <si>
    <t>SAINT VINCENT DE TYROSSE</t>
  </si>
  <si>
    <t>0401016M</t>
  </si>
  <si>
    <t>LYCEE PRIVE ST JACQUES DE COMPOSTELLE</t>
  </si>
  <si>
    <t>0410959V</t>
  </si>
  <si>
    <t>0420027B</t>
  </si>
  <si>
    <t>LYCEE GENERAL ET TECHNOLOGIQUE GEORGES BRASSENS</t>
  </si>
  <si>
    <t>0420033H</t>
  </si>
  <si>
    <t>LYCEE GENERAL ET TECHNOLOGIQUE ALBERT THOMAS</t>
  </si>
  <si>
    <t>0420044V</t>
  </si>
  <si>
    <t>SAINT PRIEST EN JAREZ</t>
  </si>
  <si>
    <t>0420078G</t>
  </si>
  <si>
    <t>LYCEE PROFESSIONNEL CLAUDE LEBOIS LYCEE DES METIERS DU TRANSPORT ET DE LA LOGISTIQUE</t>
  </si>
  <si>
    <t>SAINT CHAMOND</t>
  </si>
  <si>
    <t>0420958N</t>
  </si>
  <si>
    <t>LYCEE PROFESSIONNEL BENOIT FOURNEYRON LYCEE DES METIERS DE L HABITAT ET DES ENERGIES LYCEE DES METIERS DE L ARMURERIE</t>
  </si>
  <si>
    <t>0420991Z</t>
  </si>
  <si>
    <t>LYCEE PROFESSIONNEL PRIVE LE MARAIS STE THERESE LYCEE DES METIERS DES TECHNOLOGIES DE LA PRECISION</t>
  </si>
  <si>
    <t>0420996E</t>
  </si>
  <si>
    <t>LYCEE PROFESSIONNEL PRIVE LA GRAND GRANGE</t>
  </si>
  <si>
    <t>0421022H</t>
  </si>
  <si>
    <t>LYCEE GENERAL PRIVE SAINTE MARIE LA GRAND GRANGE</t>
  </si>
  <si>
    <t>0421035X</t>
  </si>
  <si>
    <t>0421606T</t>
  </si>
  <si>
    <t>LYCEE PROFESSIONNEL ADRIEN TESTUD LYCEE DES METIERS DE LA MODE</t>
  </si>
  <si>
    <t>LE CHAMBON FEUGEROLLES</t>
  </si>
  <si>
    <t>0421691K</t>
  </si>
  <si>
    <t>LYCEE PROFESSIONNEL PIERRE DESGRANGES LYCEE DES METIERS ENERGIE ET EQUIPEMENTS COMMUNICANTS LYCEE DES METIERS OUVRAGES METALLIQUES DU BATIMENT</t>
  </si>
  <si>
    <t>ANDREZIEUX BOUTHEON</t>
  </si>
  <si>
    <t>0421736J</t>
  </si>
  <si>
    <t>LYCEE PROFESSIONNEL HOTELIER LYCEE DES METIERS DE LA RESTAURATION ET DES METIERS DE BOUCHE</t>
  </si>
  <si>
    <t>0421742R</t>
  </si>
  <si>
    <t>LYCEE PROFESSIONNEL PRIVE TEZENAS DU MONTCEL LYCEE DES METIERS DE LA GESTION ET DU COMMERCE</t>
  </si>
  <si>
    <t>0422052C</t>
  </si>
  <si>
    <t>ECOLE PROFESSIONNELLE PRIVEE DE L ASSOCIATION FOREZIENNE D ECOLES DE PRODUCTION</t>
  </si>
  <si>
    <t>0430024T</t>
  </si>
  <si>
    <t>LYCEE PROFESSIONNEL JEAN MONNET LYCEE DES METIERS</t>
  </si>
  <si>
    <t>0430098Y</t>
  </si>
  <si>
    <t>LYCEE POLYVALENT PRIVE ANNE MARIE MARTEL LYCEE DES METIERS DES SERVICES A LA PERSONNE DE LA SANTE DU SOCIAL ET DU TERTIAIRE</t>
  </si>
  <si>
    <t>0430953C</t>
  </si>
  <si>
    <t>LYCEE POLYVALENT EMMANUEL CHABRIER</t>
  </si>
  <si>
    <t>YSSINGEAUX</t>
  </si>
  <si>
    <t>0440034Y</t>
  </si>
  <si>
    <t>LYCEE PROFESSIONNEL MICHELET LYCEE DU BATIMENT ET DES TRAVAUX PUBLICS</t>
  </si>
  <si>
    <t>0440063E</t>
  </si>
  <si>
    <t>LYCEE PROFESSIONNEL LOUIS JACQUES GOUSSIER LYCEE DES METIERS DES SOINS ET SERVICES A LA PERSONNE</t>
  </si>
  <si>
    <t>0440074S</t>
  </si>
  <si>
    <t>LYCEE PROFESSIONNEL BROSSAUD BLANCHO LYCEE DES METIERS</t>
  </si>
  <si>
    <t>0440154D</t>
  </si>
  <si>
    <t>0440255N</t>
  </si>
  <si>
    <t>LYCEE PROFESSIONNEL PRIVE ENCIA LYCEE DES METIERS DU COMMERCE ET DE LA VENTE</t>
  </si>
  <si>
    <t>0441550W</t>
  </si>
  <si>
    <t>LYCEE PROFESSIONNEL OLIVIER GUICHARD</t>
  </si>
  <si>
    <t>0442071M</t>
  </si>
  <si>
    <t>LYCEE PROFESSIONNEL PRIVE DANIEL BROTTIER</t>
  </si>
  <si>
    <t>0442094M</t>
  </si>
  <si>
    <t>LYCEE POLYVALENT NICOLAS APPERT LYCEE DES METIERS DE L HOTELLERIE RESTAURATION LYCEE DES METIERS DE L INGENIERIE INDUSTRIELLE</t>
  </si>
  <si>
    <t>ORVAULT</t>
  </si>
  <si>
    <t>0442227G</t>
  </si>
  <si>
    <t>LYCEE POLYVALENT PRIVE INSTITUT DE FORMATION AUX METIERS PARAMEDICAUX LYCEE DES METIERS DU BIEN ETRE : ESTHETIQUE COSMETIQUE PARFUMERIE ET DIETETIQUE</t>
  </si>
  <si>
    <t>0442725Y</t>
  </si>
  <si>
    <t>LYCEE POLYVALENT PRIVE TALENSAC JEANNE BERNARD</t>
  </si>
  <si>
    <t>0442752C</t>
  </si>
  <si>
    <t>LYCEE POLYVALENT AIME CESAIRE</t>
  </si>
  <si>
    <t>CLISSON</t>
  </si>
  <si>
    <t>0442775C</t>
  </si>
  <si>
    <t>LYCEE PROFESSIONNEL PRIVE ST FELIX LA SALLE</t>
  </si>
  <si>
    <t>0442778F</t>
  </si>
  <si>
    <t>LYCEE GENERAL PRIVE SAINT MARTIN</t>
  </si>
  <si>
    <t>0442834S</t>
  </si>
  <si>
    <t>LYCEE GENERAL ET TECHNOLOGIQUE HONORE D ESTIENNE D ORVES</t>
  </si>
  <si>
    <t>CARQUEFOU</t>
  </si>
  <si>
    <t>0450042B</t>
  </si>
  <si>
    <t>LYCEE GENERAL ET TECHNOLOGIQUE DURZY</t>
  </si>
  <si>
    <t>VILLEMANDEUR</t>
  </si>
  <si>
    <t>0450049J</t>
  </si>
  <si>
    <t>LYCEE GENERAL ET TECHNOLOGIQUE POTHIER</t>
  </si>
  <si>
    <t>0450759F</t>
  </si>
  <si>
    <t>LYCEE PROFESSIONNEL PRIVE L ABBAYE</t>
  </si>
  <si>
    <t>BEAUGENCY</t>
  </si>
  <si>
    <t>0450782F</t>
  </si>
  <si>
    <t>LYCEE GENERAL ET TECHNOLOGIQUE VOLTAIRE</t>
  </si>
  <si>
    <t>0450786K</t>
  </si>
  <si>
    <t>LYCEE PROFESSIONNEL PAUL GAUGUIN LYCEE DES METIERS DES SERVICES</t>
  </si>
  <si>
    <t>0451483T</t>
  </si>
  <si>
    <t>INGRE</t>
  </si>
  <si>
    <t>0470018P</t>
  </si>
  <si>
    <t>LYCEE GENERAL ET TECHNOLOGIQUE MARGUERITE FILHOL</t>
  </si>
  <si>
    <t>0470020S</t>
  </si>
  <si>
    <t>LYCEE POLYVALENT VAL DE GARONNE LYCEE DES METIERS DES TECHNIQUES INNOVANTES</t>
  </si>
  <si>
    <t>MARMANDE</t>
  </si>
  <si>
    <t>0470038L</t>
  </si>
  <si>
    <t>LYCEE POLYVALENT GEORGES LEYGUES LOUIS COUFFIGNAL</t>
  </si>
  <si>
    <t>VILLENEUVE SUR LOT</t>
  </si>
  <si>
    <t>0470060K</t>
  </si>
  <si>
    <t>LYCEE GENERAL ET TECHNOLOGIQUE PRIVE SAINT CAPRAIS</t>
  </si>
  <si>
    <t>0470063N</t>
  </si>
  <si>
    <t>LYCEE GENERAL ET TECHNOLOGIQUE PRIVE NOTRE DAME LA COMPASSION</t>
  </si>
  <si>
    <t>0470065R</t>
  </si>
  <si>
    <t>LYCEE GENERAL ET TECHNOLOGIQUE PRIVE SAINTE CATHERINE</t>
  </si>
  <si>
    <t>0470730N</t>
  </si>
  <si>
    <t>LYCEE PROFESSIONNEL PRIVE NOTRE DAME LA COMPASSION</t>
  </si>
  <si>
    <t>0480022N</t>
  </si>
  <si>
    <t>LYCEE POLYVALENT PRIVE SAINT PIERRE SAINT PAUL</t>
  </si>
  <si>
    <t>LANGOGNE</t>
  </si>
  <si>
    <t>0480025S</t>
  </si>
  <si>
    <t>0490001K</t>
  </si>
  <si>
    <t>LYCEE GENERAL DAVID D ANGERS</t>
  </si>
  <si>
    <t>0490002L</t>
  </si>
  <si>
    <t>LYCEE GENERAL ET TECHNOLOGIQUE JOACHIM DU BELLAY</t>
  </si>
  <si>
    <t>0490018D</t>
  </si>
  <si>
    <t>LYCEE POLYVALENT EUROPE ROBERT SCHUMAN LYCEE DES METIERS DE LA GESTION D ENTREPRISE ET DU COMMERCE A L INTERNATIONAL</t>
  </si>
  <si>
    <t>0490828J</t>
  </si>
  <si>
    <t>LYCEE GENERAL ET TECHNOLOGIQUE PRIVE DOM SORTAIS</t>
  </si>
  <si>
    <t>BEAUPREAU EN MAUGES</t>
  </si>
  <si>
    <t>0490840X</t>
  </si>
  <si>
    <t>LYCEE POLYVALENT PRIVE BOURG CHEVREAU</t>
  </si>
  <si>
    <t>SEGRE EN ANJOU BLEU</t>
  </si>
  <si>
    <t>0490903R</t>
  </si>
  <si>
    <t>LYCEE PROFESSIONNEL PRIVE DOM SORTAIS LYCEE DES METIERS DE LA MAINTENANCE DE L ENERGIE DE LA CONSTRUCTION</t>
  </si>
  <si>
    <t>0492089E</t>
  </si>
  <si>
    <t>0492123S</t>
  </si>
  <si>
    <t>LYCEE POLYVALENT JEAN MOULIN LYCEE DES METIERS DE L ENERGIE DE LA CONSTRUCTION ET DU LABORATOIRE</t>
  </si>
  <si>
    <t>0492407A</t>
  </si>
  <si>
    <t>LYCEE GENERAL ET TECHNOLOGIQUE PRIVE URBAIN MONGAZON LYCEE DES METIERS DE LA SANTE ET DES SERVICES A LA PERSONNE</t>
  </si>
  <si>
    <t>0492432C</t>
  </si>
  <si>
    <t>LYCEE PROFESSIONNEL PRIVE JOSEPH WRESINSKI</t>
  </si>
  <si>
    <t>0500036T</t>
  </si>
  <si>
    <t>LYCEE POLYVALENT JULLIOT DE LA MORANDIERE LYCEE DES METIERS DU NAUTISME</t>
  </si>
  <si>
    <t>0500112A</t>
  </si>
  <si>
    <t>LYCEE GENERAL PRIVE INSTITUT NOTRE DAME</t>
  </si>
  <si>
    <t>0500120J</t>
  </si>
  <si>
    <t>LYCEE GENERAL ET TECHNOLOGIQUE INSTITUT SAINT LO</t>
  </si>
  <si>
    <t>AGNEAUX</t>
  </si>
  <si>
    <t>0501788X</t>
  </si>
  <si>
    <t>LYCEE PROFESSIONNEL PRIVE LA BUCAILLE</t>
  </si>
  <si>
    <t>0501941N</t>
  </si>
  <si>
    <t>LYCEE PROFESSIONNEL PRIVE INSTITUTION NOTRE DAME</t>
  </si>
  <si>
    <t>0510036M</t>
  </si>
  <si>
    <t>LYCEE PROFESSIONNEL GUSTAVE EIFFEL LYCEE DES METIERS DE L AUTOMOBILE DE L HOTELLERIE RESTAURATION ET DE L ALIMENTATION</t>
  </si>
  <si>
    <t>0511135G</t>
  </si>
  <si>
    <t>LYCEE GENERAL PRIVE NOTRE DAME SAINT VICTOR</t>
  </si>
  <si>
    <t>0520028Y</t>
  </si>
  <si>
    <t>SAINT DIZIER</t>
  </si>
  <si>
    <t>0520029Z</t>
  </si>
  <si>
    <t>LYCEE PROFESSIONNEL BLAISE PASCAL</t>
  </si>
  <si>
    <t>0520679F</t>
  </si>
  <si>
    <t>LYCEE GENERAL ET TECHNOLOGIQUE PRIVE ESTIC</t>
  </si>
  <si>
    <t>0520795G</t>
  </si>
  <si>
    <t>LYCEE PROFESSIONNEL EDME BOUCHARDON</t>
  </si>
  <si>
    <t>CHAUMONT</t>
  </si>
  <si>
    <t>0530012A</t>
  </si>
  <si>
    <t>LYCEE GENERAL ET TECHNOLOGIQUE REAUMUR LYCEE DES METIERS</t>
  </si>
  <si>
    <t>0530040F</t>
  </si>
  <si>
    <t>CHATEAU GONTIER SUR MAYENNE</t>
  </si>
  <si>
    <t>0530048P</t>
  </si>
  <si>
    <t>LYCEE GENERAL ET TECHNOLOGIQUE PRIVE IMMACULEE CONCEPTION</t>
  </si>
  <si>
    <t>0530052U</t>
  </si>
  <si>
    <t>LYCEE GENERAL PRIVE DON BOSCO</t>
  </si>
  <si>
    <t>0530079Y</t>
  </si>
  <si>
    <t>0540039Z</t>
  </si>
  <si>
    <t>LYCEE INTERNATIONAL JEANNE D ARC</t>
  </si>
  <si>
    <t>0540058V</t>
  </si>
  <si>
    <t>LYCEE GENERAL ET TECHNOLOGIQUE JACQUES MARQUETTE</t>
  </si>
  <si>
    <t>0540081V</t>
  </si>
  <si>
    <t>LYCEE PROFESSIONNEL JEAN PROUVE LYCEE DES METIERS DE LA GESTION ET DES PROCESS</t>
  </si>
  <si>
    <t>0541320S</t>
  </si>
  <si>
    <t>LYCEE GENERAL ET TECHNOLOGIQUE PRIVE JEAN BAPTISTE VATELOT</t>
  </si>
  <si>
    <t>0541344T</t>
  </si>
  <si>
    <t>LYCEE PROFESSIONNEL PRIVE SAINT MICHEL LYCEE DES METIERS DU TRANSPORT DE L AUTOMOBILE ET DE LA DOMOTIQUE</t>
  </si>
  <si>
    <t>ART SUR MEURTHE</t>
  </si>
  <si>
    <t>0541357G</t>
  </si>
  <si>
    <t>MONT SAINT MARTIN</t>
  </si>
  <si>
    <t>0541363N</t>
  </si>
  <si>
    <t>LYCEE PROFESSIONNEL PRIVE PIERRE DE COUBERTIN</t>
  </si>
  <si>
    <t>0541364P</t>
  </si>
  <si>
    <t>LYCEE PROFESSIONNEL PRIVE MARIE IMMACULEE</t>
  </si>
  <si>
    <t>0541377D</t>
  </si>
  <si>
    <t>LYCEE PROFESSIONNEL PRIVE JEAN BAPTISTE VATELOT</t>
  </si>
  <si>
    <t>0541998D</t>
  </si>
  <si>
    <t>0550983V</t>
  </si>
  <si>
    <t>LYCEE PROFESSIONNEL PRIVE SAINTE ANNE</t>
  </si>
  <si>
    <t>0560070X</t>
  </si>
  <si>
    <t>LYCEE PROFESSIONNEL EMILE ZOLA LYCEE DES METIERS DE LA COMMUNICATION VISUELLE</t>
  </si>
  <si>
    <t>0560096A</t>
  </si>
  <si>
    <t>LYCEE GENERAL ET TECHNOLOGIQUE PRIVE SAINTE JEANNE D ARC</t>
  </si>
  <si>
    <t>GOURIN</t>
  </si>
  <si>
    <t>0561607T</t>
  </si>
  <si>
    <t>0561981Z</t>
  </si>
  <si>
    <t>LYCEE GENERAL DIWAN</t>
  </si>
  <si>
    <t>0570021N</t>
  </si>
  <si>
    <t>LYCEE POLYVALENT CHARLES HERMITE</t>
  </si>
  <si>
    <t>DIEUZE</t>
  </si>
  <si>
    <t>0570061G</t>
  </si>
  <si>
    <t>LYCEE PROFESSIONNEL ALAIN FOURNIER LYCEE DES METIERS DU SANITAIRE ET DU SOCIAL</t>
  </si>
  <si>
    <t>0570095U</t>
  </si>
  <si>
    <t>LYCEE PROFESSIONNEL DOMINIQUE LABROISE</t>
  </si>
  <si>
    <t>0570144X</t>
  </si>
  <si>
    <t>LYCEE PROFESSIONNEL METIERS DU BATIMENT ET TRAVAUX PUBLICS</t>
  </si>
  <si>
    <t>0570146Z</t>
  </si>
  <si>
    <t>LYCEE GENERAL ET TECHNOLOGIQUE JULIE DAUBIE</t>
  </si>
  <si>
    <t>ROMBAS</t>
  </si>
  <si>
    <t>0570225K</t>
  </si>
  <si>
    <t>LYCEE PROFESSIONNEL PRIVE INTERENTREPRISES</t>
  </si>
  <si>
    <t>BOULAY MOSELLE</t>
  </si>
  <si>
    <t>0570311D</t>
  </si>
  <si>
    <t>LYCEE GENERAL ET TECHNOLOGIQUE PRIVE DE LA SALLE</t>
  </si>
  <si>
    <t>0573211F</t>
  </si>
  <si>
    <t>LYCEE ANDRE CITROEN LYCEE DES METIERS DE L AUTOMOBILE</t>
  </si>
  <si>
    <t>MARLY</t>
  </si>
  <si>
    <t>0580014A</t>
  </si>
  <si>
    <t>LYCEE POLYVALENT PIERRE GILLES DE GENNES LYCEE DES METIERS</t>
  </si>
  <si>
    <t>0580075S</t>
  </si>
  <si>
    <t>LYCEE PROFESSIONNEL PRIVE THERESE DESREUMAUX</t>
  </si>
  <si>
    <t>SAINT LEGER DES VIGNES</t>
  </si>
  <si>
    <t>0590011S</t>
  </si>
  <si>
    <t>LYCEE POLYVALENT GUSTAVE EIFFEL LYCEE DES METIERS</t>
  </si>
  <si>
    <t>0590015W</t>
  </si>
  <si>
    <t>0590034S</t>
  </si>
  <si>
    <t>LYCEE GENERAL ET TECHNOLOGIQUE PAUL DUEZ</t>
  </si>
  <si>
    <t>0590064Z</t>
  </si>
  <si>
    <t>0590065A</t>
  </si>
  <si>
    <t>LYCEE GENERAL ET TECHNOLOGIQUE EDMOND LABBE</t>
  </si>
  <si>
    <t>0590093F</t>
  </si>
  <si>
    <t>LYCEE POLYVALENT BEAUPRE LYCEE DES METIERS DE LA PLASTURGIE</t>
  </si>
  <si>
    <t>HAUBOURDIN</t>
  </si>
  <si>
    <t>0590102R</t>
  </si>
  <si>
    <t>LYCEE PROFESSIONNEL DES MONTS DE FLANDRE</t>
  </si>
  <si>
    <t>0590111A</t>
  </si>
  <si>
    <t>LYCEE PROFESSIONNEL SONIA DELAUNAY</t>
  </si>
  <si>
    <t>0590122M</t>
  </si>
  <si>
    <t>LYCEE POLYVALENT VALENTINE LABBE</t>
  </si>
  <si>
    <t>LA MADELEINE</t>
  </si>
  <si>
    <t>0590182C</t>
  </si>
  <si>
    <t>LYCEE GENERAL BAUDELAIRE</t>
  </si>
  <si>
    <t>0590185F</t>
  </si>
  <si>
    <t>LPO JEAN MOULIN LYCEE DES METIERS DE LA SECURITE ET DE LA PREVENTION LYCEE DES METIERS DES SERVICES ADMINISTRATIFS ET DE LA RELATION AUX CLIENTS</t>
  </si>
  <si>
    <t>0590187H</t>
  </si>
  <si>
    <t>LYCEE PROFESSIONNEL LOUIS LOUCHEUR</t>
  </si>
  <si>
    <t>0590214M</t>
  </si>
  <si>
    <t>LYCEE POLYVALENT COLBERT LYCEE DES METIERS DU NUMERIQUE ET DES TECHNOLOGIES INNOVANTES</t>
  </si>
  <si>
    <t>0590217R</t>
  </si>
  <si>
    <t>LYCEE PROFESSIONNEL SEVIGNE LYCEE DES METIERS</t>
  </si>
  <si>
    <t>0590252D</t>
  </si>
  <si>
    <t>LYCEE PROFESSIONNEL LOUIS LEOPOLD BOILLY</t>
  </si>
  <si>
    <t>LA BASSEE</t>
  </si>
  <si>
    <t>0590255G</t>
  </si>
  <si>
    <t>LYCEE PROFESSIONNEL GUY DEBEYRE</t>
  </si>
  <si>
    <t>0592833J</t>
  </si>
  <si>
    <t>LYCEE PROFESSIONNEL LES HAUTS DE FLANDRE</t>
  </si>
  <si>
    <t>SECLIN</t>
  </si>
  <si>
    <t>0592850C</t>
  </si>
  <si>
    <t>LYCEE PROFESSIONNEL ANTOINE DE SAINT EXUPERY</t>
  </si>
  <si>
    <t>HALLUIN</t>
  </si>
  <si>
    <t>0592967E</t>
  </si>
  <si>
    <t>LYCEE POLYVALENT PRIVE LA SAGESSE</t>
  </si>
  <si>
    <t>0592969G</t>
  </si>
  <si>
    <t>LYCEE POLYVALENT PRIVE DAMPIERRE</t>
  </si>
  <si>
    <t>0592980U</t>
  </si>
  <si>
    <t>LYCEE POLYVALENT PRIVE EIC MARIE NOËL</t>
  </si>
  <si>
    <t>0593060F</t>
  </si>
  <si>
    <t>LYCEE POLYVALENT PRIVE INSTITUT NICOLAS BARRE LYCEE DES METIERS DE LA SECURITE PREVENTION DE L AUTOMOBILE ET DE LA MAINTENANCE DES MATERIELS</t>
  </si>
  <si>
    <t>0593078A</t>
  </si>
  <si>
    <t>LYCEE POLYVALENT PRIVE FONDATION DEPOORTER LYCEE DES METIERS DE LA SANTE ET DU SOCIAL</t>
  </si>
  <si>
    <t>0593102B</t>
  </si>
  <si>
    <t>LYCEE GENERAL PRIVE NOTRE DAME DES DUNES</t>
  </si>
  <si>
    <t>0593114P</t>
  </si>
  <si>
    <t>0593117T</t>
  </si>
  <si>
    <t>LYCEE POLYVALENT PRIVE LA SALLE</t>
  </si>
  <si>
    <t>0593139S</t>
  </si>
  <si>
    <t>0594375K</t>
  </si>
  <si>
    <t>LYCEE PROFESSIONNEL DINAH DERYCKE</t>
  </si>
  <si>
    <t>0595480L</t>
  </si>
  <si>
    <t>LYCEE PROFESSIONNEL ILE JEANTY</t>
  </si>
  <si>
    <t>0596681S</t>
  </si>
  <si>
    <t>LYCEE GENERAL ET TECHNOLOGIQUE PRIVE AVERROES</t>
  </si>
  <si>
    <t>0596854E</t>
  </si>
  <si>
    <t>LYCEE POLYVALENT DU PAYS DE CONDE</t>
  </si>
  <si>
    <t>CONDE SUR L ESCAUT</t>
  </si>
  <si>
    <t>0596892W</t>
  </si>
  <si>
    <t>LYCEE D EXCELLENCE EDGAR MORIN</t>
  </si>
  <si>
    <t>0596957S</t>
  </si>
  <si>
    <t>LYCEE PROFESSIONNEL AIME CESAIRE</t>
  </si>
  <si>
    <t>0600013N</t>
  </si>
  <si>
    <t>LYCEE GENERAL ET TECHNOLOGIQUE CASSINI</t>
  </si>
  <si>
    <t>CLERMONT</t>
  </si>
  <si>
    <t>0600017T</t>
  </si>
  <si>
    <t>LYCEE PROFESSIONNEL MIXTE M GRENET</t>
  </si>
  <si>
    <t>0600021X</t>
  </si>
  <si>
    <t>LYCEE GENERAL ET TECHNOLOGIQUE JULES UHRY</t>
  </si>
  <si>
    <t>0600040T</t>
  </si>
  <si>
    <t>LYCEE D ENSEIGNEMENT GENERAL ET TECHNOLOGIQUE JEAN CALVIN</t>
  </si>
  <si>
    <t>0601700X</t>
  </si>
  <si>
    <t>LYCEE GENERAL ET TECHNOLOGIQUE PRIVE SEVIGNE</t>
  </si>
  <si>
    <t>0601703A</t>
  </si>
  <si>
    <t>LYCEE GENERAL ET TECHNOLOGIQUE PRIVE LA MAISON FRANCAISE</t>
  </si>
  <si>
    <t>CUISE LA MOTTE</t>
  </si>
  <si>
    <t>0601787S</t>
  </si>
  <si>
    <t>LYCEE PROFESSIONNEL ROBERVAL LYCEE DES METIERS</t>
  </si>
  <si>
    <t>BREUIL LE VERT</t>
  </si>
  <si>
    <t>0601823F</t>
  </si>
  <si>
    <t>LYCEE GENERAL ET TECHNOLOGIQUE FRANCOIS TRUFFAUT LYCEE DES METIERS DU TERTIAIRE DE LA SANTE ET DU SOCIAL</t>
  </si>
  <si>
    <t>0601826J</t>
  </si>
  <si>
    <t>LYCEE GENERAL ET TECHNOLOGIQUE HUGUES CAPET</t>
  </si>
  <si>
    <t>0610721C</t>
  </si>
  <si>
    <t>0620006V</t>
  </si>
  <si>
    <t>LYCEE GENERAL ET TECHNOLOGIQUE ROBESPIERRE</t>
  </si>
  <si>
    <t>0620030W</t>
  </si>
  <si>
    <t>LYCEE PROFESSIONNEL PHILIPPE AUGUSTE</t>
  </si>
  <si>
    <t>BAPAUME</t>
  </si>
  <si>
    <t>0620052V</t>
  </si>
  <si>
    <t>LYCEE POLYVALENT EDOUARD BRANLY LYCEE DES METIERS DU BATIMENT ET DES ENERGIES RENOUVELABLES DE L INDUSTRIE DES TERRES D OPALE</t>
  </si>
  <si>
    <t>0620108F</t>
  </si>
  <si>
    <t>0620120U</t>
  </si>
  <si>
    <t>LYCEE GENERAL ET TECHNOLOGIQUE ANATOLE FRANCE</t>
  </si>
  <si>
    <t>LILLERS</t>
  </si>
  <si>
    <t>0623328F</t>
  </si>
  <si>
    <t>LYCEE PROFESSIONNEL HENRI SENEZ LYCEE DES METIERS</t>
  </si>
  <si>
    <t>0624109E</t>
  </si>
  <si>
    <t>LYCEE POLYVALENT GIRAUX SANNIER</t>
  </si>
  <si>
    <t>SAINT MARTIN BOULOGNE</t>
  </si>
  <si>
    <t>0624141P</t>
  </si>
  <si>
    <t>0630012W</t>
  </si>
  <si>
    <t>BRASSAC LES MINES</t>
  </si>
  <si>
    <t>0630019D</t>
  </si>
  <si>
    <t>0630023H</t>
  </si>
  <si>
    <t>LYCEE PROFESSIONNEL MARIE CURIE LYCEE DES METIERS DES SERVICES AUX PERSONNES ET AUX COLLECTIVITES</t>
  </si>
  <si>
    <t>0630034V</t>
  </si>
  <si>
    <t>LYCEE GENERAL ET TECHNOLOGIQUE MURAT</t>
  </si>
  <si>
    <t>ISSOIRE</t>
  </si>
  <si>
    <t>0630061Z</t>
  </si>
  <si>
    <t>LYCEE PROFESSIONNEL DESAIX</t>
  </si>
  <si>
    <t>SAINT ELOY LES MINES</t>
  </si>
  <si>
    <t>0630077S</t>
  </si>
  <si>
    <t>LYCEE GENERAL ET TECHNOLOGIQUE AMBROISE BRUGIERE</t>
  </si>
  <si>
    <t>0631068U</t>
  </si>
  <si>
    <t>LYCEE GENERAL ET TECHNOLOGIQUE PRIVE GODEFROY DE BOUILLON</t>
  </si>
  <si>
    <t>0631736V</t>
  </si>
  <si>
    <t>LYCEE PROFESSIONNEL PRIVE GODEFROY DE BOUILLON LYCEE DES METIERS DE L INDUSTRIE ET DES SERVICES AUX ENTREPRISES</t>
  </si>
  <si>
    <t>0640010N</t>
  </si>
  <si>
    <t>LYCEE GENERAL RENE CASSIN</t>
  </si>
  <si>
    <t>0640031L</t>
  </si>
  <si>
    <t>LYCEE PROFESSIONNEL EXPERIMENTAL ANDRE CAMPA</t>
  </si>
  <si>
    <t>JURANCON</t>
  </si>
  <si>
    <t>0640042Y</t>
  </si>
  <si>
    <t>LYCEE PROFESSIONNEL HAUTE VUE LYCEE DES METIERS DU GOUT ET DES SOINS ET DES SERVICES A LA PERSONNE</t>
  </si>
  <si>
    <t>MORLAAS</t>
  </si>
  <si>
    <t>0640080P</t>
  </si>
  <si>
    <t>LYCEE PROFESSIONNEL MOLIERE LYCEE DES METIERS D ORTHEZ AU SERVICE DES ENTREPRISES ET DES PERSONNES</t>
  </si>
  <si>
    <t>0640098J</t>
  </si>
  <si>
    <t>LYCEE PROFESSIONNEL GABRIEL HAURE PLACE LYCEE DES METIERS AMEUBLEMENT ET DECORATION</t>
  </si>
  <si>
    <t>COARRAZE</t>
  </si>
  <si>
    <t>0640126P</t>
  </si>
  <si>
    <t>0640130U</t>
  </si>
  <si>
    <t>LYCEE GENERAL ET TECHNOLOGIQUE PRIVE IMMACULEE CONCEPTION BEAU FRENE</t>
  </si>
  <si>
    <t>0640181Z</t>
  </si>
  <si>
    <t>LYCEE PROFESSIONNEL PRIVE SAINT JOSEPH LYCEE DES METIERS DES SCIENCES ET TECHNIQUES INDUSTRIELLES</t>
  </si>
  <si>
    <t>HASPARREN</t>
  </si>
  <si>
    <t>0641665M</t>
  </si>
  <si>
    <t>LYCEE PROFESSIONNEL PRIVE LE BEAU RAMEAU IGON</t>
  </si>
  <si>
    <t>0650012K</t>
  </si>
  <si>
    <t>LYCEE GENERAL MICHELET</t>
  </si>
  <si>
    <t>LANNEMEZAN</t>
  </si>
  <si>
    <t>0650028C</t>
  </si>
  <si>
    <t>LYCEE PROFESSIONNEL SIXTE VIGNON LYCEE DES METIERS DE L HABITAT DES ENERGIES ET DE L AUTOMOBILE</t>
  </si>
  <si>
    <t>AUREILHAN</t>
  </si>
  <si>
    <t>0650041S</t>
  </si>
  <si>
    <t>LYCEE PROFESSIONNEL JEAN DUPUY LYCEE DES METIERS DE L INDUSTRIE : MATERIAUX PRODUCTION ET ELECTRICITE</t>
  </si>
  <si>
    <t>0650058K</t>
  </si>
  <si>
    <t>LYCEE GENERAL PRIVE PEYRAMALE SAINT JOSEPH</t>
  </si>
  <si>
    <t>0650067V</t>
  </si>
  <si>
    <t>LYCEE PROFESSIONNEL PRIVE VINCENT DE PAUL</t>
  </si>
  <si>
    <t>0650886K</t>
  </si>
  <si>
    <t>LYCEE PROFESSIONNEL PRIVE SAINT PIERRE PRADEAU LA SEDE LYCEE DES METIERS DE L ELECTRODOMESTIQUE DE L ELECTRONIQUE DE L INFORMATIQUE ET RESEAUX</t>
  </si>
  <si>
    <t>0660004W</t>
  </si>
  <si>
    <t>LYCEE POLYVALENT DEODAT DE SEVERAC LYCEE DES METIERS DU TRANSPORT LOGISTIQUE ET DU COMMERCE</t>
  </si>
  <si>
    <t>CERET</t>
  </si>
  <si>
    <t>0660809W</t>
  </si>
  <si>
    <t>LYCEE POLYVALENT ARISTIDE MAILLOL</t>
  </si>
  <si>
    <t>0660924W</t>
  </si>
  <si>
    <t>LYCEE POLYVALENT CHRISTIAN BOURQUIN</t>
  </si>
  <si>
    <t>ARGELES SUR MER</t>
  </si>
  <si>
    <t>0670043H</t>
  </si>
  <si>
    <t>LYCEE PROFESSIONNEL CAMILLE SCHNEIDER</t>
  </si>
  <si>
    <t>0670050R</t>
  </si>
  <si>
    <t>LYCEE PROFESSIONNEL PAUL EMILE VICTOR LYCEE DES METIERS</t>
  </si>
  <si>
    <t>0670057Y</t>
  </si>
  <si>
    <t>LYCEE GENERAL ET TECHNOLOGIQUE GENERAL LECLERC</t>
  </si>
  <si>
    <t>0670087F</t>
  </si>
  <si>
    <t>LYCEE POLYVALENT DES METIERS A DUMAS LYCEE DES METIERS DE L HOTELLERIE ET DU TOURISME</t>
  </si>
  <si>
    <t>0670114K</t>
  </si>
  <si>
    <t>LYCEE POLYVALENT STANISLAS LYCEE DES METIERS</t>
  </si>
  <si>
    <t>WISSEMBOURG</t>
  </si>
  <si>
    <t>0671552Y</t>
  </si>
  <si>
    <t>LYCEE GENERAL PRIVE LE GYMNASE JEAN STURM</t>
  </si>
  <si>
    <t>0671615S</t>
  </si>
  <si>
    <t>ECOLE AQUIBA (LYCEE GENERAL PRIVE)</t>
  </si>
  <si>
    <t>0671832C</t>
  </si>
  <si>
    <t>LYCEE POLYVALENT JEAN BAPTISTE SCHWILGUE</t>
  </si>
  <si>
    <t>SELESTAT</t>
  </si>
  <si>
    <t>0673083M</t>
  </si>
  <si>
    <t>LYCEE PRIVE ECOLE LIBRE SAINTE ANNE</t>
  </si>
  <si>
    <t>0680027K</t>
  </si>
  <si>
    <t>LYCEE PROFESSIONNEL JOSEPH VOGT</t>
  </si>
  <si>
    <t>MASEVAUX NIEDERBRUCK</t>
  </si>
  <si>
    <t>0680039Y</t>
  </si>
  <si>
    <t>LYCEE PROFESSIONNEL F D ROOSEVELT LYCEE DES METIERS</t>
  </si>
  <si>
    <t>0680051L</t>
  </si>
  <si>
    <t>LYCEE GENERAL FREDERIC KIRSCHLEGER</t>
  </si>
  <si>
    <t>MUNSTER</t>
  </si>
  <si>
    <t>0681809X</t>
  </si>
  <si>
    <t>LYCEE POLYVALENT E BUGATTI LYCEE DES METIERS DE L AUTOMOBILE DU TRANSPORT ET DE LA LOGISTIQUE</t>
  </si>
  <si>
    <t>ILLZACH</t>
  </si>
  <si>
    <t>0681839E</t>
  </si>
  <si>
    <t>LYCEE POLYVALENT JOSEPH STORCK LYCEES DES METIERS DE L HOTELLERIE</t>
  </si>
  <si>
    <t>GUEBWILLER</t>
  </si>
  <si>
    <t>0681917P</t>
  </si>
  <si>
    <t>LYCEE GENERAL ET TECHNOLOGIQUE PRIVE INSTITUTION DON BOSCO</t>
  </si>
  <si>
    <t>WITTENHEIM</t>
  </si>
  <si>
    <t>0690029G</t>
  </si>
  <si>
    <t>LYCEE GENERAL ET TECHNOLOGIQUE LACASSAGNE</t>
  </si>
  <si>
    <t>LYON 3E ARRONDISSEMENT</t>
  </si>
  <si>
    <t>0690046A</t>
  </si>
  <si>
    <t>LYCEE PROFESSIONNEL LOUISE LABE LYCEE DES METIERS RESEAU TEXTILE MODE CUIR</t>
  </si>
  <si>
    <t>0690074F</t>
  </si>
  <si>
    <t>LYCEE GENERAL ET TECHNOLOGIQUE PARC CHABRIERES</t>
  </si>
  <si>
    <t>0690132U</t>
  </si>
  <si>
    <t>LYCEE GENERAL ET TECHNOLOGIQUE PIERRE BROSSOLETTE</t>
  </si>
  <si>
    <t>0690521S</t>
  </si>
  <si>
    <t>0690522T</t>
  </si>
  <si>
    <t>LYCEE GENERAL ET TECHNOLOGIQUE PRIVE AUX LAZARISTES</t>
  </si>
  <si>
    <t>0690536H</t>
  </si>
  <si>
    <t>LYCEE GENERAL ET TECHNOLOGIQUE PRIVE BELMONT CAPDEPON</t>
  </si>
  <si>
    <t>0690553B</t>
  </si>
  <si>
    <t>LYCEE TECHNOLOGIQUE PRIVE NOTRE DAME</t>
  </si>
  <si>
    <t>0690642Y</t>
  </si>
  <si>
    <t>LYCEE TECHNOLOGIQUE PRIVE ORT</t>
  </si>
  <si>
    <t>0690652J</t>
  </si>
  <si>
    <t>LYCEE PROFESSIONNEL PRIVE ATELIERS D APPRENTISSAGE DE L INDUSTRIE</t>
  </si>
  <si>
    <t>0690698J</t>
  </si>
  <si>
    <t>LYCEE PROFESSIONNEL PRIVE SOCIETE ENSEIGNEMENT PROFESSIONNEL DU RHONE LYCEE DES METIERS DU RESEAU TEXTILE MODE CUIR</t>
  </si>
  <si>
    <t>0691659D</t>
  </si>
  <si>
    <t>LYCEE TECHNOLOGIQUE PRIVE DON BOSCO</t>
  </si>
  <si>
    <t>0692517L</t>
  </si>
  <si>
    <t>LYCEE POLYVALENT CAMUS SERMENAZ</t>
  </si>
  <si>
    <t>0693134G</t>
  </si>
  <si>
    <t>ECOLE PROFESSIONNELLE PRIVEE ATELIER D APPRENTISSAGE DE GORGE DE LOUP</t>
  </si>
  <si>
    <t>0693332X</t>
  </si>
  <si>
    <t>LYCEE PROFESSIONNEL PRIVE LA VIDAUDE</t>
  </si>
  <si>
    <t>SAINT GENIS LAVAL</t>
  </si>
  <si>
    <t>0693654X</t>
  </si>
  <si>
    <t>0700077D</t>
  </si>
  <si>
    <t>LYCEE PROFESSIONNEL PRIVE GROUPE SCOLAIRE DE LA COMPASSION</t>
  </si>
  <si>
    <t>VILLERSEXEL</t>
  </si>
  <si>
    <t>0700882D</t>
  </si>
  <si>
    <t>LYCEE PROFESSIONNEL PONTARCHER</t>
  </si>
  <si>
    <t>0701001H</t>
  </si>
  <si>
    <t>LYCEE PROFESSIONNEL PRIVE SAINT PIERRE FOURIER</t>
  </si>
  <si>
    <t>0701052N</t>
  </si>
  <si>
    <t>LYCEE GENERAL ET TECHNOLOGIQUE LES HABERGES</t>
  </si>
  <si>
    <t>0710010A</t>
  </si>
  <si>
    <t>LYCEE POLYVALENT MATHIAS</t>
  </si>
  <si>
    <t>0710045N</t>
  </si>
  <si>
    <t>LYCEE GENERAL ET TECHNOLOGIQUE LAMARTINE</t>
  </si>
  <si>
    <t>0710071S</t>
  </si>
  <si>
    <t>LYCEE GENERAL ET TECHNOLOGIQUE GABRIEL VOISIN</t>
  </si>
  <si>
    <t>TOURNUS</t>
  </si>
  <si>
    <t>0711137A</t>
  </si>
  <si>
    <t>DIGOIN</t>
  </si>
  <si>
    <t>0720033V</t>
  </si>
  <si>
    <t>LYCEE POLYVALENT GABRIEL TOUCHARD WASHINGTON LYCEE DES METIERS</t>
  </si>
  <si>
    <t>0720034W</t>
  </si>
  <si>
    <t>LYCEE PROFESSIONEL FUNAY HELENE BOUCHER LYC MET DU BATIMENT DE L HOTELLERIE RESTAURATION LYC MET DES SERVICES A LA PERSONNE ET AUX COLLECTIVITES</t>
  </si>
  <si>
    <t>0720833P</t>
  </si>
  <si>
    <t>0721301Y</t>
  </si>
  <si>
    <t>LYCEE PROFESSIONNEL JEAN RONDEAU LYCEE DES METIERS DE LA LOGISTIQUE ET DU TRANSPORT</t>
  </si>
  <si>
    <t>SAINT CALAIS</t>
  </si>
  <si>
    <t>0721493G</t>
  </si>
  <si>
    <t>LYCEE GENERAL ET TECHNOLOGIQUE MARGUERITE YOURCENAR</t>
  </si>
  <si>
    <t>0730005J</t>
  </si>
  <si>
    <t>0730013T</t>
  </si>
  <si>
    <t>LYCEE GENERAL VAUGELAS</t>
  </si>
  <si>
    <t>0730039W</t>
  </si>
  <si>
    <t>LYCEE PROFESSIONNEL GENERAL FERRIE LYCEE DES METIERS DE LA MONTAGNE</t>
  </si>
  <si>
    <t>SAINT MICHEL DE MAURIENNE</t>
  </si>
  <si>
    <t>0730043A</t>
  </si>
  <si>
    <t>LYCEE POLYVALENT RENE PERRIN LYCEE DES METIERS DES SCIENCES ET DES TECHNIQUES DE L INDUSTRIE</t>
  </si>
  <si>
    <t>UGINE</t>
  </si>
  <si>
    <t>0740005D</t>
  </si>
  <si>
    <t>LYCEE GENERAL ET TECHNOLOGIQUE GABRIEL FAURE</t>
  </si>
  <si>
    <t>0740027C</t>
  </si>
  <si>
    <t>LYCEE POLYVALENT MONT BLANC RENE DAYVE LYCEE DES METIERS DE L INDUSTRIE</t>
  </si>
  <si>
    <t>PASSY</t>
  </si>
  <si>
    <t>0740054G</t>
  </si>
  <si>
    <t>LYCEE PROFESSIONNEL G SOMMEILLER</t>
  </si>
  <si>
    <t>0740062R</t>
  </si>
  <si>
    <t>LYCEE PROFESSIONNEL A GORDINI</t>
  </si>
  <si>
    <t>0740099F</t>
  </si>
  <si>
    <t>THONES</t>
  </si>
  <si>
    <t>0740152N</t>
  </si>
  <si>
    <t>LYCEE PROFESSIONNEL PRIVE CECAM</t>
  </si>
  <si>
    <t>SAINT JEOIRE</t>
  </si>
  <si>
    <t>0741101V</t>
  </si>
  <si>
    <t>LYCEE POLYVALENT PRIVE LES BRESSIS</t>
  </si>
  <si>
    <t>0741285V</t>
  </si>
  <si>
    <t>LYCEE PROFESSIONNEL PRIVE ECA</t>
  </si>
  <si>
    <t>0741286W</t>
  </si>
  <si>
    <t>LYCEE PROFESSIONNEL PRIVE SAINTE FAMILLE LYCEE DES METIERS DE LA COMPTABILITE ET DE LA GESTION</t>
  </si>
  <si>
    <t>LA ROCHE SUR FORON</t>
  </si>
  <si>
    <t>0750436S</t>
  </si>
  <si>
    <t>LYCEE PROFESSIONNEL CLAUDE ANTHIME CORBON LYCEE DES METIERS DE LA COMMUNICATION ET DE LA GESTION D ENTREPRISE</t>
  </si>
  <si>
    <t>0750502N</t>
  </si>
  <si>
    <t>LYCEE POLYVALENT MAXIMILIEN VOX ARTS APPLIQUES DESIGN DE COMMUNICATION INDUSTRIES GRAPHIQUES</t>
  </si>
  <si>
    <t>0750656F</t>
  </si>
  <si>
    <t>LYCEE GENERAL LAVOISIER</t>
  </si>
  <si>
    <t>0750657G</t>
  </si>
  <si>
    <t>LYCEE GENERAL MONTAIGNE</t>
  </si>
  <si>
    <t>0750660K</t>
  </si>
  <si>
    <t>0750668U</t>
  </si>
  <si>
    <t>LYCEE GENERAL JACQUES DECOUR</t>
  </si>
  <si>
    <t>0750669V</t>
  </si>
  <si>
    <t>LYCEE GENERAL JULES FERRY</t>
  </si>
  <si>
    <t>0750671X</t>
  </si>
  <si>
    <t>LYCEE POLYVALENT EDGAR QUINET</t>
  </si>
  <si>
    <t>0750674A</t>
  </si>
  <si>
    <t>LYCEE TECHNOLOGIQUE JULES SIEGFRIED</t>
  </si>
  <si>
    <t>0750675B</t>
  </si>
  <si>
    <t>0750676C</t>
  </si>
  <si>
    <t>LYCEE POLYVALENT DORIAN LYCEE DES METIERS DE LA MECATRONIQUE DE LA TOPOGRAPHIE ET DE LA VERRERIE</t>
  </si>
  <si>
    <t>0750702F</t>
  </si>
  <si>
    <t>LYCEE GENERAL JEAN DE LA FONTAINE</t>
  </si>
  <si>
    <t>0750712S</t>
  </si>
  <si>
    <t>LYCEE POLYVALENT DIDEROT</t>
  </si>
  <si>
    <t>0750775K</t>
  </si>
  <si>
    <t>LYCEE PROFESSIONNEL GUSTAVE FERRIE</t>
  </si>
  <si>
    <t>0750778N</t>
  </si>
  <si>
    <t>LYCEE PROFESSIONNEL TURQUETIL LYCEE DES METIERS DE LA MODE</t>
  </si>
  <si>
    <t>0750783U</t>
  </si>
  <si>
    <t>LYCEE PROFESSIONNEL CHENNEVIERE MALEZIEUX</t>
  </si>
  <si>
    <t>0750784V</t>
  </si>
  <si>
    <t>LYCEE PROFESSIONNEL METIERS DE L AMEUBLEMENT</t>
  </si>
  <si>
    <t>0750788Z</t>
  </si>
  <si>
    <t>LYCEE PROFESSIONNEL MARCEL DEPREZ LYCEE DES METIERS DE L ELECTROTECHNIQUE</t>
  </si>
  <si>
    <t>0750802P</t>
  </si>
  <si>
    <t>LYCEE PROFESSIONNEL HECTOR GUIMARD LYCEE DES METIERS DU BATIMENT DE L ARTISANAT ET DU PATRIMOINE BATI</t>
  </si>
  <si>
    <t>0752961L</t>
  </si>
  <si>
    <t>0753598D</t>
  </si>
  <si>
    <t>COLLEGE SEVIGNE (ECOLE SECONDAIRE PRIVEE)</t>
  </si>
  <si>
    <t>0753825A</t>
  </si>
  <si>
    <t>LYCEE PRIVE MORVAN</t>
  </si>
  <si>
    <t>0753834K</t>
  </si>
  <si>
    <t>LYCEE GENERAL PRIVE YABNE</t>
  </si>
  <si>
    <t>0753840S</t>
  </si>
  <si>
    <t>ENSEIGNEMENT PRIVE STANISLAS (ECOLE SECONDAIRE PRIVEE)</t>
  </si>
  <si>
    <t>0753844W</t>
  </si>
  <si>
    <t>LYCEE GENERAL ET TECHNOLOGIQUE PRIVE SAINTE GENEVIEVE</t>
  </si>
  <si>
    <t>0753850C</t>
  </si>
  <si>
    <t>LYCEE GENERAL PRIVE SAINT THOMAS D AQUIN</t>
  </si>
  <si>
    <t>0753898E</t>
  </si>
  <si>
    <t>ENSEMBLE SCOLAIRE EUGENE NAPOLEON SAINT PIERRE FOURIER</t>
  </si>
  <si>
    <t>0753902J</t>
  </si>
  <si>
    <t>LYCEE GENERAL PRIVE NOTRE DAME DE FRANCE</t>
  </si>
  <si>
    <t>0754015G</t>
  </si>
  <si>
    <t>LYCEE POLYVALENT PRIVE JULES RICHARD MICROTECHNIQUES</t>
  </si>
  <si>
    <t>0754029X</t>
  </si>
  <si>
    <t>LYCEE POLYVALENT PRIVE CARCADO SAISSEVAL LYCEE DES METIERS DU MANAGEMENT DU COMMERCE DES SERVICES ET SOINS A LA PERSONNE</t>
  </si>
  <si>
    <t>0754086J</t>
  </si>
  <si>
    <t>LYCEE GENERAL ET TECHNOLOGIQUE PRIVE CHARLES DE FOUCAULD</t>
  </si>
  <si>
    <t>0754239A</t>
  </si>
  <si>
    <t>LYCEE POLYVALENT PRIVE SAINT JEAN DE MONTMARTRE LYCEE DES METIERS PRIVE DE LA VENTE ET DU COMMERCE</t>
  </si>
  <si>
    <t>0754965P</t>
  </si>
  <si>
    <t>LYCEE GENERAL ET TECHNOLOGIQUE PRIVE LUCIEN DE HIRSH</t>
  </si>
  <si>
    <t>0755537L</t>
  </si>
  <si>
    <t>LYCEE PRIVE RACHI</t>
  </si>
  <si>
    <t>0760062E</t>
  </si>
  <si>
    <t>LYCEE PROFESSIONNEL JULES LE CESNE LYCEE DES METIERS DE L HOTELLERIE DE LA RESTAURATION ET DES SERVICES</t>
  </si>
  <si>
    <t>0760088H</t>
  </si>
  <si>
    <t>LYCEE PROFESSIONNEL ELISA LEMONNIER</t>
  </si>
  <si>
    <t>0760091L</t>
  </si>
  <si>
    <t>0760093N</t>
  </si>
  <si>
    <t>LYCEE GENERAL CAMILLE SAINT SAËNS</t>
  </si>
  <si>
    <t>0760095R</t>
  </si>
  <si>
    <t>0760109F</t>
  </si>
  <si>
    <t>LYCEE GENERAL ET TECHNOLOGIQUE LES BRUYERES</t>
  </si>
  <si>
    <t>0760114L</t>
  </si>
  <si>
    <t>LYCEE PROFESSIONNEL LE HURLE VENT</t>
  </si>
  <si>
    <t>LE TREPORT</t>
  </si>
  <si>
    <t>0760142S</t>
  </si>
  <si>
    <t>LYCEE PROFESSIONNEL GUSTAVE FLAUBERT</t>
  </si>
  <si>
    <t>0760146W</t>
  </si>
  <si>
    <t>LYCEE PROFESSIONNEL MARCEL SEMBAT LYCEE DES METIERS DES PROPULSIONS ET SYSTEMES EMBARQUES</t>
  </si>
  <si>
    <t>0761322Z</t>
  </si>
  <si>
    <t>LYCEE PROFESSIONNEL CLAUDE MONET</t>
  </si>
  <si>
    <t>0761710W</t>
  </si>
  <si>
    <t>0761719F</t>
  </si>
  <si>
    <t>0761742F</t>
  </si>
  <si>
    <t>LYCEE GENERAL ET TECHNOLOGIQUE VAL DE SEINE</t>
  </si>
  <si>
    <t>LE GRAND QUEVILLY</t>
  </si>
  <si>
    <t>0763002A</t>
  </si>
  <si>
    <t>LYCEE POLYVALENT DU GOLF</t>
  </si>
  <si>
    <t>0763112V</t>
  </si>
  <si>
    <t>0770940D</t>
  </si>
  <si>
    <t>LYCEE POLYVALENT ETIENNE BEZOUT</t>
  </si>
  <si>
    <t>NEMOURS</t>
  </si>
  <si>
    <t>0771171E</t>
  </si>
  <si>
    <t>LYCEE PROFESSIONNEL LOUIS LUMIERE LYCEE DES METIERS DE L ELECTRICITE LYCEE DES METIERS DU COMMERCE</t>
  </si>
  <si>
    <t>0771336J</t>
  </si>
  <si>
    <t>LYCEE POLYVALENT LES PANNEVELLES LYCEE DES METIERS DU BATIMENT ET DES TRAVAUX PUBLICS</t>
  </si>
  <si>
    <t>PROVINS</t>
  </si>
  <si>
    <t>0771720B</t>
  </si>
  <si>
    <t>LYCEE GENERAL PRIVE GUY GASNIER SAINTE BATHILDE</t>
  </si>
  <si>
    <t>0771940R</t>
  </si>
  <si>
    <t>NOISIEL</t>
  </si>
  <si>
    <t>0772294A</t>
  </si>
  <si>
    <t>LYCEE GENERAL ET TECHNOLOGIQUE EMILY BRONTË</t>
  </si>
  <si>
    <t>LOGNES</t>
  </si>
  <si>
    <t>0772324H</t>
  </si>
  <si>
    <t>LYCEE GENERAL ET TECHNOLOGIQUE PRIVE CAMPUS SAINTE THERESE</t>
  </si>
  <si>
    <t>OZOIR LA FERRIERE</t>
  </si>
  <si>
    <t>0772332S</t>
  </si>
  <si>
    <t>LYCEE POLYVALENT SONIA DELAUNAY</t>
  </si>
  <si>
    <t>CESSON</t>
  </si>
  <si>
    <t>0772751X</t>
  </si>
  <si>
    <t>LYCEE POLYVALENT CHARLOTTE DELBO</t>
  </si>
  <si>
    <t>DAMMARTIN EN GOËLE</t>
  </si>
  <si>
    <t>0781578S</t>
  </si>
  <si>
    <t>LYCEE POLYVALENT HOTELLERIE ET TOURISME LYCEE DES METIERS DES SERVICES HOTELIERS ET DU TOURISME</t>
  </si>
  <si>
    <t>GUYANCOURT</t>
  </si>
  <si>
    <t>0781839A</t>
  </si>
  <si>
    <t>LYCEE POLYVALENT JEAN MONNET LYCEE DES METIERS DE LA VENTE ET DE LA GESTION</t>
  </si>
  <si>
    <t>LA QUEUE LES YVELINES</t>
  </si>
  <si>
    <t>0781883Y</t>
  </si>
  <si>
    <t>LYCEE POLYVALENT DUMONT D URVILLE</t>
  </si>
  <si>
    <t>0781949V</t>
  </si>
  <si>
    <t>LYCEE GENERAL ET TECHNOLOGIQUE DE VILLAROY</t>
  </si>
  <si>
    <t>0781950W</t>
  </si>
  <si>
    <t>ACHERES</t>
  </si>
  <si>
    <t>0781952Y</t>
  </si>
  <si>
    <t>VILLEPREUX</t>
  </si>
  <si>
    <t>0782100J</t>
  </si>
  <si>
    <t>LYCEE PROFESSIONNEL PRIVE LES CHATAIGNIERS</t>
  </si>
  <si>
    <t>0782556E</t>
  </si>
  <si>
    <t>LYCEE POLYVALENT LEONARD DE VINCI LYCEE DES METIERS DE L ELECTROTECHNIQUE ET DES AUTOMATISMES</t>
  </si>
  <si>
    <t>0783288A</t>
  </si>
  <si>
    <t>0783325R</t>
  </si>
  <si>
    <t>LYCEE POLYVALENT PRIVE SAINT VINCENT DE PAUL LYCEE DES METIERS DE LA VENTE ET DE LA DIGITALISATION DE LA RELATION CLIENTELE</t>
  </si>
  <si>
    <t>0783350T</t>
  </si>
  <si>
    <t>LYCEE GENERAL ET TECHNOLOGIQUE PRIVE SAINT JEAN ET HULST</t>
  </si>
  <si>
    <t>0790031E</t>
  </si>
  <si>
    <t>LYCEE POLYVALENT DU HAUT VAL DE SEVRE LYCEE DES METIERS DU HAUT VAL DE SEVRE</t>
  </si>
  <si>
    <t>SAINT MAIXENT L ECOLE</t>
  </si>
  <si>
    <t>0790043T</t>
  </si>
  <si>
    <t>LYCEE PROFESSIONNEL PAUL GUERIN</t>
  </si>
  <si>
    <t>0790964U</t>
  </si>
  <si>
    <t>LYCEE PROFESSIONNEL THOMAS JEAN MAIN</t>
  </si>
  <si>
    <t>0800011C</t>
  </si>
  <si>
    <t>LYCEE D ENSEIGNEMENT TECHNOLOGIQUE EDOUARD GAND</t>
  </si>
  <si>
    <t>0801194N</t>
  </si>
  <si>
    <t>LYCEE PROFESSIONNEL MONTAIGNE LYCEE DES METIERS DES MOBILITES ET DES ENERGIES NOUVELLES</t>
  </si>
  <si>
    <t>0801207C</t>
  </si>
  <si>
    <t>0801209E</t>
  </si>
  <si>
    <t>LYCEE GENERAL ET TECHNOLOGIQUE PRIVE SAINTE FAMILLE</t>
  </si>
  <si>
    <t>0801327H</t>
  </si>
  <si>
    <t>LYCEE D ENSEIGNEMENT TECHNOLOGIQUE EDOUARD BRANLY</t>
  </si>
  <si>
    <t>0801704T</t>
  </si>
  <si>
    <t>LYCEE PROFESSIONNEL ALFRED MANESSIER</t>
  </si>
  <si>
    <t>FLIXECOURT</t>
  </si>
  <si>
    <t>0801864S</t>
  </si>
  <si>
    <t>LYCEE POLYVALENT DU VIMEU LYCEE DES METIERS DE L INDUSTRIE ET DU TERTIAIRE</t>
  </si>
  <si>
    <t>FRIVILLE ESCARBOTIN</t>
  </si>
  <si>
    <t>0801900F</t>
  </si>
  <si>
    <t>LYCEE POLYVALENT DE L AUTHIE (A ABSORBE L'UAI 0800065L EN 2021)</t>
  </si>
  <si>
    <t>DOULLENS</t>
  </si>
  <si>
    <t>0801947G</t>
  </si>
  <si>
    <t>LYCEE PROFESSIONNEL PRIVE SACRE COEUR</t>
  </si>
  <si>
    <t>0810023K</t>
  </si>
  <si>
    <t>GAILLAC</t>
  </si>
  <si>
    <t>0811144D</t>
  </si>
  <si>
    <t>LYCEE PROFESSIONNEL HOTELIER LYCEE DES METIERS DE L HOTELLERIE RESTAURATION</t>
  </si>
  <si>
    <t>0820020B</t>
  </si>
  <si>
    <t>LYCEE GENERAL JULES MICHELET</t>
  </si>
  <si>
    <t>0820032P</t>
  </si>
  <si>
    <t>LYCEE PROFESSIONNEL BOURDELLE</t>
  </si>
  <si>
    <t>0820551D</t>
  </si>
  <si>
    <t>LYCEE PROFESSIONNEL PRIVE SAINT LUBIN</t>
  </si>
  <si>
    <t>CAUSSADE</t>
  </si>
  <si>
    <t>0820899G</t>
  </si>
  <si>
    <t>LYCEE POLYVALENT JEAN BAYLET</t>
  </si>
  <si>
    <t>0830098F</t>
  </si>
  <si>
    <t>0830099G</t>
  </si>
  <si>
    <t>LYCEE GENERAL PRIVE FENELON</t>
  </si>
  <si>
    <t>0830100H</t>
  </si>
  <si>
    <t>0830128N</t>
  </si>
  <si>
    <t>LYCEE PROFESSIONNEL PRIVE LA COLETTE</t>
  </si>
  <si>
    <t>0831243A</t>
  </si>
  <si>
    <t>LYCEE GENERAL ET TECHNOLOGIQUE BONAPARTE</t>
  </si>
  <si>
    <t>0831616F</t>
  </si>
  <si>
    <t>LYCEE POLYVALENT ROUVIERE</t>
  </si>
  <si>
    <t>0840004Y</t>
  </si>
  <si>
    <t>LYCEE GENERAL ET TECHNOLOGIQUE THEODORE AUBANEL</t>
  </si>
  <si>
    <t>0840021S</t>
  </si>
  <si>
    <t>LYCEE POLYVALENT ALPHONSE BENOIT LYCEE DES METIERS DES ENERGIES DU NUMERIQUE ET DE LA SECURITE</t>
  </si>
  <si>
    <t>L ISLE SUR LA SORGUE</t>
  </si>
  <si>
    <t>0840042P</t>
  </si>
  <si>
    <t>LYCEE PROFESSIONNEL ROBERT SCHUMAN</t>
  </si>
  <si>
    <t>0840072X</t>
  </si>
  <si>
    <t>0840940R</t>
  </si>
  <si>
    <t>LYCEE DES METIERS PRIVE SAINT JEAN BAPTISTE DE LA SALLE</t>
  </si>
  <si>
    <t>0850025R</t>
  </si>
  <si>
    <t>LYCEE GENERAL ET TECHNOLOGIQUE PIERRE MENDES FRANCE</t>
  </si>
  <si>
    <t>0850043K</t>
  </si>
  <si>
    <t>LYCEE PROFESSIONNEL VALERE MATHE</t>
  </si>
  <si>
    <t>0850135K</t>
  </si>
  <si>
    <t>LYCEE POLYVALENT PRIVE SAINTE MARIE</t>
  </si>
  <si>
    <t>0850136L</t>
  </si>
  <si>
    <t>LYCEE POLYVALENT PRIVE JEANNE D ARC LYCEE DES METIERS DE LA LOGISTIQUE ET DU TRANSPORT</t>
  </si>
  <si>
    <t>0850142T</t>
  </si>
  <si>
    <t>CHALLANS</t>
  </si>
  <si>
    <t>0850146X</t>
  </si>
  <si>
    <t>LYCEE PROFESSIONNEL RENE COUZINET</t>
  </si>
  <si>
    <t>0851400K</t>
  </si>
  <si>
    <t>0851643Z</t>
  </si>
  <si>
    <t>0851696G</t>
  </si>
  <si>
    <t>LYCEE POLYVALENT DE ST GILLES CROIX DE VIE</t>
  </si>
  <si>
    <t>SAINT GILLES CROIX DE VIE</t>
  </si>
  <si>
    <t>0860005N</t>
  </si>
  <si>
    <t>LYCEE GENERAL ET TECHNOLOGIQUE CITE TECHNIQUE EDOUARD BRANLY</t>
  </si>
  <si>
    <t>0860006P</t>
  </si>
  <si>
    <t>LYCEE PROFESSIONNEL EDOUARD BRANLY</t>
  </si>
  <si>
    <t>0860021F</t>
  </si>
  <si>
    <t>LYCEE GENERAL ET TECHNOLOGIQUE GUY CHAUVET</t>
  </si>
  <si>
    <t>0860035W</t>
  </si>
  <si>
    <t>LYCEE GENERAL ET TECHNOLOGIQUE CAMILLE GUERIN</t>
  </si>
  <si>
    <t>0860039A</t>
  </si>
  <si>
    <t>LYCEE PROFESSIONNEL LE DOLMEN LYCEE DES METIERS DE LA MODE ET DES SERVICES</t>
  </si>
  <si>
    <t>0860903P</t>
  </si>
  <si>
    <t>LYCEE GENERAL ET TECHNOLOGIQUE PRIVE UNION CHRETIENNE</t>
  </si>
  <si>
    <t>0861223M</t>
  </si>
  <si>
    <t>LYCEE PILOTE INNOVANT INTERNATIONAL</t>
  </si>
  <si>
    <t>JAUNAY MARIGNY</t>
  </si>
  <si>
    <t>0870050G</t>
  </si>
  <si>
    <t>LYCEE GENERAL ET TECHNOLOGIQUE JEAN BAPTISTE DARNET</t>
  </si>
  <si>
    <t>SAINT YRIEIX LA PERCHE</t>
  </si>
  <si>
    <t>0870118F</t>
  </si>
  <si>
    <t>LYCEE GENERAL ET TECHNOLOGIQUE RAOUL DAUTRY</t>
  </si>
  <si>
    <t>0880020U</t>
  </si>
  <si>
    <t>LYCEE GENERAL CLAUDE GELLEE</t>
  </si>
  <si>
    <t>0880036L</t>
  </si>
  <si>
    <t>LYCEE GENERAL ET TECHNOLOGIQUE JEAN BAPTISTE VUILLAUME</t>
  </si>
  <si>
    <t>MIRECOURT</t>
  </si>
  <si>
    <t>0880097C</t>
  </si>
  <si>
    <t>0881140L</t>
  </si>
  <si>
    <t>0881370L</t>
  </si>
  <si>
    <t>LYCEE PROFESSIONNEL LOUIS GEISLER</t>
  </si>
  <si>
    <t>RAON L ETAPE</t>
  </si>
  <si>
    <t>0890003V</t>
  </si>
  <si>
    <t>LYCEE GENERAL JACQUES AMYOT</t>
  </si>
  <si>
    <t>0891199V</t>
  </si>
  <si>
    <t>LYCEE POLYVALENT LOUIS DAVIER LYCEE DES METIERS</t>
  </si>
  <si>
    <t>0900030U</t>
  </si>
  <si>
    <t>0900355X</t>
  </si>
  <si>
    <t>LYCEE PROFESSIONNEL DENIS DIDEROT LYCEE DES METIERS DE L ELECTRICITE DES TECHNOLOGIES NUMERIQUES ET DE LA PRODUCTIQUE</t>
  </si>
  <si>
    <t>BAVILLIERS</t>
  </si>
  <si>
    <t>0900425Y</t>
  </si>
  <si>
    <t>0910623H</t>
  </si>
  <si>
    <t>ATHIS MONS</t>
  </si>
  <si>
    <t>0910630R</t>
  </si>
  <si>
    <t>LYCEE POLYVALENT ALEXANDRE DENIS LYCEE DES METIERS DE L AERONAUTIQUE DU TRANSPORT ET DE LA LOGISTIQUE</t>
  </si>
  <si>
    <t>CERNY</t>
  </si>
  <si>
    <t>0910687C</t>
  </si>
  <si>
    <t>LYCEE GENERAL ET TECHNOLOGIQUE FUSTEL DE COULANGES</t>
  </si>
  <si>
    <t>0910808J</t>
  </si>
  <si>
    <t>0911021R</t>
  </si>
  <si>
    <t>LYCEE GENERAL ET TECHNOLOGIQUE FRANCOIS JOSEPH TALMA</t>
  </si>
  <si>
    <t>0911492C</t>
  </si>
  <si>
    <t>LYCEE POLYVALENT L ESSOURIAU</t>
  </si>
  <si>
    <t>LES ULIS</t>
  </si>
  <si>
    <t>0911493D</t>
  </si>
  <si>
    <t>LYCEE PROFESSIONNEL LES FRERES MOREAU</t>
  </si>
  <si>
    <t>QUINCY SOUS SENART</t>
  </si>
  <si>
    <t>0911578W</t>
  </si>
  <si>
    <t>RIS ORANGIS</t>
  </si>
  <si>
    <t>0911632E</t>
  </si>
  <si>
    <t>0911828T</t>
  </si>
  <si>
    <t>LYCEE POLYVALENT GEORGES BRASSENS LYCEE DES METIERS DU NUMERIQUE ET DES ARTS APPLIQUES</t>
  </si>
  <si>
    <t>0911913K</t>
  </si>
  <si>
    <t>LYCEE GENERAL ET TECHNOLOGIQUE VALLEE DE CHEVREUSE</t>
  </si>
  <si>
    <t>GIF SUR YVETTE</t>
  </si>
  <si>
    <t>0911927A</t>
  </si>
  <si>
    <t>LYCEE GENERAL ET TECHNOLOGIQUE MAURICE ELIOT</t>
  </si>
  <si>
    <t>EPINAY SOUS SENART</t>
  </si>
  <si>
    <t>0911937L</t>
  </si>
  <si>
    <t>LYCEE POLYVALENT FRANCOIS TRUFFAUT</t>
  </si>
  <si>
    <t>BONDOUFLE</t>
  </si>
  <si>
    <t>0912321D</t>
  </si>
  <si>
    <t>LYCEE POLYVALENT PRIVE SAINT MARTIN</t>
  </si>
  <si>
    <t>0912364A</t>
  </si>
  <si>
    <t>LYCEE POLYVALENT NIKOLA TESLA</t>
  </si>
  <si>
    <t>DOURDAN</t>
  </si>
  <si>
    <t>0912433A</t>
  </si>
  <si>
    <t>LYCEE D ENSEIGNEMENT GENERAL ET TECHNOLOGIQUE DE PALAISEAU</t>
  </si>
  <si>
    <t>0920131T</t>
  </si>
  <si>
    <t>ASNIERES SUR SEINE</t>
  </si>
  <si>
    <t>0920137Z</t>
  </si>
  <si>
    <t>0920171L</t>
  </si>
  <si>
    <t>LYCEE PROFESSIONNEL LOUIS BLERIOT LYCEE DES METIERS DE L ENERGIE</t>
  </si>
  <si>
    <t>SURESNES</t>
  </si>
  <si>
    <t>0920889S</t>
  </si>
  <si>
    <t>0920908M</t>
  </si>
  <si>
    <t>LYCEE GENERAL ET TECHNOLOGIQUE PRIVE SAINT THOMAS DE VILLENEUVE</t>
  </si>
  <si>
    <t>CHAVILLE</t>
  </si>
  <si>
    <t>0920917X</t>
  </si>
  <si>
    <t>0920918Y</t>
  </si>
  <si>
    <t>0920937U</t>
  </si>
  <si>
    <t>LYCEE GENERAL ET TECHNOLOGIQUE PRIVE SUGER</t>
  </si>
  <si>
    <t>VAUCRESSON</t>
  </si>
  <si>
    <t>0921166T</t>
  </si>
  <si>
    <t>0921505L</t>
  </si>
  <si>
    <t>LYCEE PROFESSIONNEL LOUIS DARDENNE</t>
  </si>
  <si>
    <t>VANVES</t>
  </si>
  <si>
    <t>0921594H</t>
  </si>
  <si>
    <t>LYCEE GENERAL ET TECHNOLOGIQUE MICHEL ANGE</t>
  </si>
  <si>
    <t>0921625S</t>
  </si>
  <si>
    <t>LYCEE PROFESSIONNEL PAUL PAINLEVE LYCEE DES METIERS DU COMMERCE DE LA COMMUNICATION ET DE LA GESTION</t>
  </si>
  <si>
    <t>0921676X</t>
  </si>
  <si>
    <t>LYCEE PROFESSIONNEL THEODORE MONOD LYCEE DES METIERS DE L HOTELLERIE ET DES SERVICES A VOCATION INTERNATIONALE</t>
  </si>
  <si>
    <t>0922397F</t>
  </si>
  <si>
    <t>LYCEE POLYVALENT EUGENE IONESCO</t>
  </si>
  <si>
    <t>0930117X</t>
  </si>
  <si>
    <t>0930124E</t>
  </si>
  <si>
    <t>0930135S</t>
  </si>
  <si>
    <t>LYCEE PROFESSIONNEL SIMONE WEIL</t>
  </si>
  <si>
    <t>0930831Y</t>
  </si>
  <si>
    <t>LYCEE PROFESSIONNEL ARISTIDE BRIAND LYCEE DES METIERS DE L AERIEN</t>
  </si>
  <si>
    <t>LE BLANC MESNIL</t>
  </si>
  <si>
    <t>0930833A</t>
  </si>
  <si>
    <t>LYCEE ENSEIGNEMENT GENERAL ET TECHNOLOGIQUE JEAN ZAY</t>
  </si>
  <si>
    <t>0930929E</t>
  </si>
  <si>
    <t>LYCEE PROFESSIONNEL PRIVE JEANNE LA LORRAINE</t>
  </si>
  <si>
    <t>0930933J</t>
  </si>
  <si>
    <t>LYCEE POLYVALENT PRIVE ASSOMPTION</t>
  </si>
  <si>
    <t>0930936M</t>
  </si>
  <si>
    <t>LYCEE POLYVALENT PRIVE SAINT BENOIST DE L EUROPE</t>
  </si>
  <si>
    <t>0931369H</t>
  </si>
  <si>
    <t>LYCEE PROFESSIONNEL PRIVE FRANCOISE CABRINI LYCEE DES METIERS DE LA VENTE</t>
  </si>
  <si>
    <t>0931585T</t>
  </si>
  <si>
    <t>LYCEE GENERAL ET TECHNOLOGIQUE ANDRE BOULLOCHE</t>
  </si>
  <si>
    <t>LIVRY GARGAN</t>
  </si>
  <si>
    <t>0931613Y</t>
  </si>
  <si>
    <t>LYCEE GENERAL ET TECHNOLOGIQUE LOUISE MICHEL</t>
  </si>
  <si>
    <t>0931739K</t>
  </si>
  <si>
    <t>0931797Y</t>
  </si>
  <si>
    <t>LYCEE POLYVALENT PRIVE JEAN BAPTISTE DE LA SALLE LYCEE DES METIERS DES APPLICATIONS DE L ENERGIE ELECTRIQUE ET DE LEUR MAINTENANCE</t>
  </si>
  <si>
    <t>0932118X</t>
  </si>
  <si>
    <t>0932120Z</t>
  </si>
  <si>
    <t>LYCEE POLYVALENT HENRI SELLIER LYCEE DES METIERS DE LA SANTE ET DU SOCIAL</t>
  </si>
  <si>
    <t>0932121A</t>
  </si>
  <si>
    <t>LYCEE POLYVALENT SUGER LYCEE DES METIERS DE L IMAGE ET DU SON</t>
  </si>
  <si>
    <t>0932222K</t>
  </si>
  <si>
    <t>LYCEE POLYVALENT RENE CASSIN LYCEE DES METIERS DE L ELECTROTECHNIQUE</t>
  </si>
  <si>
    <t>0932783V</t>
  </si>
  <si>
    <t>NOUVEAU LYCEE PIERREFITTE</t>
  </si>
  <si>
    <t>PIERREFITTE SUR SEINE</t>
  </si>
  <si>
    <t>0940112L</t>
  </si>
  <si>
    <t>LYCEE POLYVALENT LOUISE MICHEL LYCEE DES METIERS DE LA SANTE</t>
  </si>
  <si>
    <t>0940121W</t>
  </si>
  <si>
    <t>LYCEE GENERAL ET TECHNOLOGIQUE D ARSONVAL</t>
  </si>
  <si>
    <t>0940122X</t>
  </si>
  <si>
    <t>LYCEE POLYVALENT CONDORCET</t>
  </si>
  <si>
    <t>0940123Y</t>
  </si>
  <si>
    <t>LYCEE GENERAL ET TECHNOLOGIQUE GUILLAUME APOLLINAIRE</t>
  </si>
  <si>
    <t>0940124Z</t>
  </si>
  <si>
    <t>LYCEE GENERAL ET TECHNOLOGIQUE HECTOR BERLIOZ</t>
  </si>
  <si>
    <t>0940132H</t>
  </si>
  <si>
    <t>LYCEE PROFESSIONNEL GABRIEL PERI LYCEE DES METIERS DU SOCIAL ET DE L AIDE A LA PERSONNE</t>
  </si>
  <si>
    <t>0940134K</t>
  </si>
  <si>
    <t>LYCEE PROFESSIONNEL VAL DE BIEVRE</t>
  </si>
  <si>
    <t>GENTILLY</t>
  </si>
  <si>
    <t>0940137N</t>
  </si>
  <si>
    <t>LYCEE PROFESSIONNEL DES METIERS LA SOURCE</t>
  </si>
  <si>
    <t>0940891H</t>
  </si>
  <si>
    <t>LYCEE GENERAL PRIVE PETIT VAL</t>
  </si>
  <si>
    <t>0941407U</t>
  </si>
  <si>
    <t>LYCEE PROFESSIONNEL PRIVE CE 3P</t>
  </si>
  <si>
    <t>0941470M</t>
  </si>
  <si>
    <t>LYCEE POLYVALENT SAMUEL DE CHAMPLAIN</t>
  </si>
  <si>
    <t>CHENNEVIERES SUR MARNE</t>
  </si>
  <si>
    <t>0941918Z</t>
  </si>
  <si>
    <t>LYCEE POLYVALENT CHRISTOPHE COLOMB</t>
  </si>
  <si>
    <t>0941930M</t>
  </si>
  <si>
    <t>LYCEE POLYVALENT GUTENBERG</t>
  </si>
  <si>
    <t>0941951K</t>
  </si>
  <si>
    <t>LYCEE POLYVALENT MARX DORMOY</t>
  </si>
  <si>
    <t>0942354Y</t>
  </si>
  <si>
    <t>LGT ENSEMBLE SAINTE MARIE</t>
  </si>
  <si>
    <t>0950645K</t>
  </si>
  <si>
    <t>LYCEE GENERAL ET TECHNOLOGIQUE VAN GOGH</t>
  </si>
  <si>
    <t>ERMONT</t>
  </si>
  <si>
    <t>0950647M</t>
  </si>
  <si>
    <t>LYCEE GENERAL ET TECHNOLOGIQUE GERARD DE NERVAL</t>
  </si>
  <si>
    <t>LUZARCHES</t>
  </si>
  <si>
    <t>0950651S</t>
  </si>
  <si>
    <t>TAVERNY</t>
  </si>
  <si>
    <t>0950666H</t>
  </si>
  <si>
    <t>LYCEE POLYVALENT GEORGES BRAQUE LYCEE DES METIERS DE L INTELLIGENCE ECONOMIQUE ET DU MANAGEMENT</t>
  </si>
  <si>
    <t>0950667J</t>
  </si>
  <si>
    <t>LYCEE POLYVALENT ROMAIN ROLLAND LYCEE DES METIERS DE L INDUSTRIE DU COMMERCE ET DES SERVICES AUX ENTREPRISES</t>
  </si>
  <si>
    <t>GOUSSAINVILLE</t>
  </si>
  <si>
    <t>0950804H</t>
  </si>
  <si>
    <t>LYCEE PROFESSIONNEL PRIVE NOTRE FAMILLE</t>
  </si>
  <si>
    <t>0950812S</t>
  </si>
  <si>
    <t>LYCEE POLYVALENT PRIVE JEANNE D ARC LYCEE DES METIERS DU COMMERCE ET DES SERVICES AUX ENTREPRISES</t>
  </si>
  <si>
    <t>FRANCONVILLE</t>
  </si>
  <si>
    <t>0951104J</t>
  </si>
  <si>
    <t>LYCEE POLYVALENT JEAN PERRIN LYCEE DES METIERS DES TECHNOLOGIES NUMERIQUES POUR L INDUSTRIE ET LE LABORATOIRE</t>
  </si>
  <si>
    <t>0951147F</t>
  </si>
  <si>
    <t>LYCEE GENERAL ET TECHNOLOGIQUE FRAGONARD</t>
  </si>
  <si>
    <t>L ISLE ADAM</t>
  </si>
  <si>
    <t>0951281B</t>
  </si>
  <si>
    <t>LYCEE PROFESSIONNEL TURGOT LYCEE DES METIERS DU COMMERCE ET DE LA GESTION ADMINISTRATIVE</t>
  </si>
  <si>
    <t>0951618T</t>
  </si>
  <si>
    <t>LYCEE PROFESSIONNEL AUGUSTE ESCOFFIER LYCEE DES METIERS DE LA GASTRONOMIE ET DES TECHNIQUES DU FROID</t>
  </si>
  <si>
    <t>ERAGNY</t>
  </si>
  <si>
    <t>0951756T</t>
  </si>
  <si>
    <t>LYCEE POLYVALENT JULES VERNE</t>
  </si>
  <si>
    <t>0951766D</t>
  </si>
  <si>
    <t>LYCEE GENERAL ET TECHNOLOGIQUE SIMONE DE BEAUVOIR</t>
  </si>
  <si>
    <t>0951974E</t>
  </si>
  <si>
    <t>EAUBONNE</t>
  </si>
  <si>
    <t>0952196W</t>
  </si>
  <si>
    <t>LYCEE POLYVALENT GUSTAVE MONOD LYCEE DES METIERS DE L INGENIERIE INDUSTRIELLE</t>
  </si>
  <si>
    <t>0952208J</t>
  </si>
  <si>
    <t>ECOLE GENERALE ET TECHNOLOGIQUE PRIVEE SAINT JOSEPH</t>
  </si>
  <si>
    <t>6200650M</t>
  </si>
  <si>
    <t>INSTITUTION SAINT PAUL (LYCEE GENERAL PRIVE) AJACCIO</t>
  </si>
  <si>
    <t>9710002A</t>
  </si>
  <si>
    <t>LYCEE GENERAL ET TECHNOLOGIQUE GERVILLE REACHE</t>
  </si>
  <si>
    <t>9710062R</t>
  </si>
  <si>
    <t>LYCEE GENERAL ET TECHNOLOGIQUE PRIVE LA PERSEVERANCE</t>
  </si>
  <si>
    <t>9710690Y</t>
  </si>
  <si>
    <t>LYCEE PROFESSIONNEL DUCHARMOY LYCEE DES METIERS DU COMMERCE DES SERVICES ET DE L ARTISANAT</t>
  </si>
  <si>
    <t>9710746J</t>
  </si>
  <si>
    <t>LYCEE PROFESSIONNEL AUGUSTIN ARRON</t>
  </si>
  <si>
    <t>9710879D</t>
  </si>
  <si>
    <t>LYCEE PROFESSIONNEL PRIVE BEL AIR</t>
  </si>
  <si>
    <t>9710884J</t>
  </si>
  <si>
    <t>LYCEE POLYVALENT RAOUL GEORGES NICOLO LYCEE DES METIERS DU BATIMENT ET DES ARTS APPLIQUES</t>
  </si>
  <si>
    <t>9710940V</t>
  </si>
  <si>
    <t>LYCEE GENERAL ET TECHNOLOGIQUE SONNY RUPAIRE</t>
  </si>
  <si>
    <t>SAINTE ROSE</t>
  </si>
  <si>
    <t>9711012Y</t>
  </si>
  <si>
    <t>LYCEE POLYVALENT HYACINTHE BASTARAUD</t>
  </si>
  <si>
    <t>GRAND BOURG</t>
  </si>
  <si>
    <t>9720002V</t>
  </si>
  <si>
    <t>LYCEE GENERAL ET TECHNOLOGIQUE VICTOR SCHOELCHER</t>
  </si>
  <si>
    <t>9720468B</t>
  </si>
  <si>
    <t>LYCEE PROFESSIONNEL RAYMOND NERIS LYCEE DES METIERS DU NAUTISME ET DES ACTIVITES DE PORT</t>
  </si>
  <si>
    <t>9720479N</t>
  </si>
  <si>
    <t>LYCEE POLYVALENT PRIVE ADVENTISTE RAMA</t>
  </si>
  <si>
    <t>SAINTE LUCE</t>
  </si>
  <si>
    <t>9720725F</t>
  </si>
  <si>
    <t>LYCEE POLYVALENT JOSEPH ZOBEL</t>
  </si>
  <si>
    <t>RIVIERE SALEE</t>
  </si>
  <si>
    <t>9720825P</t>
  </si>
  <si>
    <t>LYCEE GENERAL ET TECHNOLOGIQUE PAULETTE NARDAL EX CENTRE SUD</t>
  </si>
  <si>
    <t>DUCOS</t>
  </si>
  <si>
    <t>9720844K</t>
  </si>
  <si>
    <t>LYCEE PROFESSIONNEL PLACE D ARMES</t>
  </si>
  <si>
    <t>9730001N</t>
  </si>
  <si>
    <t>LYCEE GENERAL ET TECHNOLOGIQUE FELIX EBOUE</t>
  </si>
  <si>
    <t>9730094P</t>
  </si>
  <si>
    <t>LYCEE PROFESSIONNEL JEAN MARIE MICHOTTE LYCEE DES METIERS DE LA MAINTENANCE AUTOMOBILE ET INDUSTRIELLE</t>
  </si>
  <si>
    <t>9730328U</t>
  </si>
  <si>
    <t>LYCEE POLYVALENT PRIVE ANNE MARIE JAVOUHEY</t>
  </si>
  <si>
    <t>9740015Y</t>
  </si>
  <si>
    <t>LYCEE PROFESSIONNEL VUE BELLE LYCEE DES METIERS DU COMMERCE ET DE LA DISTRIBUTION</t>
  </si>
  <si>
    <t>9740054R</t>
  </si>
  <si>
    <t>LYCEE GENERAL ET TECHNOLOGIQUE LISLET GEOFFROY</t>
  </si>
  <si>
    <t>9740597F</t>
  </si>
  <si>
    <t>LYCEE GENERAL ET TECHNOLOGIQUE EVARISTE DE PARNY</t>
  </si>
  <si>
    <t>9740679V</t>
  </si>
  <si>
    <t>LYCEE PROFESSIONNEL PRIVE CATHOLIQUE SAINTE SUZANNE</t>
  </si>
  <si>
    <t>9741052A</t>
  </si>
  <si>
    <t>LYCEE POLYVALENT STELLA</t>
  </si>
  <si>
    <t>SAINT LEU</t>
  </si>
  <si>
    <t>9741185V</t>
  </si>
  <si>
    <t>LYCEE GENERAL ET TECHNOLOGIQUE LE VERGER</t>
  </si>
  <si>
    <t>9741263E</t>
  </si>
  <si>
    <t>LYCEE POLYVALENT PIERRE LAGOURGUE</t>
  </si>
  <si>
    <t>9741308D</t>
  </si>
  <si>
    <t>LYCEE PROFESSIONNEL SAINT FRANCOIS XAVIER</t>
  </si>
  <si>
    <t>9760127J</t>
  </si>
  <si>
    <t>LGT DE MAMOUDZOU YOUNOUSSA BAMANA</t>
  </si>
  <si>
    <t>MAMOUDZOU</t>
  </si>
  <si>
    <t>9760182U</t>
  </si>
  <si>
    <t>LPO DE SADA</t>
  </si>
  <si>
    <t>SADA</t>
  </si>
  <si>
    <t>9760338N</t>
  </si>
  <si>
    <t>LPO DE DEMBENI</t>
  </si>
  <si>
    <t>DEMBENI</t>
  </si>
  <si>
    <t>0010069V</t>
  </si>
  <si>
    <t>LYCEE GENERAL ET TECHNOLOGIQUE PRIVE ENSEMBLE SCOLAIRE LAMARTINE</t>
  </si>
  <si>
    <t>0010099C</t>
  </si>
  <si>
    <t>LYCEE PROFESSIONNEL PRIVE SAINT JOSEPH LYCEE DES METIER DES SERVICES ADMINISTRATIFS ET COMMERCIAUX LYCEE DES METIERS DE L ELECTRONIQUE</t>
  </si>
  <si>
    <t>0010814E</t>
  </si>
  <si>
    <t>0011119L</t>
  </si>
  <si>
    <t>LYCEE POLYVALENT ARBEZ CARME LYCEE DES METIERS DE LA PLASTURGIE ET DES OUTILLAGES</t>
  </si>
  <si>
    <t>BELLIGNAT</t>
  </si>
  <si>
    <t>0020048S</t>
  </si>
  <si>
    <t>LYCEE GENERAL ET TECHNOLOGIQUE HENRI MARTIN</t>
  </si>
  <si>
    <t>0020059D</t>
  </si>
  <si>
    <t>0020498F</t>
  </si>
  <si>
    <t>LYCEE PROFESSIONNEL PRIVE SAINTE SOPHIE LYCEE DES METIERS DES SERVICES A LA PERSONNE</t>
  </si>
  <si>
    <t>BOHAIN EN VERMANDOIS</t>
  </si>
  <si>
    <t>0021874B</t>
  </si>
  <si>
    <t>LYCEE GENERAL ET TECHNOLOGIQUE PRIVE SAINT REMY</t>
  </si>
  <si>
    <t>0021939X</t>
  </si>
  <si>
    <t>LYCEE POLYVALENT JULES VERNE LYCEE DES METIERS DES SCIENCES ET TECHNOLOGIES POUR UN DEVELOPPEMENT DURABLE</t>
  </si>
  <si>
    <t>0022022M</t>
  </si>
  <si>
    <t>LYCEE D ENSEIGNEMENT TECHNOLOGIQUE PRIVE SAINTE SOPHIE</t>
  </si>
  <si>
    <t>0022044L</t>
  </si>
  <si>
    <t>LYCEE POLYVALENT LE CORBUSIER LYCEE DES METIERS DE L HOTELLERIE ET DU BATIMENT</t>
  </si>
  <si>
    <t>0022108F</t>
  </si>
  <si>
    <t>LYCEE GENERAL ET TECHNOLOGIQUE PRIVE SAINT VINCENT DE PAUL</t>
  </si>
  <si>
    <t>0030105Y</t>
  </si>
  <si>
    <t>LYCEE PROFESSIONNEL PRIVE SAINTE LOUISE</t>
  </si>
  <si>
    <t>0040023D</t>
  </si>
  <si>
    <t>LYCEE POLYVALENT PAUL ARENE LYCEE DES METIERS DE L HOTELLERIE ET DE LA RESTAURATION DES ALPES PROVENCALES</t>
  </si>
  <si>
    <t>SISTERON</t>
  </si>
  <si>
    <t>0040027H</t>
  </si>
  <si>
    <t>LYCEE GENERAL ET TECHNOLOGIQUE ALEXANDRA DAVID NEEL</t>
  </si>
  <si>
    <t>0040533H</t>
  </si>
  <si>
    <t>LYCEE POLYVALENT LES ISCLES</t>
  </si>
  <si>
    <t>0050009H</t>
  </si>
  <si>
    <t>LYCEE PROFESSIONNEL SEVIGNE LYCEE DES METIERS DE LA RESTAURATION DES SERVICES AUX ENTREPRISES ET AUX PERSONNES</t>
  </si>
  <si>
    <t>0050035L</t>
  </si>
  <si>
    <t>0060001U</t>
  </si>
  <si>
    <t>LYCEE GENERAL ET TECHNOLOGIQUE JACQUES AUDIBERTI</t>
  </si>
  <si>
    <t>0060011E</t>
  </si>
  <si>
    <t>0060031B</t>
  </si>
  <si>
    <t>LYCEE GENERAL ET TECHNOLOGIQUE ALBERT CALMETTE</t>
  </si>
  <si>
    <t>0060042N</t>
  </si>
  <si>
    <t>LYCEE PROFESSIONNEL LES PALMIERS</t>
  </si>
  <si>
    <t>0060043P</t>
  </si>
  <si>
    <t>LYCEE PROFESSIONNEL MAGNAN LYCEE DES METIERS DES SOINS ET SERVICES A LA PERSONNE</t>
  </si>
  <si>
    <t>0060750H</t>
  </si>
  <si>
    <t>LYCEE POLYVALENT PRIVE INSTITUTION SAINT JOSEPH CARNOLES</t>
  </si>
  <si>
    <t>ROQUEBRUNE CAP MARTIN</t>
  </si>
  <si>
    <t>0060773H</t>
  </si>
  <si>
    <t>LYCEE GENERAL ET TECHNOLOGIQUE PRIVE DON BOSCO</t>
  </si>
  <si>
    <t>0061394H</t>
  </si>
  <si>
    <t>LYCEE PROFESSIONNEL PRIVE LES FAUVETTES</t>
  </si>
  <si>
    <t>0061884R</t>
  </si>
  <si>
    <t>LYCEE GENERAL ET TECHNOLOGIQUE HENRI MATISSE</t>
  </si>
  <si>
    <t>VENCE</t>
  </si>
  <si>
    <t>0062089N</t>
  </si>
  <si>
    <t>LYCEE GENERAL ET TECHNOLOGIQUE RENE GOSCINNY</t>
  </si>
  <si>
    <t>DRAP</t>
  </si>
  <si>
    <t>0070001N</t>
  </si>
  <si>
    <t>LYCEE POLYVALENT PUBLIC BOISSY D ANGLAS LYCEE DES METIERS DE LA CREATION INDUSTRIELLE</t>
  </si>
  <si>
    <t>0070021K</t>
  </si>
  <si>
    <t>LYCEE POLYVALENT VINCENT D INDY</t>
  </si>
  <si>
    <t>0080007P</t>
  </si>
  <si>
    <t>0080018B</t>
  </si>
  <si>
    <t>LYCEE GENERAL VAUBAN</t>
  </si>
  <si>
    <t>GIVET</t>
  </si>
  <si>
    <t>0080045F</t>
  </si>
  <si>
    <t>LYCEE GENERAL ET TECHNOLOGIQUE PIERRE BAYLE</t>
  </si>
  <si>
    <t>0080053P</t>
  </si>
  <si>
    <t>LYCEE GENERAL THOMAS MASARYK</t>
  </si>
  <si>
    <t>0081047V</t>
  </si>
  <si>
    <t>LYCEE POLYVALENT BAZEILLES LYCEE DES METIERS DE L HOTELLERIE RESTAURATION ET DU TOURISME</t>
  </si>
  <si>
    <t>BAZEILLES</t>
  </si>
  <si>
    <t>0090002D</t>
  </si>
  <si>
    <t>FOIX</t>
  </si>
  <si>
    <t>0090006H</t>
  </si>
  <si>
    <t>LYCEE PROFESSIONNEL JOSEPH MARIE JACQUARD LYCEE DES METIERS DES STATIONS PYRENEENNES</t>
  </si>
  <si>
    <t>LAVELANET</t>
  </si>
  <si>
    <t>0090013R</t>
  </si>
  <si>
    <t>LYCEE POLYVALENT MIREPOIX</t>
  </si>
  <si>
    <t>MIREPOIX</t>
  </si>
  <si>
    <t>0090018W</t>
  </si>
  <si>
    <t>LYCEE GENERAL DU COUSERANS</t>
  </si>
  <si>
    <t>0100022V</t>
  </si>
  <si>
    <t>LYCEE GENERAL ET TECHNOLOGIQUE CHRESTIEN DE TROYES</t>
  </si>
  <si>
    <t>0100046W</t>
  </si>
  <si>
    <t>LYCEE GENERAL PRIVE SAINT FRANCOIS DE SALES</t>
  </si>
  <si>
    <t>0100047X</t>
  </si>
  <si>
    <t>LYCEE GENERAL PRIVE SAINT BERNARD</t>
  </si>
  <si>
    <t>0100945Y</t>
  </si>
  <si>
    <t>LYCEE PROFESSIONNEL GABRIEL VOISIN LYCEE DES METIERS DE L AUTOMOBILE ET DE LA RELATION CLIENT</t>
  </si>
  <si>
    <t>0101015Z</t>
  </si>
  <si>
    <t>LYCEE PROFESSIONNEL PRIVE LA SALLE LYCEE DES METIERS DU BATIMENT PERFORMANT DU DESIGN ET DE LA COMMUNICATION DIGITALE</t>
  </si>
  <si>
    <t>0110004V</t>
  </si>
  <si>
    <t>LYCEE GENERAL ET TECHNOLOGIQUE PAUL SABATIER</t>
  </si>
  <si>
    <t>0120024L</t>
  </si>
  <si>
    <t>LYCEE GENERAL ET TECHNOLOGIQUE ALEXIS MONTEIL</t>
  </si>
  <si>
    <t>0120025M</t>
  </si>
  <si>
    <t>LYCEE POLYVALENT JEAN JAURES LYCEE DES METIERS DE L ENERGIE</t>
  </si>
  <si>
    <t>0120037A</t>
  </si>
  <si>
    <t>LYCEE PROFESSIONNEL ALEXIS MONTEIL LYCEE DES METIERS INDUSTRIE ET COMMUNICATION</t>
  </si>
  <si>
    <t>0120052S</t>
  </si>
  <si>
    <t>ESPALION</t>
  </si>
  <si>
    <t>0120096P</t>
  </si>
  <si>
    <t>LYCEE PROFESSIONNEL DU BATIMENT LYCEE DES METIERS DU BOIS ET DE L HABITAT</t>
  </si>
  <si>
    <t>AUBIN</t>
  </si>
  <si>
    <t>0120105Z</t>
  </si>
  <si>
    <t>0121428M</t>
  </si>
  <si>
    <t>LYCEE GENERAL ET TECHNOLOGIQUE PRIVE LOUIS QUERBES</t>
  </si>
  <si>
    <t>0130036U</t>
  </si>
  <si>
    <t>LYCEE GENERAL ET TECHNOLOGIQUE PERIER</t>
  </si>
  <si>
    <t>0130040Y</t>
  </si>
  <si>
    <t>LYCEE GENERAL ET TECHNOLOGIQUE THIERS</t>
  </si>
  <si>
    <t>0130054N</t>
  </si>
  <si>
    <t>LYCEE PROFESSIONNEL POINSO CHAPUIS</t>
  </si>
  <si>
    <t>0130059U</t>
  </si>
  <si>
    <t>0130065A</t>
  </si>
  <si>
    <t>LYCEE PROFESSIONNEL LA VISTE LYCEE DES METIERS DE LA SANTE ET DU SOCIAL</t>
  </si>
  <si>
    <t>0130068D</t>
  </si>
  <si>
    <t>LYCEE PROFESSIONNEL CAMILLE JULLIAN</t>
  </si>
  <si>
    <t>0131333D</t>
  </si>
  <si>
    <t>0131339K</t>
  </si>
  <si>
    <t>LYCEE GENERAL ET TECHNOLOGIQUE PRIVE SAINT JOSEPH DE LA MADELEINE</t>
  </si>
  <si>
    <t>0131348V</t>
  </si>
  <si>
    <t>0131398Z</t>
  </si>
  <si>
    <t>LYCEE TECHNOLOGIQUE PRIVE MAXIMILIEN DE SULLY</t>
  </si>
  <si>
    <t>0131402D</t>
  </si>
  <si>
    <t>LYCEE DES METIERS PRIVE CHARLES PEGUY</t>
  </si>
  <si>
    <t>0131463V</t>
  </si>
  <si>
    <t>LYCEE PROFESSIONNEL PRIVE LA CABUCELLE</t>
  </si>
  <si>
    <t>0132210G</t>
  </si>
  <si>
    <t>LYCÉE POLYVALENT JEAN LURÇAT (A ABSORBE L'UAI 0132211H EN 2021)</t>
  </si>
  <si>
    <t>0132280H</t>
  </si>
  <si>
    <t>LYCEE POLYVALENT PRIVE HENRI LEROY</t>
  </si>
  <si>
    <t>PORT SAINT LOUIS DU RHONE</t>
  </si>
  <si>
    <t>0132810J</t>
  </si>
  <si>
    <t>0132828D</t>
  </si>
  <si>
    <t>LYCEE POLYVALENT PRIVE LA CADENELLE</t>
  </si>
  <si>
    <t>0132974M</t>
  </si>
  <si>
    <t>LYCEE POLYVALENT HOTELIER REGIONAL LYCEE DES METIERS DE L HOTELLERIE DU TOURISME ET DE L ALIMENTATION</t>
  </si>
  <si>
    <t>0133015G</t>
  </si>
  <si>
    <t>LYCEE POLYVALENT PIERRE MENDES FRANCE LYCEE DES METIERS DE L AERONAUTIQUE</t>
  </si>
  <si>
    <t>0133195C</t>
  </si>
  <si>
    <t>LYCEE GENERAL ET TECHNOLOGIQUE JEAN COCTEAU</t>
  </si>
  <si>
    <t>0133305X</t>
  </si>
  <si>
    <t>LYCEE PROFESSIONNEL PRIVE CLOVIS HUGUES</t>
  </si>
  <si>
    <t>0133406G</t>
  </si>
  <si>
    <t>LYCEE POLYVALENT DE LA MEDITERRANEE</t>
  </si>
  <si>
    <t>0133525L</t>
  </si>
  <si>
    <t>LYCEE GENERAL ET TECHNOLOGIQUE GEORGES DUBY</t>
  </si>
  <si>
    <t>0133822J</t>
  </si>
  <si>
    <t>LYCEE GENERAL PRIVE SAINT JEAN DE GARGUIER</t>
  </si>
  <si>
    <t>GEMENOS</t>
  </si>
  <si>
    <t>0134155W</t>
  </si>
  <si>
    <t>LYCEE POLYVALENT REGIONAL SIMONE VEIL</t>
  </si>
  <si>
    <t>0140004D</t>
  </si>
  <si>
    <t>LYCEE GENERAL ALAIN CHARTIER</t>
  </si>
  <si>
    <t>0140013N</t>
  </si>
  <si>
    <t>LYCEE GENERAL ET TECHNOLOGIQUE MALHERBE</t>
  </si>
  <si>
    <t>0140014P</t>
  </si>
  <si>
    <t>0140052F</t>
  </si>
  <si>
    <t>LYCEE POLYVALENT GUILLAUME LE CONQUERANT LYCEE DES METIERS DE LA GESTION</t>
  </si>
  <si>
    <t>FALAISE</t>
  </si>
  <si>
    <t>0140056K</t>
  </si>
  <si>
    <t>LYCEE POLYVALENT ALBERT SOREL</t>
  </si>
  <si>
    <t>HONFLEUR</t>
  </si>
  <si>
    <t>0141172Y</t>
  </si>
  <si>
    <t>LYCEE GENERAL PRIVE MARIE JOSEPH</t>
  </si>
  <si>
    <t>TROUVILLE SUR MER</t>
  </si>
  <si>
    <t>0141275K</t>
  </si>
  <si>
    <t>LYCEE POLYVALENT PAUL CORNU LYCEE DES METIERS DES INDUSTRIES GRAPHIQUES</t>
  </si>
  <si>
    <t>0150047V</t>
  </si>
  <si>
    <t>LYCEE POLYVALENT PRIVE DE LA COMMUNICATION SAINT GERAUD</t>
  </si>
  <si>
    <t>0150760V</t>
  </si>
  <si>
    <t>LYCEE POLYVALENT PRIVE GERBERT</t>
  </si>
  <si>
    <t>0160010Z</t>
  </si>
  <si>
    <t>LYCEE GENERAL ET TECHNOLOGIQUE ELIE VINET</t>
  </si>
  <si>
    <t>BARBEZIEUX SAINT HILAIRE</t>
  </si>
  <si>
    <t>0160065J</t>
  </si>
  <si>
    <t>LYCEE GENERAL ET TECHNOLOGIQUE PRIVE DE BEAULIEU</t>
  </si>
  <si>
    <t>0160079Z</t>
  </si>
  <si>
    <t>LYCEE GENERAL ET TECHNOLOGIQUE PRIVE SAINTE MARTHE CHAVAGNES</t>
  </si>
  <si>
    <t>0180007K</t>
  </si>
  <si>
    <t>LYCEE GENERAL ET TECHNOLOGIQUE JACQUES COEUR</t>
  </si>
  <si>
    <t>0190012K</t>
  </si>
  <si>
    <t>0190027B</t>
  </si>
  <si>
    <t>LYCEE PROFESSIONNEL MARCEL BARBANCEYS LYCEE DES METIERS DE LA MAINTENANCE DES MATERIELS</t>
  </si>
  <si>
    <t>NEUVIC</t>
  </si>
  <si>
    <t>0190032G</t>
  </si>
  <si>
    <t>LYCEE GENERAL ET TECHNOLOGIQUE EDMOND PERRIER</t>
  </si>
  <si>
    <t>0190056H</t>
  </si>
  <si>
    <t>INSTITUT JEANNE D ARC (LYCEE GENERAL PRIVE)</t>
  </si>
  <si>
    <t>ARGENTAT SUR DORDOGNE</t>
  </si>
  <si>
    <t>0190062P</t>
  </si>
  <si>
    <t>0210012Z</t>
  </si>
  <si>
    <t>LYCEE GENERAL ET TECHNOLOGIQUE STEPHEN LIEGEARD</t>
  </si>
  <si>
    <t>BROCHON</t>
  </si>
  <si>
    <t>0210056X</t>
  </si>
  <si>
    <t>LYCEE PROFESSIONNEL EUGENE GUILLAUME</t>
  </si>
  <si>
    <t>MONTBARD</t>
  </si>
  <si>
    <t>0211033J</t>
  </si>
  <si>
    <t>LYCEE TECHNOLOGIQUE GUSTAVE EIFFEL</t>
  </si>
  <si>
    <t>0211928G</t>
  </si>
  <si>
    <t>LYCEE INTERNATIONAL CHARLES DE GAULLE</t>
  </si>
  <si>
    <t>0211986V</t>
  </si>
  <si>
    <t>LYCEE POLYVALENT LES MARCS D OR LYCEE DES METIERS DU BATIMENT ET DES TRAVAUX PUBLICS</t>
  </si>
  <si>
    <t>0212015B</t>
  </si>
  <si>
    <t>0212023K</t>
  </si>
  <si>
    <t>LYCEE POLYVALENT PRIVE SAINT VINCENT DE PAUL</t>
  </si>
  <si>
    <t>0220056S</t>
  </si>
  <si>
    <t>LYCEE GENERAL ET TECHNOLOGIQUE FRANCOIS RABELAIS</t>
  </si>
  <si>
    <t>0220057T</t>
  </si>
  <si>
    <t>LYCEE GENERAL ET TECHNOLOGIQUE ERNEST RENAN</t>
  </si>
  <si>
    <t>0220060W</t>
  </si>
  <si>
    <t>LYCEE GENERAL ET TECHNOLOGIQUE EUGENE FREYSSINET</t>
  </si>
  <si>
    <t>0220064A</t>
  </si>
  <si>
    <t>LYCEE PROFESSIONNEL HOTELIER LA CLOSERIE</t>
  </si>
  <si>
    <t>SAINT QUAY PORTRIEUX</t>
  </si>
  <si>
    <t>0220072J</t>
  </si>
  <si>
    <t>LYCEE PROFESSIONNEL JOSEPH SAVINA</t>
  </si>
  <si>
    <t>0220186H</t>
  </si>
  <si>
    <t>LYCEE PROFESSIONNEL ROSA PARKS LYCEE DES METIERS DES SERVICES A LA PERSONNE ET DE LA SECURITE</t>
  </si>
  <si>
    <t>0220196U</t>
  </si>
  <si>
    <t>LYCEE POLYVALENT HENRI AVRIL LYCEE DES METIERS DE LA MAINTENANCE</t>
  </si>
  <si>
    <t>0221571N</t>
  </si>
  <si>
    <t>LYCEE POLYVALENT KERRAOUL LYCEE DES METIERS SANITAIRE ET SOCIAL</t>
  </si>
  <si>
    <t>PAIMPOL</t>
  </si>
  <si>
    <t>0221595P</t>
  </si>
  <si>
    <t>LYCEE PROFESSIONNEL LA FONTAINE DES EAUX LYCEE DES METIERS DE LA GESTION ENERGETIQUE DES BATIMENTS</t>
  </si>
  <si>
    <t>0221865H</t>
  </si>
  <si>
    <t>0230003D</t>
  </si>
  <si>
    <t>LYCEE PROFESSIONNEL JEAN JAURES</t>
  </si>
  <si>
    <t>0230027E</t>
  </si>
  <si>
    <t>LYCEE PROFESSIONNEL LOUIS GASTON ROUSSILLAT</t>
  </si>
  <si>
    <t>SAINT VAURY</t>
  </si>
  <si>
    <t>0240007C</t>
  </si>
  <si>
    <t>LYCEE PROFESSIONNEL JEAN CAPELLE LYCEE DES METIERS DE L HOTELLERIE DE LA GASTRONOMIE ET DES SERVICES EN PERIGORD</t>
  </si>
  <si>
    <t>0240032E</t>
  </si>
  <si>
    <t>LYCEE GENERAL ET TECHNOLOGIQUE ARNAUD DANIEL</t>
  </si>
  <si>
    <t>0241137F</t>
  </si>
  <si>
    <t>LYCEE GENERAL ET TECHNOLOGIQUE JAY DE BEAUFORT</t>
  </si>
  <si>
    <t>0250063H</t>
  </si>
  <si>
    <t>LYCEE PROFESSIONNEL JOUFFROY D ABBANS</t>
  </si>
  <si>
    <t>BAUME LES DAMES</t>
  </si>
  <si>
    <t>0251028G</t>
  </si>
  <si>
    <t>INSTITUTION NOTRE DAME SAINT JEAN LYCEE</t>
  </si>
  <si>
    <t>0251592V</t>
  </si>
  <si>
    <t>LP PR ST JOSEPH LYCEE DES METIERS DE LA CONCEPTION DE PRODUITS ET DE L AMENAGEMENT DE L HABITAT</t>
  </si>
  <si>
    <t>0251671F</t>
  </si>
  <si>
    <t>LPO EDGAR FAURE LYCEE DES METIERS DE L HORLOGERIE DE LA BIJOUTERIE ET DE LA JOAILLERIE</t>
  </si>
  <si>
    <t>MORTEAU</t>
  </si>
  <si>
    <t>0260015A</t>
  </si>
  <si>
    <t>LYCEE GENERAL ET TECHNOLOGIQUE ALAIN BORNE</t>
  </si>
  <si>
    <t>0260044G</t>
  </si>
  <si>
    <t>LYCEE PROFESSIONNEL AUGUSTE BOUVET</t>
  </si>
  <si>
    <t>0260066F</t>
  </si>
  <si>
    <t>LYCEE GENERAL PRIVE SAINT MAURICE</t>
  </si>
  <si>
    <t>0260069J</t>
  </si>
  <si>
    <t>0260078U</t>
  </si>
  <si>
    <t>LYCEE PROFESSIONNEL PRIVE NOTRE DAME DES CHAMPS</t>
  </si>
  <si>
    <t>0260113G</t>
  </si>
  <si>
    <t>LYCEE POLYVALENT LES CATALINS LYCEE DES METIERS DU TRANSPORT ET DE LA LOGISTIQUE DE L ENERGIE ET DES SCIENCES APPLIQUEES</t>
  </si>
  <si>
    <t>0261277X</t>
  </si>
  <si>
    <t>LYCEE GENERAL ET TECHNOLOGIQUE LES TROIS SOURCES</t>
  </si>
  <si>
    <t>BOURG LES VALENCE</t>
  </si>
  <si>
    <t>0270018Y</t>
  </si>
  <si>
    <t>LYCEE PROFESSIONNEL AUGUSTIN HEBERT LYCEE DES METIERS DE L HABITAT DE LA CONSTRUCTION ET DE L EFFICACITE ENERGETIQUE</t>
  </si>
  <si>
    <t>0270042Z</t>
  </si>
  <si>
    <t>LYCEE GENERAL ET TECHNOLOGIQUE PORTE DE NORMANDIE</t>
  </si>
  <si>
    <t>0270044B</t>
  </si>
  <si>
    <t>LYCEE GENERAL ET TECHNOLOGIQUE GEORGES DUMEZIL</t>
  </si>
  <si>
    <t>0271073V</t>
  </si>
  <si>
    <t>LYCEE PROFESSIONNEL PRIVE SAINTE AGNES</t>
  </si>
  <si>
    <t>0271268G</t>
  </si>
  <si>
    <t>LYCEE PROFESSIONNEL ARISTIDE BRIAND</t>
  </si>
  <si>
    <t>0271581X</t>
  </si>
  <si>
    <t>0280665W</t>
  </si>
  <si>
    <t>0281021H</t>
  </si>
  <si>
    <t>LYCEE PROFESSIONNEL SULLY LYCEE DES METIERS MAINTENANCE RESEAUX ENERGIES</t>
  </si>
  <si>
    <t>0281047L</t>
  </si>
  <si>
    <t>LYCEE GENERAL ET TECHNOLOGIQUE FULBERT</t>
  </si>
  <si>
    <t>0290013G</t>
  </si>
  <si>
    <t>LYCEE GENERAL ET TECHNOLOGIQUE JULES LESVEN</t>
  </si>
  <si>
    <t>0290069T</t>
  </si>
  <si>
    <t>LYCEE GENERAL AUGUSTE BRIZEUX</t>
  </si>
  <si>
    <t>0290078C</t>
  </si>
  <si>
    <t>LYCEE PROFESSIONNEL ROZ GLAS</t>
  </si>
  <si>
    <t>0290170C</t>
  </si>
  <si>
    <t>LYCEE GENERAL ET TECHNOLOGIQUE PRIVE LE LIKES LA SALLE QUIMPER</t>
  </si>
  <si>
    <t>0290177K</t>
  </si>
  <si>
    <t>LYCEE GENERAL ET TECHNOLOGIQUE PRIVE NOTRE DAME DU KREISKER</t>
  </si>
  <si>
    <t>SAINT POL DE LEON</t>
  </si>
  <si>
    <t>0290198H</t>
  </si>
  <si>
    <t>LYCEE GENERAL PRIVE SAINT ESPRIT</t>
  </si>
  <si>
    <t>LANDIVISIAU</t>
  </si>
  <si>
    <t>0290206S</t>
  </si>
  <si>
    <t>LYCEE POLYVALENT PRIVE NOTRE DAME DE KERBERTRAND</t>
  </si>
  <si>
    <t>0290207T</t>
  </si>
  <si>
    <t>LYCEE PROFESSIONNEL PRIVE NOTRE DAME DU KREISKER</t>
  </si>
  <si>
    <t>0290336H</t>
  </si>
  <si>
    <t>LYCEE GENERAL PRIVE ESTRAN CHARLES DE FOUCAULD</t>
  </si>
  <si>
    <t>0291633T</t>
  </si>
  <si>
    <t>LYCEE PROFESSIONNEL RENE LAËNNEC LYCEE DES METIERS DES SERVICES A LA PERSONNE</t>
  </si>
  <si>
    <t>0291808H</t>
  </si>
  <si>
    <t>LYCEE PROFESSIONNEL PRIVE SAINT JOSEPH SAINT MARC LYCEE DES METIERS DE LA BOULANGERIE PATISSERIE LYCEE DES METIERS DE L HOTELLERIE RESTAURATION</t>
  </si>
  <si>
    <t>0292144Y</t>
  </si>
  <si>
    <t>LYCEE PROFESSIONNEL PRIVE LE LIKES LA SALLE LYCEE DES METIERS DE L INDUSTRIE DE LA GESTION ET DU COMMERCE</t>
  </si>
  <si>
    <t>0300002P</t>
  </si>
  <si>
    <t>LYCEE POLYVALENT JEAN BAPTISTE DUMAS LYCEE DES METIERS DU TRAVAIL SOCIAL DE LA MECANIQUE ET DES PLURITECHNOLOGIES</t>
  </si>
  <si>
    <t>0300021K</t>
  </si>
  <si>
    <t>0300026R</t>
  </si>
  <si>
    <t>LYCEE GENERAL ET TECHNOLOGIQUE DHUODA</t>
  </si>
  <si>
    <t>0300027S</t>
  </si>
  <si>
    <t>LYCEE POLYVALENT ERNEST HEMINGWAY</t>
  </si>
  <si>
    <t>0300109F</t>
  </si>
  <si>
    <t>LYCEE PROFESSIONNEL PRIVE PASTEUR</t>
  </si>
  <si>
    <t>LA GRAND COMBE</t>
  </si>
  <si>
    <t>0301270T</t>
  </si>
  <si>
    <t>LYCEE PROFESSIONNEL JULES RAIMU LYCEE DES METIERS DE LA MAINTENANCE DU NUMERIQUE ET DE LA CONDUITE ROUTIERE</t>
  </si>
  <si>
    <t>0301654K</t>
  </si>
  <si>
    <t>LYCEE POLYVALENT GENEVIEVE DE GAULLE ANTHONIOZ LYCEE DES METIERS DE LA SANTE ET DU SOCIAL</t>
  </si>
  <si>
    <t>MILHAUD</t>
  </si>
  <si>
    <t>0310024H</t>
  </si>
  <si>
    <t>LYCEE POLYVALENT PIERRE D ARAGON</t>
  </si>
  <si>
    <t>0310040A</t>
  </si>
  <si>
    <t>LYCEE POLYVALENT RAYMOND NAVES</t>
  </si>
  <si>
    <t>0310041B</t>
  </si>
  <si>
    <t>LYCEE GENERAL SAINT SERNIN</t>
  </si>
  <si>
    <t>0310044E</t>
  </si>
  <si>
    <t>LYCEE POLYVALENT DEODAT DE SEVERAC</t>
  </si>
  <si>
    <t>0310088C</t>
  </si>
  <si>
    <t>LYCEE PROFESSIONNEL LYCEE DES METIERS D ART DU BOIS ET DE L AMEUBLEMENT</t>
  </si>
  <si>
    <t>0310091F</t>
  </si>
  <si>
    <t>LYCEE PROFESSIONNEL STEPHANE HESSEL</t>
  </si>
  <si>
    <t>0311146C</t>
  </si>
  <si>
    <t>LYCEE GENERAL ET TECHNOLOGIQUE PRIVE SAINTE MARIE DES CHAMPS</t>
  </si>
  <si>
    <t>0311147D</t>
  </si>
  <si>
    <t>LYCEE GENERAL ET TECHNOLOGIQUE PRIVE SAINTE MARIE DE NEVERS</t>
  </si>
  <si>
    <t>0311190A</t>
  </si>
  <si>
    <t>LYCEE PROFESSIONNEL PRIVE SKHOLE D ART TOULOUSE LYCEE DES METIERS DE LA COIFFURE ET DE L ESTHETIQUE</t>
  </si>
  <si>
    <t>0311200L</t>
  </si>
  <si>
    <t>LYCEE PROFESSIONNEL PRIVE AIRBUS TOULOUSE LYCEE DES METIERS DE L AERONAUTIQUE</t>
  </si>
  <si>
    <t>0311334G</t>
  </si>
  <si>
    <t>LYCEE POLYVALENT EDMOND ROSTAND LYCEE DES METIERS DU BOIS</t>
  </si>
  <si>
    <t>BAGNERES DE LUCHON</t>
  </si>
  <si>
    <t>0312065B</t>
  </si>
  <si>
    <t>LYCEE PROFESSIONNEL PRIVE SAINT JOSEPH LA SALLE LYCEE DES METIERS DE L ELECTRONIQUE DE LA MAINTENANCE ET PRODUCTIQUE MECANIQUE</t>
  </si>
  <si>
    <t>0312093G</t>
  </si>
  <si>
    <t>LYCEE GENERAL ET TECHNOLOGIQUE INTERNATIONAL VICTOR HUGO</t>
  </si>
  <si>
    <t>0312290W</t>
  </si>
  <si>
    <t>CUGNAUX</t>
  </si>
  <si>
    <t>0313016K</t>
  </si>
  <si>
    <t>LYCEE GENERAL PRIVE ENSEMBLE SCOLAIRE SAINTE GENEVIEVE</t>
  </si>
  <si>
    <t>SAINT JORY</t>
  </si>
  <si>
    <t>0320025D</t>
  </si>
  <si>
    <t>LYCEE POLYVALENT D ARTAGNAN LYCEE DES METIERS</t>
  </si>
  <si>
    <t>NOGARO</t>
  </si>
  <si>
    <t>0330033G</t>
  </si>
  <si>
    <t>LYCEE PROFESSIONNEL DES MENUTS</t>
  </si>
  <si>
    <t>0330119A</t>
  </si>
  <si>
    <t>LYCEE PROFESSIONNEL JEHAN DUPERIER</t>
  </si>
  <si>
    <t>SAINT MEDARD EN JALLES</t>
  </si>
  <si>
    <t>0330135T</t>
  </si>
  <si>
    <t>0331501C</t>
  </si>
  <si>
    <t>LYCEE GENERAL ET TECHNOLOGIQUE PRIVE SAINTE MARIE BASTIDE</t>
  </si>
  <si>
    <t>0331503E</t>
  </si>
  <si>
    <t>LYCEE GENERAL PRIVE SAINTE MARIE GRAND LEBRUN</t>
  </si>
  <si>
    <t>0331556M</t>
  </si>
  <si>
    <t>LGT PRIVE SAINTE FAMILLE SAINTONGE LYCEE DES METIERS DE L INDUSTRIE ET DU BATIMENT</t>
  </si>
  <si>
    <t>0331561T</t>
  </si>
  <si>
    <t>LYCEE PROFESSIONNEL PRIVE LA RUCHE LYCEE DES METIERS DE LA RELATION A L USAGER AU CLIENT A L HUMAIN ET A L ENTREPRISE</t>
  </si>
  <si>
    <t>0331760J</t>
  </si>
  <si>
    <t>LYCEE GENERAL ET TECHNOLOGIQUE FERNAND DAGUIN</t>
  </si>
  <si>
    <t>0332468D</t>
  </si>
  <si>
    <t>LYCEE TECHNOLOGIQUE ST LOUIS LYCEE DES METIERS DE LA BIOLOGIE ET DE LA CHIMIE</t>
  </si>
  <si>
    <t>0332497K</t>
  </si>
  <si>
    <t>LYCEE PROFESSIONNEL PRIVE SAINT VINCENT DE PAUL LYCEE DES METIERS DE LA COMMUNICATION DE LA MODE ET DES SERVICES AUX PERSONNES ET AUX ENTREPRISES</t>
  </si>
  <si>
    <t>0332724G</t>
  </si>
  <si>
    <t>LYCEE GENERAL NORD BASSIN SIMONE VEIL</t>
  </si>
  <si>
    <t>ANDERNOS LES BAINS</t>
  </si>
  <si>
    <t>0332747G</t>
  </si>
  <si>
    <t>LYCEE GENERAL ET TECHNOLOGIQUE JEAN CONDORCET</t>
  </si>
  <si>
    <t>0332781U</t>
  </si>
  <si>
    <t>LYCEE PROFESSIONNEL DE L ESTUAIRE</t>
  </si>
  <si>
    <t>0333406Y</t>
  </si>
  <si>
    <t>LYCEE GENERAL STAM SAINT ANDRÉ SAINTE MARIE</t>
  </si>
  <si>
    <t>SAINT ANDRE DE CUBZAC</t>
  </si>
  <si>
    <t>0340009A</t>
  </si>
  <si>
    <t>LYCEE GENERAL ET TECHNOLOGIQUE HENRI IV</t>
  </si>
  <si>
    <t>0340028W</t>
  </si>
  <si>
    <t>LYCEE POLYVALENT JOSEPH VALLOT</t>
  </si>
  <si>
    <t>LODEVE</t>
  </si>
  <si>
    <t>0340039H</t>
  </si>
  <si>
    <t>0340059E</t>
  </si>
  <si>
    <t>0340078A</t>
  </si>
  <si>
    <t>LYCEE PROFESSIONNEL CHARLES DE GAULLE LYCEE DES METIERS DE LA COMMERCIALISATION ET DE LA RESTAURATION</t>
  </si>
  <si>
    <t>0340871M</t>
  </si>
  <si>
    <t>LYCEE GENERAL ET TECHNOLOGIQUE PRIVE LA TRINITE</t>
  </si>
  <si>
    <t>0341521U</t>
  </si>
  <si>
    <t>LYCEE POLYVALENT PRIVE SAINT JOSEPH PIERRE ROUGE</t>
  </si>
  <si>
    <t>MONTFERRIER SUR LEZ</t>
  </si>
  <si>
    <t>0341736C</t>
  </si>
  <si>
    <t>0341794R</t>
  </si>
  <si>
    <t>LYCEE POLYVALENT JEAN FRANCOIS CHAMPOLLION LYCEE DES METIERS DE LA COMMUNICATION ET DES USAGES DU NUMERIQUE</t>
  </si>
  <si>
    <t>LATTES</t>
  </si>
  <si>
    <t>0341921D</t>
  </si>
  <si>
    <t>LYCEE POLYVALENT GEORGES POMPIDOU</t>
  </si>
  <si>
    <t>CASTELNAU LE LEZ</t>
  </si>
  <si>
    <t>0342090M</t>
  </si>
  <si>
    <t>LYCEE POLYVALENT VICTOR HUGO</t>
  </si>
  <si>
    <t>0342225J</t>
  </si>
  <si>
    <t>LYCEE POLYVALENT GEORGES FRECHE LYCEE DES METIERS DE LA GASTRONOMIE DE L HOTELLERIE ET DU TOURISME</t>
  </si>
  <si>
    <t>0350022J</t>
  </si>
  <si>
    <t>LYCEE GENERAL ET TECHNOLOGIQUE BEAUMONT</t>
  </si>
  <si>
    <t>0350050P</t>
  </si>
  <si>
    <t>LYCEE PROFESSIONNEL BEL AIR LYCEE DES METIERS DE LA LOGISTIQUE DU TRANSPORT ET DE LA MAINTENANCE DES VEHICULES</t>
  </si>
  <si>
    <t>TINTENIAC</t>
  </si>
  <si>
    <t>0350769W</t>
  </si>
  <si>
    <t>LYCEE POLYVALENT PRIVE JEAN BAPTISTE LE TAILLANDIER LYCEE DES METIERS DE LA VENTE ET DU COMMERCE</t>
  </si>
  <si>
    <t>0350776D</t>
  </si>
  <si>
    <t>LYCEE POLYVALENT PRIVE SAINT VINCENT PROVIDENCE</t>
  </si>
  <si>
    <t>0350797B</t>
  </si>
  <si>
    <t>LYCEE POLYVALENT PRIVE JEANNE D ARC LYCEE DES METIERS DU TOURISME LYCEE DES METIERS DU SECTEUR SANITAIRE ET DE L INTERVENTION SOCIALE</t>
  </si>
  <si>
    <t>0352341E</t>
  </si>
  <si>
    <t>BRUZ</t>
  </si>
  <si>
    <t>0352950S</t>
  </si>
  <si>
    <t>LYCEE GENERAL ET TECHNOLOGIQUE SIMONE VEIL</t>
  </si>
  <si>
    <t>LIFFRE</t>
  </si>
  <si>
    <t>0360009P</t>
  </si>
  <si>
    <t>0360024F</t>
  </si>
  <si>
    <t>LYCEE POLYVALENT BALZAC D ALEMBERT LYCEE DES METIERS DU CUIR DE LA LOGISTIQUE ET DU TRANSPORT</t>
  </si>
  <si>
    <t>0370009J</t>
  </si>
  <si>
    <t>0370039S</t>
  </si>
  <si>
    <t>LYCEE GENERAL ET TECHNOLOGIQUE PAUL LOUIS COURIER</t>
  </si>
  <si>
    <t>0370749N</t>
  </si>
  <si>
    <t>LYCEE GENERAL ET TECHNOLOGIQUE PRIVE SAINTE MARGUERITE</t>
  </si>
  <si>
    <t>CHAMBRAY LES TOURS</t>
  </si>
  <si>
    <t>0371418R</t>
  </si>
  <si>
    <t>LYCEE GENERAL ET TECHNOLOGIQUE JACQUES DE VAUCANSON</t>
  </si>
  <si>
    <t>0380023U</t>
  </si>
  <si>
    <t>LYCEE PROFESSIONNEL JACQUES PREVERT</t>
  </si>
  <si>
    <t>FONTAINE</t>
  </si>
  <si>
    <t>0380029A</t>
  </si>
  <si>
    <t>LYCEE GENERAL ET TECHNOLOGIQUE LES EAUX CLAIRES</t>
  </si>
  <si>
    <t>0380035G</t>
  </si>
  <si>
    <t>LYCEE POLYVALENT LESDIGUIERES LYCEE DES METIERS DE L HOTELLERIE ET DU TOURISME</t>
  </si>
  <si>
    <t>0380083J</t>
  </si>
  <si>
    <t>LYCEE POLYVALENT GALILEE LYCEE DES METIERS DE LA CHIMIE ET DES PROCESS INDUSTRIELS</t>
  </si>
  <si>
    <t>0380091T</t>
  </si>
  <si>
    <t>LYCEE POLYVALENT EDOUARD HERRIOT</t>
  </si>
  <si>
    <t>0381599G</t>
  </si>
  <si>
    <t>LYCEE POLYVALENT DE L EDIT</t>
  </si>
  <si>
    <t>ROUSSILLON</t>
  </si>
  <si>
    <t>0381683Y</t>
  </si>
  <si>
    <t>LYCEE GENERAL ET TECHNOLOGIQUE PRIVE NOTRE DAME DES VICTOIRES</t>
  </si>
  <si>
    <t>0381758E</t>
  </si>
  <si>
    <t>LYCEE PROFESSIONNEL PRIVE LES CHARMILLES LYCEE DES METIERS DU TERTIAIRE</t>
  </si>
  <si>
    <t>0381809K</t>
  </si>
  <si>
    <t>LYCEE PROFESSIONNEL PRIVE LES GORGES LYCEE DES METIERS DU COMMERCE DU SOCIAL ET DES SERVICES A LA PERSONNE</t>
  </si>
  <si>
    <t>0382169B</t>
  </si>
  <si>
    <t>LYCEE PROFESSIONNEL PRIVE LES PRAIRIES</t>
  </si>
  <si>
    <t>0382270L</t>
  </si>
  <si>
    <t>LYCEE GENERAL ET TECHNOLOGIQUE PIERRE DU TERRAIL</t>
  </si>
  <si>
    <t>PONTCHARRA</t>
  </si>
  <si>
    <t>0383072H</t>
  </si>
  <si>
    <t>LYCEE POLYVALENT PRIVE SAINT MARC</t>
  </si>
  <si>
    <t>NIVOLAS VERMELLE</t>
  </si>
  <si>
    <t>0383550C</t>
  </si>
  <si>
    <t>LYCEE PRIVE JEAN PAUL II</t>
  </si>
  <si>
    <t>VILLEMOIRIEU</t>
  </si>
  <si>
    <t>0390012B</t>
  </si>
  <si>
    <t>LYCEE GENERAL CHARLES NODIER</t>
  </si>
  <si>
    <t>0390015E</t>
  </si>
  <si>
    <t>LYCEE PROFESSIONNEL JACQUES PREVERT LYCEE DES METIERS DE LA MODE ET DE L ESTHETIQUE</t>
  </si>
  <si>
    <t>0391146J</t>
  </si>
  <si>
    <t>LYCEE POLYVALENT PRIVE PASTEUR MONT ROLAND</t>
  </si>
  <si>
    <t>0400017B</t>
  </si>
  <si>
    <t>LYCEE GENERAL ET TECHNOLOGIQUE VICTOR DURUY</t>
  </si>
  <si>
    <t>0400018C</t>
  </si>
  <si>
    <t>LYCEE GENERAL ET TECHNOLOGIQUE CHARLES DESPIAU</t>
  </si>
  <si>
    <t>0400097N</t>
  </si>
  <si>
    <t>LYCEE PROFESSIONNEL JEAN GARNIER LYCEE DES METIERS DU BATIMENT</t>
  </si>
  <si>
    <t>MORCENX LA NOUVELLE</t>
  </si>
  <si>
    <t>0420014M</t>
  </si>
  <si>
    <t>LYCEE GENERAL ET TECHNOLOGIQUE JACOB HOLTZER</t>
  </si>
  <si>
    <t>0420018S</t>
  </si>
  <si>
    <t>LYCEE GENERAL ET TECHNOLOGIQUE BEAUREGARD</t>
  </si>
  <si>
    <t>0420040R</t>
  </si>
  <si>
    <t>LYCEE GENERAL ET TECHNOLOGIQUE CLAUDE LEBOIS LYCEE DES METIERS TRANSPORT ET LOGISTIQUE LYCEE DES METIERS CHAUDRONNERIE ET USINAGE</t>
  </si>
  <si>
    <t>0420065T</t>
  </si>
  <si>
    <t>LYCEE PROFESSIONNEL DU HAUT FOREZ LYCEE DES METIERS DE LA RESTAURATION ET DES SERVICES A LA PERSONNE</t>
  </si>
  <si>
    <t>VERRIERES EN FOREZ</t>
  </si>
  <si>
    <t>0420074C</t>
  </si>
  <si>
    <t>LYCEE PROFESSIONNEL ALBERT CAMUS</t>
  </si>
  <si>
    <t>0420973E</t>
  </si>
  <si>
    <t>LYCEE GENERAL ET TECHNOLOGIQUE PRIVE SAINT PAUL FOREZ</t>
  </si>
  <si>
    <t>0420985T</t>
  </si>
  <si>
    <t>LYCEE PROFESSIONNEL PRIVE SAINTE CLAIRE LYCEE DES METIERS DE LA MAINTENANCE ET DES ENERGIES</t>
  </si>
  <si>
    <t>SURY LE COMTAL</t>
  </si>
  <si>
    <t>0420992A</t>
  </si>
  <si>
    <t>LYCEE PROFESSIONNEL SAINT JOSEPH</t>
  </si>
  <si>
    <t>0421006R</t>
  </si>
  <si>
    <t>LYCEE PROFESSIONNEL PRIVE SAINT ENNEMOND LYCEE DES METIERS DE L ACCOMPAGNEMENT DE LA PERSONNE ET DES ORGANISATIONS</t>
  </si>
  <si>
    <t>0421020F</t>
  </si>
  <si>
    <t>LYCEE GENERAL PRIVE ENSEMBLE SCOLAIRE LA SALLE SITE SAINT LOUIS</t>
  </si>
  <si>
    <t>0421021G</t>
  </si>
  <si>
    <t>LYCEE GENERAL PRIVE EXTERNAT SAINT MICHEL</t>
  </si>
  <si>
    <t>0421025L</t>
  </si>
  <si>
    <t>0421788R</t>
  </si>
  <si>
    <t>LYCEE GENERAL ET TECHNOLOGIQUE DU FOREZ</t>
  </si>
  <si>
    <t>FEURS</t>
  </si>
  <si>
    <t>0430023S</t>
  </si>
  <si>
    <t>LYCEE PROFESSIONNEL AUGUSTE AYMARD</t>
  </si>
  <si>
    <t>ESPALY SAINT MARCEL</t>
  </si>
  <si>
    <t>0430058E</t>
  </si>
  <si>
    <t>LYCEE GENERAL ET TECHNOLOGIQUE PRIVE NOTRE DAME DU CHATEAU</t>
  </si>
  <si>
    <t>0440005S</t>
  </si>
  <si>
    <t>LYCEE POLYVALENT GUY MOQUET ETIENNE LENOIR</t>
  </si>
  <si>
    <t>0440069L</t>
  </si>
  <si>
    <t>0440149Y</t>
  </si>
  <si>
    <t>0440151A</t>
  </si>
  <si>
    <t>0440163N</t>
  </si>
  <si>
    <t>0440172Y</t>
  </si>
  <si>
    <t>LYCEE GENERAL PRIVE LA PERVERIE SACRE COEUR</t>
  </si>
  <si>
    <t>0440261V</t>
  </si>
  <si>
    <t>LYCEE PROFESSIONNEL PRIVE SAINT THOMAS D AQUIN</t>
  </si>
  <si>
    <t>0440267B</t>
  </si>
  <si>
    <t>LYCEE PROFESSIONNEL PRIVE PIERRE MASSON LYCEE DES METIERS DE LA COIFFURE</t>
  </si>
  <si>
    <t>0440288Z</t>
  </si>
  <si>
    <t>0440315D</t>
  </si>
  <si>
    <t>LYCEE PROFESSIONNEL ANDRE BOULLOCHE</t>
  </si>
  <si>
    <t>0440537V</t>
  </si>
  <si>
    <t>LYCEE PROFESSIONNEL LES SAVARIERES</t>
  </si>
  <si>
    <t>0441552Y</t>
  </si>
  <si>
    <t>LYCEE POLYVALENT LES BOURDONNIERES</t>
  </si>
  <si>
    <t>0441823T</t>
  </si>
  <si>
    <t>LYCEE PROFESSIONNEL HEINLEX LYCEE DES METIERS DE LA CHIMIE</t>
  </si>
  <si>
    <t>0441992B</t>
  </si>
  <si>
    <t>LYCEE GENERAL ET TECHNOLOGIQUE PAYS DE RETZ</t>
  </si>
  <si>
    <t>PORNIC</t>
  </si>
  <si>
    <t>0442112G</t>
  </si>
  <si>
    <t>LYCEE GENERAL GALILEE</t>
  </si>
  <si>
    <t>0442699V</t>
  </si>
  <si>
    <t>LYCEE GENERAL PRIVE EXTERNAT CHAVAGNES</t>
  </si>
  <si>
    <t>0442924P</t>
  </si>
  <si>
    <t>SAVENAY</t>
  </si>
  <si>
    <t>0450064A</t>
  </si>
  <si>
    <t>LYCEE PROFESSIONNEL GAUDIER BRZESKA LYCEE DES METIERS DU BATIMENT ET DE L ENERGIE DES TRAVAUX PUBLICS ET DU GEOMETRE</t>
  </si>
  <si>
    <t>0450066C</t>
  </si>
  <si>
    <t>LYCEE PROFESSIONNEL MAL LECLERC LYCEE DES METIERS DE LA MAINTENANCE AUTOMOBILE DES EQUIPEMENTS INDUSTRIELS DU TRANSPORTS ET DE LA LOGISTIQUE</t>
  </si>
  <si>
    <t>SAINT JEAN DE LA RUELLE</t>
  </si>
  <si>
    <t>0450110A</t>
  </si>
  <si>
    <t>0450750W</t>
  </si>
  <si>
    <t>LYCEE PROFESSIONNEL JEAN DE LA TAILLE LYCEE DES METIERS DE L ELECTROTECHNIQUE ET DE LA MAINTENANCE INDUSTRIELLE DE L HOTELLERIE ET DU COMMERCE</t>
  </si>
  <si>
    <t>0450758E</t>
  </si>
  <si>
    <t>LYCEE POLYVALENT PRIVE ST PAUL BOURDON BLANC LYCEE DES METIERS DU MANAGEMENT ET DE LA COMMUNICATION</t>
  </si>
  <si>
    <t>0450764L</t>
  </si>
  <si>
    <t>LYCEE PROFESSIONNEL PRIVE ECBG</t>
  </si>
  <si>
    <t>0451067R</t>
  </si>
  <si>
    <t>LYCEE PROFESSIONNEL JEAN LURCAT LYCEE DES METIERS DE L ENERGIE DES STRUCTURES METALLIQUES ET DU TERTIAIRE</t>
  </si>
  <si>
    <t>FLEURY LES AUBRAIS</t>
  </si>
  <si>
    <t>0451304Y</t>
  </si>
  <si>
    <t>LYCEE PROFESSIONNEL HOTELIER DE L ORLEANAIS LYCEE DES METIERS DE L HOTELLERIE ET DE LA RESTAURATION</t>
  </si>
  <si>
    <t>OLIVET</t>
  </si>
  <si>
    <t>0451484U</t>
  </si>
  <si>
    <t>0451526P</t>
  </si>
  <si>
    <t>LYCEE GENERAL ET TECHNOLOGIQUE CHARLES PEGUY</t>
  </si>
  <si>
    <t>0460007H</t>
  </si>
  <si>
    <t>LYCEE GENERAL ET TECHNOLOGIQUE CLEMENT MAROT</t>
  </si>
  <si>
    <t>0460028F</t>
  </si>
  <si>
    <t>LYCEE POLYVALENT LOUIS VICAT LYCEE DES METIERS CONSTRUCTION ET ENERGETIQUE BATIMENT</t>
  </si>
  <si>
    <t>0460051F</t>
  </si>
  <si>
    <t>LYCEE PROFESSIONNEL CLEMENT MAROT LYCEE DES METIERS DU TERTIAIRE ET DU SOCIAL</t>
  </si>
  <si>
    <t>0470004Z</t>
  </si>
  <si>
    <t>LYCEE PROFESSIONNEL ANTOINE LOMET</t>
  </si>
  <si>
    <t>0480019K</t>
  </si>
  <si>
    <t>LYCEE PROFESSIONNEL EMILE PEYTAVIN LYCEE DES METIERS</t>
  </si>
  <si>
    <t>0490005P</t>
  </si>
  <si>
    <t>LYCEE PROFESSIONNEL SIMONE VEIL</t>
  </si>
  <si>
    <t>0490054T</t>
  </si>
  <si>
    <t>LYCEE POLYVALENT FERNAND RENAUDEAU LYCEE DES METIERS DE LA MODE</t>
  </si>
  <si>
    <t>0490055U</t>
  </si>
  <si>
    <t>LYCEE POLYVALENT SADI CARNOT JEAN BERTIN LYCEE DES METIERS DE L HOTELLERIE ET DE LA RESTAURATION</t>
  </si>
  <si>
    <t>0490782J</t>
  </si>
  <si>
    <t>0490835S</t>
  </si>
  <si>
    <t>MAUGES SUR LOIRE</t>
  </si>
  <si>
    <t>0491646Y</t>
  </si>
  <si>
    <t>LYCEE PROFESSIONNEL LUDOVIC MENARD</t>
  </si>
  <si>
    <t>TRELAZE</t>
  </si>
  <si>
    <t>0492148U</t>
  </si>
  <si>
    <t>LYCEE GENERAL ET TECHNOLOGIQUE JEAN BODIN</t>
  </si>
  <si>
    <t>LES PONTS DE CE</t>
  </si>
  <si>
    <t>0500026G</t>
  </si>
  <si>
    <t>LYCEE GENERAL ET TECHNOLOGIQUE CHARLES FRANCOIS LEBRUN</t>
  </si>
  <si>
    <t>0500032N</t>
  </si>
  <si>
    <t>LYCEE PROFESSIONNEL EDMOND DOUCET LYCEE DES METIERS DE LA PRODUCTION INDUSTRIELLE DES OUVRAGES EN BOIS ET DES SERVICES AUX ENTREPRISES</t>
  </si>
  <si>
    <t>0500127S</t>
  </si>
  <si>
    <t>LYCEE TECHNOLOGIQUE PRIVE LE BON SAUVEUR</t>
  </si>
  <si>
    <t>0501219D</t>
  </si>
  <si>
    <t>LYCEE POLYVALENT CURIE COROT</t>
  </si>
  <si>
    <t>0501677B</t>
  </si>
  <si>
    <t>LYCEE PROFESSIONNEL SAUXMARAIS LYCEE DES METIERS DE L AUTOMOBILE DE L INSUSTRIE DES PROCEDES ET DE LA RELATION CLIENT</t>
  </si>
  <si>
    <t>0501825M</t>
  </si>
  <si>
    <t>LYCEE PROFESSIONNEL PRIVE INSTITUT SAINT LO</t>
  </si>
  <si>
    <t>0510037N</t>
  </si>
  <si>
    <t>LYCEE PROFESSIONNEL YSER LYCEE DES METIERS DE L AGENCEMENT DELA TOPOGRAPHIE ET DE LA COMMERCIALISATION</t>
  </si>
  <si>
    <t>0511901P</t>
  </si>
  <si>
    <t>0520008B</t>
  </si>
  <si>
    <t>LYCEE PROFESSIONNEL EUGENE DECOMBLE</t>
  </si>
  <si>
    <t>0520019N</t>
  </si>
  <si>
    <t>LYCEE GENERAL ET TECHNOLOGIQUE PHILIPPE LEBON</t>
  </si>
  <si>
    <t>JOINVILLE</t>
  </si>
  <si>
    <t>0520021R</t>
  </si>
  <si>
    <t>LANGRES</t>
  </si>
  <si>
    <t>0520685M</t>
  </si>
  <si>
    <t>LYCEE GENERAL ET TECHNOLOGIQUE PRIVE OUDINOT</t>
  </si>
  <si>
    <t>0520844K</t>
  </si>
  <si>
    <t>LYCEE GENERAL ET TECHNOLOGIQUE EDME BOUCHARDON</t>
  </si>
  <si>
    <t>0520923W</t>
  </si>
  <si>
    <t>LYCEE PROFESSIONNEL ST EXUPERY</t>
  </si>
  <si>
    <t>0530004S</t>
  </si>
  <si>
    <t>0530011Z</t>
  </si>
  <si>
    <t>LYCEE GENERAL ET TECHNOLOGIQUE DOUANIER ROUSSEAU</t>
  </si>
  <si>
    <t>0530013B</t>
  </si>
  <si>
    <t>LYCEE PROFESSIONNEL ROBERT BURON LYCEE DES METIERS</t>
  </si>
  <si>
    <t>0530016E</t>
  </si>
  <si>
    <t>0530046M</t>
  </si>
  <si>
    <t>LYCEE GENERAL PRIVE SAINT MICHEL</t>
  </si>
  <si>
    <t>0540015Y</t>
  </si>
  <si>
    <t>LYCEE PROFESSIONNEL ENTRE MEURTHE ET SANON LYCEE DES METIERS ENTRE MEURTHE ET SANON</t>
  </si>
  <si>
    <t>DOMBASLE SUR MEURTHE</t>
  </si>
  <si>
    <t>0540030P</t>
  </si>
  <si>
    <t>LYCEE POLYVALENT ALFRED MEZIERES</t>
  </si>
  <si>
    <t>0540032S</t>
  </si>
  <si>
    <t>LYCEE PROFESSIONNEL DARCHE</t>
  </si>
  <si>
    <t>0540060X</t>
  </si>
  <si>
    <t>LYCEE PROFESSIONNEL LA TOURNELLE</t>
  </si>
  <si>
    <t>PONT SAINT VINCENT</t>
  </si>
  <si>
    <t>0540061Y</t>
  </si>
  <si>
    <t>LYCEE MARIE MARVINGT LYCEE DES METIERS DES SERVICES ET DU COMMERCE</t>
  </si>
  <si>
    <t>0540067E</t>
  </si>
  <si>
    <t>LYCEE DES METIERS REGIONAL DU TOULOIS</t>
  </si>
  <si>
    <t>0540086A</t>
  </si>
  <si>
    <t>LYCEE PROFESSIONNEL JEAN MORETTE</t>
  </si>
  <si>
    <t>LANDRES</t>
  </si>
  <si>
    <t>0541312H</t>
  </si>
  <si>
    <t>LYCEE GENERAL PRIVE SAINT PIERRE FOURIER</t>
  </si>
  <si>
    <t>0541318P</t>
  </si>
  <si>
    <t>LYCEE GENERAL PRIVE NOTRE DAME SAINT SIGISBERT</t>
  </si>
  <si>
    <t>0550004F</t>
  </si>
  <si>
    <t>LYCEE PROFESSIONNEL LIGIER RICHIER</t>
  </si>
  <si>
    <t>0551032Y</t>
  </si>
  <si>
    <t>LYCEE PROFESSIONNEL PRIVE SAINTE JEANNE D ARC</t>
  </si>
  <si>
    <t>0560019S</t>
  </si>
  <si>
    <t>JOSSELIN</t>
  </si>
  <si>
    <t>0560025Y</t>
  </si>
  <si>
    <t>LYCEE GENERAL ET TECHNOLOGIQUE DUPUY DE LOME</t>
  </si>
  <si>
    <t>LORIENT</t>
  </si>
  <si>
    <t>0560026Z</t>
  </si>
  <si>
    <t>LYCEE POLYVALENT COLBERT</t>
  </si>
  <si>
    <t>0560027A</t>
  </si>
  <si>
    <t>LYCEE PROFESSIONNEL MARIE LE FRANC LYCEE DES METIERS DE LA VENTE LYCEE DES METIERS DES SERVICES A LA PERSONNE</t>
  </si>
  <si>
    <t>0560039N</t>
  </si>
  <si>
    <t>LYCEE PROFESSIONNEL DU BLAVET LYCEE DES METIERS DU BATIMENT ET DU CONFORT DE L HABITAT</t>
  </si>
  <si>
    <t>0560101F</t>
  </si>
  <si>
    <t>0560181T</t>
  </si>
  <si>
    <t>LYCEE POLYVALENT PRIVE SAINT JOSEPH LA SALLE LYCEE DES METIERS DE L ENERGIE</t>
  </si>
  <si>
    <t>0560198L</t>
  </si>
  <si>
    <t>LYCEE POLYVALENT PRIVE SAINT JOSEPH LA SALLE LYCEE DES METIERS</t>
  </si>
  <si>
    <t>0560200N</t>
  </si>
  <si>
    <t>LYCEE POLYVALENT PRIVE NOTRE DAME LE MENIMUR LYCEE DES METIERS DE LA SANTE ET DU SOCIAL</t>
  </si>
  <si>
    <t>0561507J</t>
  </si>
  <si>
    <t>LYCEE PROFESSIONNEL LOUIS ARMAND</t>
  </si>
  <si>
    <t>LOCMINE</t>
  </si>
  <si>
    <t>0561698S</t>
  </si>
  <si>
    <t>LYCEE POLYVALENT JEAN MACE</t>
  </si>
  <si>
    <t>LANESTER</t>
  </si>
  <si>
    <t>0570023R</t>
  </si>
  <si>
    <t>0570029X</t>
  </si>
  <si>
    <t>0570030Y</t>
  </si>
  <si>
    <t>LYCEE POLYVALENT BLAISE PASCAL LYCEE DES METIERS</t>
  </si>
  <si>
    <t>0570054Z</t>
  </si>
  <si>
    <t>LYCEE GENERAL ET TECHNOLOGIQUE FABERT</t>
  </si>
  <si>
    <t>0570085H</t>
  </si>
  <si>
    <t>LYCEE POLYVALENT JEAN VICTOR PONCELET LYCEE DES METIERS DU TERTIAIRE</t>
  </si>
  <si>
    <t>0570107G</t>
  </si>
  <si>
    <t>0570108H</t>
  </si>
  <si>
    <t>LYCEE POLYVALENT LA BRIQUERIE LYCEE DES METIERS DES SCIENCES ET DES TECHNIQUES</t>
  </si>
  <si>
    <t>0570210U</t>
  </si>
  <si>
    <t>PELTRE</t>
  </si>
  <si>
    <t>0570214Y</t>
  </si>
  <si>
    <t>LYCEE GENERAL PRIVE SAINTE CHRETIENNE</t>
  </si>
  <si>
    <t>0570313F</t>
  </si>
  <si>
    <t>0572101Z</t>
  </si>
  <si>
    <t>LYCEE PROFESSIONNEL PRIVE SAINT ANDRE LYCEE DES METIERS DE L OPTIQUE</t>
  </si>
  <si>
    <t>OTTANGE</t>
  </si>
  <si>
    <t>0573080N</t>
  </si>
  <si>
    <t>LYCEE PROFESSIONNEL HURLEVENT</t>
  </si>
  <si>
    <t>BEHREN LES FORBACH</t>
  </si>
  <si>
    <t>0573320Z</t>
  </si>
  <si>
    <t>LYCEE POLYVALENT RAYMOND MONDON LYCEE DES METIERS DE L HOTELLERIE RESTAURATION</t>
  </si>
  <si>
    <t>0573326F</t>
  </si>
  <si>
    <t>LYCEE POLYVALENT LOUIS CASIMIR TEYSSIER</t>
  </si>
  <si>
    <t>BITCHE</t>
  </si>
  <si>
    <t>0573491K</t>
  </si>
  <si>
    <t>LYCEE POLYVALENT ERNEST CUVELETTE</t>
  </si>
  <si>
    <t>0573770N</t>
  </si>
  <si>
    <t>ENSEMBLE SCOLAIRE ST ETIENNE</t>
  </si>
  <si>
    <t>0580032V</t>
  </si>
  <si>
    <t>LYCEE GENERAL ET TECHNOLOGIQUE RAOUL FOLLEREAU</t>
  </si>
  <si>
    <t>0580552K</t>
  </si>
  <si>
    <t>LYCEE PROFESSIONNEL FRANCOIS MITTERRAND LYCEE DES METIERS</t>
  </si>
  <si>
    <t>CHATEAU CHINON (VILLE)</t>
  </si>
  <si>
    <t>0580753D</t>
  </si>
  <si>
    <t>LYCEE GENERAL ET TECHNOLOGIQUE ALAIN COLAS</t>
  </si>
  <si>
    <t>0590042A</t>
  </si>
  <si>
    <t>LYCEE POLYVALENT CAMILLE DESMOULINS</t>
  </si>
  <si>
    <t>LE CATEAU CAMBRESIS</t>
  </si>
  <si>
    <t>0590073J</t>
  </si>
  <si>
    <t>LYCEE GENERAL ET TECHNOLOGIQUE AUGUSTE ANGELLIER</t>
  </si>
  <si>
    <t>0590110Z</t>
  </si>
  <si>
    <t>LYCEE GENERAL ET TECHNOLOGIQUE JEAN PERRIN</t>
  </si>
  <si>
    <t>0590117G</t>
  </si>
  <si>
    <t>LYCEE GENERAL ET TECHNOLOGIQUE LOUIS PASTEUR</t>
  </si>
  <si>
    <t>0590119J</t>
  </si>
  <si>
    <t>LYCEE GENERAL ET TECHNOLOGIQUE FAIDHERBE</t>
  </si>
  <si>
    <t>0590125R</t>
  </si>
  <si>
    <t>LYCEE HOTELIER INTERNATIONAL DE LILLE</t>
  </si>
  <si>
    <t>0590143K</t>
  </si>
  <si>
    <t>LYCEE GENERAL YVES KERNANEC</t>
  </si>
  <si>
    <t>0590184E</t>
  </si>
  <si>
    <t>LYCEE GENERAL JEAN ROSTAND</t>
  </si>
  <si>
    <t>0590216P</t>
  </si>
  <si>
    <t>LYCEE PROFESSIONNEL LE CORBUSIER</t>
  </si>
  <si>
    <t>0590233H</t>
  </si>
  <si>
    <t>LYCEE POLYVALENT EMILE ZOLA</t>
  </si>
  <si>
    <t>0590257J</t>
  </si>
  <si>
    <t>LYCEE PROFESSIONNEL ILE DE FLANDRE</t>
  </si>
  <si>
    <t>0590266U</t>
  </si>
  <si>
    <t>LYCEE PROFESSIONNEL CESAR BAGGIO</t>
  </si>
  <si>
    <t>0592935V</t>
  </si>
  <si>
    <t>LYCEE GENERAL PRIVE LA CROIX BLANCHE</t>
  </si>
  <si>
    <t>BONDUES</t>
  </si>
  <si>
    <t>0592944E</t>
  </si>
  <si>
    <t>LYCEE GENERAL PRIVE SAINT ADRIEN LA SALLE</t>
  </si>
  <si>
    <t>0592963A</t>
  </si>
  <si>
    <t>0593058D</t>
  </si>
  <si>
    <t>LYCEE POLYVALENT PRIVE VAUBAN LYCEE DES METIERS</t>
  </si>
  <si>
    <t>0593061G</t>
  </si>
  <si>
    <t>LYCEE POLYVALENT PRIVE SAINT LUC</t>
  </si>
  <si>
    <t>0593063J</t>
  </si>
  <si>
    <t>BAILLEUL</t>
  </si>
  <si>
    <t>0593079B</t>
  </si>
  <si>
    <t>LYCEE PROFESSIONNEL PRIVE SAINTE BERNADETTE</t>
  </si>
  <si>
    <t>JEUMONT</t>
  </si>
  <si>
    <t>0593113N</t>
  </si>
  <si>
    <t>LYCEE GENERAL PRIVE SAINTE CLAIRE</t>
  </si>
  <si>
    <t>0593141U</t>
  </si>
  <si>
    <t>0594400M</t>
  </si>
  <si>
    <t>LYCEE PROFESSIONNEL AUTOMOBILE ET TRANSPORTS</t>
  </si>
  <si>
    <t>0594404S</t>
  </si>
  <si>
    <t>MONTIGNY EN OSTREVENT</t>
  </si>
  <si>
    <t>0594653M</t>
  </si>
  <si>
    <t>LYCEE PROFESSIONNEL ANDRE JURENIL</t>
  </si>
  <si>
    <t>0595885B</t>
  </si>
  <si>
    <t>SIN LE NOBLE</t>
  </si>
  <si>
    <t>0595918M</t>
  </si>
  <si>
    <t>LYCEE PROFESSIONNEL PRIVE EPID LYCEE DES METIERS DES INDUSTRIES ET DES INNOVATIONS TECHNOLOGIQUES</t>
  </si>
  <si>
    <t>0596335R</t>
  </si>
  <si>
    <t>LYCEE GENERAL PRIVE INSTITUT D ANCHIN</t>
  </si>
  <si>
    <t>PECQUENCOURT</t>
  </si>
  <si>
    <t>0600004D</t>
  </si>
  <si>
    <t>LYCEE PROFESSIONNEL LES JACOBINS</t>
  </si>
  <si>
    <t>0600016S</t>
  </si>
  <si>
    <t>LYCEE PROFESSIONNEL MIREILLE GRENET INDUSTRIEL LYCEE DES METIERS DE L INNOVATION ET DES SERVICES</t>
  </si>
  <si>
    <t>0600062S</t>
  </si>
  <si>
    <t>LYCEE PROFESSIONNEL MARIE CURIE LYCEE DES METIERS DE L INGENIERIE DES INDUSTRIES MECANIQUES CHIMIQUES ET BIOTECHNOLOGIQUES</t>
  </si>
  <si>
    <t>NOGENT SUR OISE</t>
  </si>
  <si>
    <t>0601470X</t>
  </si>
  <si>
    <t>LYCEE PROFESSIONNEL LAVOISIER LYCEE DES METIERS DES SERVICES DU NUMERIQUE A LA PERSONNE DE L ENTREPRISE A L INNOVATION</t>
  </si>
  <si>
    <t>MERU</t>
  </si>
  <si>
    <t>0601865B</t>
  </si>
  <si>
    <t>0601946P</t>
  </si>
  <si>
    <t>LYCEE PROFESSIONNEL PRIVE JEAN PAUL II</t>
  </si>
  <si>
    <t>0610001V</t>
  </si>
  <si>
    <t>LYCEE GENERAL ET TECHNOLOGIQUE ALAIN</t>
  </si>
  <si>
    <t>ALENCON</t>
  </si>
  <si>
    <t>0610004Y</t>
  </si>
  <si>
    <t>LYCEE PROFESSIONNEL MARCEL MEZEN LYCEE DES METIERS DE L AUTOMOBILE ET DU TRANSPORT</t>
  </si>
  <si>
    <t>0610026X</t>
  </si>
  <si>
    <t>LYCEE POLYVALENT NAPOLEON</t>
  </si>
  <si>
    <t>L AIGLE</t>
  </si>
  <si>
    <t>0610700E</t>
  </si>
  <si>
    <t>LYCEE GENERAL PRIVE BIGNON</t>
  </si>
  <si>
    <t>MORTAGNE AU PERCHE</t>
  </si>
  <si>
    <t>0610702G</t>
  </si>
  <si>
    <t>LYCEE GENERAL PRIVE MARIE IMMACULEE</t>
  </si>
  <si>
    <t>SEES</t>
  </si>
  <si>
    <t>0620042J</t>
  </si>
  <si>
    <t>0620043K</t>
  </si>
  <si>
    <t>LYCEE PROFESSIONNEL SALVADOR ALLENDE</t>
  </si>
  <si>
    <t>0620093P</t>
  </si>
  <si>
    <t>LYCEE GENERAL ET TECHNOLOGIQUE FERNAND DARCHICOURT</t>
  </si>
  <si>
    <t>0620109G</t>
  </si>
  <si>
    <t>LYCEE GENERAL ET TECHNOLOGIQUE AUGUSTE BEHAL</t>
  </si>
  <si>
    <t>0620131F</t>
  </si>
  <si>
    <t>LYCEE PROFESSIONNEL DES DEUX CAPS</t>
  </si>
  <si>
    <t>MARQUISE</t>
  </si>
  <si>
    <t>0620140R</t>
  </si>
  <si>
    <t>LYCEE POLYVALENT EUGENE WOILLEZ</t>
  </si>
  <si>
    <t>0620150B</t>
  </si>
  <si>
    <t>LYCEE PROFESSIONNEL IRENE JOLIOT CURIE</t>
  </si>
  <si>
    <t>OIGNIES</t>
  </si>
  <si>
    <t>0620162P</t>
  </si>
  <si>
    <t>LYCEE PROFESSIONNEL DU PAYS DE SAINT OMER</t>
  </si>
  <si>
    <t>0622110G</t>
  </si>
  <si>
    <t>0622150A</t>
  </si>
  <si>
    <t>LYCEE POLYVALENT PRIVE JEAN BOSCO</t>
  </si>
  <si>
    <t>GUINES</t>
  </si>
  <si>
    <t>0622192W</t>
  </si>
  <si>
    <t>LYCEE PROFESSIONNEL PRIVE SAINT JOSEPH LYCEE DES METIERS MANAGEMENT GESTION COMMUNICATION</t>
  </si>
  <si>
    <t>0622195Z</t>
  </si>
  <si>
    <t>FRUGES</t>
  </si>
  <si>
    <t>0622198C</t>
  </si>
  <si>
    <t>LYCEE POLYVALENT PRIVE SAINT JOSEPH LYCEE DES METIERS DES ENERGIES DU NUMERIQUE ET DE L AUTOMATION MANAGEMENT GESTION COMMUNICATION SANTE SOCIAL</t>
  </si>
  <si>
    <t>0622807P</t>
  </si>
  <si>
    <t>LYCEE POLYVALENT HOTELIER</t>
  </si>
  <si>
    <t>LE TOUQUET PARIS PLAGE</t>
  </si>
  <si>
    <t>0622949U</t>
  </si>
  <si>
    <t>LYCEE GENERAL ET TECHNOLOGIQUE MARIETTE</t>
  </si>
  <si>
    <t>0623902E</t>
  </si>
  <si>
    <t>LYCEE POLYVALENT MARGUERITE YOURCENAR LYCEE DES METIERS DE LA PERSONNE SANTE SOCIAL ET DE L HOTELLERIE RESTAURATION</t>
  </si>
  <si>
    <t>BEUVRY</t>
  </si>
  <si>
    <t>0623915U</t>
  </si>
  <si>
    <t>0630069H</t>
  </si>
  <si>
    <t>LYCEE GENERAL ET TECHNOLOGIQUE JEAN ZAY</t>
  </si>
  <si>
    <t>0631033F</t>
  </si>
  <si>
    <t>LYCEE GENERAL ET TECHNOLOGIQUE PRIVE SEVIGNE SAINT LOUIS</t>
  </si>
  <si>
    <t>0631075B</t>
  </si>
  <si>
    <t>LYCEE GENERAL ET TECHNOLOGIQUE PRIVE SAINT ALYRE</t>
  </si>
  <si>
    <t>0631480S</t>
  </si>
  <si>
    <t>LYCEE PROFESSIONNEL PIERRE BOULANGER LYCEE DES METIERS DES TRANSPORTS DE LA LOGISTIQUE ET DE LA MAINTENANCE AUTOMOBILE</t>
  </si>
  <si>
    <t>PONT DU CHATEAU</t>
  </si>
  <si>
    <t>0640013S</t>
  </si>
  <si>
    <t>LYCEE PROFESSIONNEL PAUL BERT LYCEE DES METIERS DU TERTIAIRE ET DES SERVICES</t>
  </si>
  <si>
    <t>0640026F</t>
  </si>
  <si>
    <t>LYCEE PROFESSIONNEL LYCEE DES METIERS DE L HABITAT ET DE L INDUSTRIE</t>
  </si>
  <si>
    <t>GELOS</t>
  </si>
  <si>
    <t>0640044A</t>
  </si>
  <si>
    <t>LYCEE GENERAL ALBERT CAMUS LYCEE DES METIERS DE LA CHIMIE</t>
  </si>
  <si>
    <t>0640055M</t>
  </si>
  <si>
    <t>LYCEE GENERAL LOUIS BARTHOU</t>
  </si>
  <si>
    <t>0640058R</t>
  </si>
  <si>
    <t>LYCEE PROFESSIONNEL HONORE BARADAT</t>
  </si>
  <si>
    <t>0640184C</t>
  </si>
  <si>
    <t>LYCEE PROFESSIONNEL PRIVE MONTPENSIER</t>
  </si>
  <si>
    <t>0641705F</t>
  </si>
  <si>
    <t>LYCEE PROFESSIONNEL PRIVE SAINT JOSEPH LYCEE DES METIERS COMMERCE VENTE ET SANTE SOCIAL</t>
  </si>
  <si>
    <t>0641844G</t>
  </si>
  <si>
    <t>LYCEE POLYVALENT DE NAVARRE</t>
  </si>
  <si>
    <t>SAINT JEAN PIED DE PORT</t>
  </si>
  <si>
    <t>0650025Z</t>
  </si>
  <si>
    <t>LYCEE GENERAL THEOPHILE GAUTIER</t>
  </si>
  <si>
    <t>0650027B</t>
  </si>
  <si>
    <t>LYCEE GENERAL ET TECHNOLOGIQUE JEAN DUPUY</t>
  </si>
  <si>
    <t>0650035K</t>
  </si>
  <si>
    <t>VIC EN BIGORRE</t>
  </si>
  <si>
    <t>0650038N</t>
  </si>
  <si>
    <t>LYCEE GENERAL PIERRE MENDES FRANCE</t>
  </si>
  <si>
    <t>0650885J</t>
  </si>
  <si>
    <t>LYCEE POLYVALENT PRIVE NOTRE DAME DE GARAISON</t>
  </si>
  <si>
    <t>MONLEON MAGNOAC</t>
  </si>
  <si>
    <t>0660011D</t>
  </si>
  <si>
    <t>0660014G</t>
  </si>
  <si>
    <t>0660026V</t>
  </si>
  <si>
    <t>LYCEE PROFESSIONNEL ALFRED SAUVY LYCEE DES METIERS DU BATIMENT</t>
  </si>
  <si>
    <t>VILLELONGUE DELS MONTS</t>
  </si>
  <si>
    <t>0660057D</t>
  </si>
  <si>
    <t>LYCEE CLIMATIQUE ET SPORTIF PIERRE DE COUBERTIN</t>
  </si>
  <si>
    <t>FONT ROMEU ODEILLO VIA</t>
  </si>
  <si>
    <t>0660059F</t>
  </si>
  <si>
    <t>LYCEE GENERAL ET TECHNOLOGIQUE PRIVE NOTRE DAME DE BON SECOURS</t>
  </si>
  <si>
    <t>0670024M</t>
  </si>
  <si>
    <t>LYCEE PROFESSIONNEL ANDRE SIEGFRIED LYCEE DES METIERS</t>
  </si>
  <si>
    <t>0670041F</t>
  </si>
  <si>
    <t>LYCEE GENERAL ET TECHNOLOGIQUE HENRI MECK</t>
  </si>
  <si>
    <t>0670058Z</t>
  </si>
  <si>
    <t>LYCEE PROFESSIONNEL JULES VERNE LYCEE DES METIERS</t>
  </si>
  <si>
    <t>0670062D</t>
  </si>
  <si>
    <t>0670067J</t>
  </si>
  <si>
    <t>LYCEE PROFESSIONNEL HAUTE BRUCHE</t>
  </si>
  <si>
    <t>SCHIRMECK</t>
  </si>
  <si>
    <t>0670071N</t>
  </si>
  <si>
    <t>LYCEE GENERAL ET TECHNOLOGIQUE DOCTEUR KOEBERLE</t>
  </si>
  <si>
    <t>0670078W</t>
  </si>
  <si>
    <t>0670079X</t>
  </si>
  <si>
    <t>LYCEE GENERAL FUSTEL DE COULANGES</t>
  </si>
  <si>
    <t>0670080Y</t>
  </si>
  <si>
    <t>LYCEE GENERAL JEAN BAPTISTE KLEBER</t>
  </si>
  <si>
    <t>0670081Z</t>
  </si>
  <si>
    <t>LYCEE GENERAL SECTIONS INTERNATIONALES</t>
  </si>
  <si>
    <t>0670082A</t>
  </si>
  <si>
    <t>0670084C</t>
  </si>
  <si>
    <t>0670085D</t>
  </si>
  <si>
    <t>LYCEE POLYVALENT LOUIS COUFFIGNAL LYCEE DES METIERS</t>
  </si>
  <si>
    <t>0670089H</t>
  </si>
  <si>
    <t>LYCEE POLYVALENT EMILE MATHIS LYCEE DES METIERS</t>
  </si>
  <si>
    <t>0671602C</t>
  </si>
  <si>
    <t>LYCEE GENERAL ET TECHNOLOGIQUE PRIVE INSTITUTION SAINTE PHILOMENE</t>
  </si>
  <si>
    <t>0671618V</t>
  </si>
  <si>
    <t>LYCEE GENERAL PRIVE SEMINAIRE DE JEUNES</t>
  </si>
  <si>
    <t>WALBOURG</t>
  </si>
  <si>
    <t>0671639T</t>
  </si>
  <si>
    <t>LYCEE GENERAL ET TECHNOLOGIQUE PRIVE INSTITUTION SAINTE CLOTILDE</t>
  </si>
  <si>
    <t>0672614C</t>
  </si>
  <si>
    <t>LYCEE POLYVALENT GEORGES IMBERT</t>
  </si>
  <si>
    <t>SARRE UNION</t>
  </si>
  <si>
    <t>0672616E</t>
  </si>
  <si>
    <t>LYCEE POLYVALENT GUTENBERG LYCEE DES METIERS DES INDUSTRIES GRAPHIQUES</t>
  </si>
  <si>
    <t>0680015X</t>
  </si>
  <si>
    <t>LYCEE GENERAL ET TECHNOLOGIQUE ALFRED KASTLER</t>
  </si>
  <si>
    <t>0680016Y</t>
  </si>
  <si>
    <t>LYCEE POLYVALENT THEODORE DECK</t>
  </si>
  <si>
    <t>0680032R</t>
  </si>
  <si>
    <t>LYCEE GENERAL ET TECHNOLOGIQUE MICHEL DE MONTAIGNE</t>
  </si>
  <si>
    <t>0680034T</t>
  </si>
  <si>
    <t>LYCEE GENERAL ET TECHNOLOGIQUE LOUIS ARMAND</t>
  </si>
  <si>
    <t>0680159D</t>
  </si>
  <si>
    <t>0680161F</t>
  </si>
  <si>
    <t>LYCEE PROFESSIONNEL PRIVE INSTITUTION DON BOSCO</t>
  </si>
  <si>
    <t>0681801N</t>
  </si>
  <si>
    <t>LYCEE POLYVALENT C DE GAULLE LYCEE DES METIERS DE LA SECURITE ET DE L INDUSTRIE</t>
  </si>
  <si>
    <t>PULVERSHEIM</t>
  </si>
  <si>
    <t>0681817F</t>
  </si>
  <si>
    <t>LYCEE POLYVALENT LAZARE DE SCHWENDI LYCEE DES METIERS</t>
  </si>
  <si>
    <t>INGERSHEIM</t>
  </si>
  <si>
    <t>0681882B</t>
  </si>
  <si>
    <t>LYCEE POLYVALENT MARTIN SCHONGAUER</t>
  </si>
  <si>
    <t>0690047B</t>
  </si>
  <si>
    <t>LYCEE PROFESSIONNEL MAGENTA LYCEE DES METIERS DES SERVICES ADMINISTRATIFS</t>
  </si>
  <si>
    <t>0690092A</t>
  </si>
  <si>
    <t>LYCEE PROFESSIONNEL DU 1ER FILM LYCEE DES METIERS DE LA BEAUTE LA COMMUNICATION ET LA RESTAURATION</t>
  </si>
  <si>
    <t>0690104N</t>
  </si>
  <si>
    <t>0690539L</t>
  </si>
  <si>
    <t>LYCEE GENERAL ET TECHNOLOGIQUE PRIVE ASSOMPTION BELLEVUE</t>
  </si>
  <si>
    <t>LA MULATIERE</t>
  </si>
  <si>
    <t>0690542P</t>
  </si>
  <si>
    <t>LYCEE GENERAL ET TECHNOLOGIQUE PRIVE DES CHASSAGNES</t>
  </si>
  <si>
    <t>0690564N</t>
  </si>
  <si>
    <t>LYCEE GENERAL ET TECHNOLOGIQUE PRIVE INSTITUTION DES CHARTREUX</t>
  </si>
  <si>
    <t>0690571W</t>
  </si>
  <si>
    <t>LYCEE GENERAL PRIVE SAINT MARC</t>
  </si>
  <si>
    <t>0690574Z</t>
  </si>
  <si>
    <t>LYCEE GENERAL ET TECHNOLOGIQUE PRIVE CHEVREUL LESTONNAC</t>
  </si>
  <si>
    <t>0690634P</t>
  </si>
  <si>
    <t>LYCEE TECHNOLOGIQUE PRIVE LA MACHE</t>
  </si>
  <si>
    <t>0690671E</t>
  </si>
  <si>
    <t>LYCEE GENERAL ET TECHNOLOGIQUE PRIVE JEAN BAPTISTE DE LA SALLE</t>
  </si>
  <si>
    <t>0690697H</t>
  </si>
  <si>
    <t>LYCEE PROFESSIONNEL PRIVE LA FAVORITE SAINTE THERESE</t>
  </si>
  <si>
    <t>SAINTE FOY LES LYON</t>
  </si>
  <si>
    <t>0691654Y</t>
  </si>
  <si>
    <t>LYCEE GENERAL ET TECHNOLOGIQUE PRIVE CHAMPAGNAT</t>
  </si>
  <si>
    <t>SAINT SYMPHORIEN SUR COISE</t>
  </si>
  <si>
    <t>0692418D</t>
  </si>
  <si>
    <t>LYCEE PROFESSIONNEL MARC SEGUIN</t>
  </si>
  <si>
    <t>0693045K</t>
  </si>
  <si>
    <t>LYCEE PROFESSIONNEL LES CANUTS LYCEE DES METIERS DE L ELECTROTECHNIQUE LYCEE DES METIERS DE LA VENTE</t>
  </si>
  <si>
    <t>0693095P</t>
  </si>
  <si>
    <t>LYCEE PROFESSIONNEL FRANCOIS CEVERT</t>
  </si>
  <si>
    <t>ECULLY</t>
  </si>
  <si>
    <t>0693372R</t>
  </si>
  <si>
    <t>LYCEE PROFESSIONNEL PRIVE CHEVREUL LESTONNAC</t>
  </si>
  <si>
    <t>0693375U</t>
  </si>
  <si>
    <t>0693478F</t>
  </si>
  <si>
    <t>0700038L</t>
  </si>
  <si>
    <t>LYCEE PROFESSIONNEL LUXEMBOURG</t>
  </si>
  <si>
    <t>0701078S</t>
  </si>
  <si>
    <t>LYCEE POLYVALENT LUMIERE</t>
  </si>
  <si>
    <t>LUXEUIL LES BAINS</t>
  </si>
  <si>
    <t>0710011B</t>
  </si>
  <si>
    <t>LYCEE GENERAL PONTUS DE TYARD</t>
  </si>
  <si>
    <t>0710012C</t>
  </si>
  <si>
    <t>LYCEE POLYVALENT NIEPCE BALLEURE</t>
  </si>
  <si>
    <t>0710023P</t>
  </si>
  <si>
    <t>LYCEE GENERAL ET TECHNOLOGIQUE LA PRAT S</t>
  </si>
  <si>
    <t>CLUNY</t>
  </si>
  <si>
    <t>0710080B</t>
  </si>
  <si>
    <t>LYCEE PROFESSIONNEL ALEXANDRE DUMAINE LYCEE DES METIERS</t>
  </si>
  <si>
    <t>0711384U</t>
  </si>
  <si>
    <t>LYCEE PROFESSIONNEL CLAUDIE HAIGNERE</t>
  </si>
  <si>
    <t>BLANZY</t>
  </si>
  <si>
    <t>0711422K</t>
  </si>
  <si>
    <t>LYCEE POLYVALENT HILAIRE DE CHARDONNET</t>
  </si>
  <si>
    <t>0711896A</t>
  </si>
  <si>
    <t>LYCEE POLYVALENT SAINT CHARLES</t>
  </si>
  <si>
    <t>0720012X</t>
  </si>
  <si>
    <t>LYCEE GENERAL ET TECHNOLOGIQUE RACAN</t>
  </si>
  <si>
    <t>0720822C</t>
  </si>
  <si>
    <t>LYCEE POLYVALENT PRIVE STE CATHERINE LYCEE DES METIERS HOTELLERIE RESTAURATION BOULANGERIE PATISSERIE COMMERCE VENTE ESTHETIQUE COSMETIQUE PARFUMERIE</t>
  </si>
  <si>
    <t>0721548S</t>
  </si>
  <si>
    <t>ALLONNES</t>
  </si>
  <si>
    <t>0721549T</t>
  </si>
  <si>
    <t>LYCEE GENERAL PRIVE SAINT PAUL NOTRE DAME</t>
  </si>
  <si>
    <t>LA FERTE BERNARD</t>
  </si>
  <si>
    <t>0730037U</t>
  </si>
  <si>
    <t>LYCEE POLYVALENT PAUL HEROULT</t>
  </si>
  <si>
    <t>SAINT JEAN DE MAURIENNE</t>
  </si>
  <si>
    <t>0730760E</t>
  </si>
  <si>
    <t>0730763H</t>
  </si>
  <si>
    <t>LYCEE GENERAL ET TECHNOLOGIQUE PRIVE SAINT AMBROISE LYCEE DES METIERS DU COMMERCE DE LA GESTION ADMINISTRATIVE ET COMPTABLE</t>
  </si>
  <si>
    <t>0730773U</t>
  </si>
  <si>
    <t>0731040J</t>
  </si>
  <si>
    <t>LYCEE GENERAL PRIVE TOMER DEBORA</t>
  </si>
  <si>
    <t>0740003B</t>
  </si>
  <si>
    <t>LYCEE GENERAL L BERTHOLLET</t>
  </si>
  <si>
    <t>0740017S</t>
  </si>
  <si>
    <t>LYCEE POLYVALENT CHARLES PONCET LYCEE DES METIERS DE L INDUSTRIE</t>
  </si>
  <si>
    <t>CLUSES</t>
  </si>
  <si>
    <t>0740037N</t>
  </si>
  <si>
    <t>LYCEE GENERAL ET TECHNOLOGIQUE MME DE STAËL</t>
  </si>
  <si>
    <t>0740047Z</t>
  </si>
  <si>
    <t>LYCEE POLYVALENT SAVOIE LEMAN LYCEE DES METIERS DE L HOTELLERIE RESTAURATION</t>
  </si>
  <si>
    <t>0740092Y</t>
  </si>
  <si>
    <t>0740098E</t>
  </si>
  <si>
    <t>SALLANCHES</t>
  </si>
  <si>
    <t>0740143D</t>
  </si>
  <si>
    <t>LYCEE POLYVALENT PRIVE ST JEAN BOSCO LES CORDELIERS</t>
  </si>
  <si>
    <t>0740155S</t>
  </si>
  <si>
    <t>LYCEE PROFESSIONNEL PRIVE MONT BLANC</t>
  </si>
  <si>
    <t>0740156T</t>
  </si>
  <si>
    <t>0741469V</t>
  </si>
  <si>
    <t>LYCEE POLYVALENT PRIVE DEMOTZ DE LA SALLE</t>
  </si>
  <si>
    <t>0750558Z</t>
  </si>
  <si>
    <t>LYCEE POLYVALENT PAUL POIRET</t>
  </si>
  <si>
    <t>0750588G</t>
  </si>
  <si>
    <t>LYCEE PROFESSIONNEL RENE CASSIN LYCEE DES METIERS DE LA COMMUNICATION DE LA GESTION ET DU MANAGEMENT D ENTREPRISE</t>
  </si>
  <si>
    <t>0750648X</t>
  </si>
  <si>
    <t>LYCEE GENERAL VICTOR HUGO</t>
  </si>
  <si>
    <t>0750655E</t>
  </si>
  <si>
    <t>LYCEE GENERAL ET TECHNOLOGIQUE PUBLIQUE LOUIS LE GRAND</t>
  </si>
  <si>
    <t>0750682J</t>
  </si>
  <si>
    <t>LYCEE GENERAL RODIN</t>
  </si>
  <si>
    <t>0750683K</t>
  </si>
  <si>
    <t>LYCEE GENERAL CLAUDE MONET</t>
  </si>
  <si>
    <t>0750691U</t>
  </si>
  <si>
    <t>LYCEE POLYVALENT RASPAIL LYCEE DES METIERS DES ENERGIES ET DE L ENVIRONNEMENT</t>
  </si>
  <si>
    <t>0750700D</t>
  </si>
  <si>
    <t>LYCEE GENERAL ET TECHNOLOGIQUE JEAN BAPTISTE SAY</t>
  </si>
  <si>
    <t>0750703G</t>
  </si>
  <si>
    <t>LYCEE GENERAL MOLIERE</t>
  </si>
  <si>
    <t>0750710P</t>
  </si>
  <si>
    <t>LYCEE TECHNOLOGIQUE AUGUSTE RENOIR LYCEE DES METIERS DE LA PHOTOGRAPHIE ET DE L IMAGE</t>
  </si>
  <si>
    <t>0750776L</t>
  </si>
  <si>
    <t>LYCEE PROFESSIONNEL MARIE LAURENCIN LYCEE DES METIERS DE LA MODE</t>
  </si>
  <si>
    <t>0750785W</t>
  </si>
  <si>
    <t>LYCEE PROFESSIONNEL GALILEE</t>
  </si>
  <si>
    <t>0750793E</t>
  </si>
  <si>
    <t>LYCEE PROFESSIONNEL BEAUGRENELLE LYCEE DES METIERS DE LA COMMUNICATION ET DE LA GESTION D ENTREPRISE</t>
  </si>
  <si>
    <t>0750808W</t>
  </si>
  <si>
    <t>LYCEE PROFESSIONNEL ETIENNE DOLET</t>
  </si>
  <si>
    <t>0752608C</t>
  </si>
  <si>
    <t>LYCEE PROFESSIONNEL BELLIARD LYCEE DES METIERS DE L HOTELLERIE ET DE LA RESTAURATION</t>
  </si>
  <si>
    <t>0752700C</t>
  </si>
  <si>
    <t>LYCEE PROFESSIONNEL ARMAND CARREL</t>
  </si>
  <si>
    <t>0752846L</t>
  </si>
  <si>
    <t>LYCEE PROFESSIONNEL ERIK SATIE</t>
  </si>
  <si>
    <t>0753350J</t>
  </si>
  <si>
    <t>LYCEE PROFESSIONNEL MARIA DERAISMES</t>
  </si>
  <si>
    <t>0753873C</t>
  </si>
  <si>
    <t>LYCEE PRIVE FENELON SAINTE MARIE LA PLAINE MONCEAU</t>
  </si>
  <si>
    <t>0753941B</t>
  </si>
  <si>
    <t>LYCEE PRIVE GERSON</t>
  </si>
  <si>
    <t>0753947H</t>
  </si>
  <si>
    <t>LYCEE PRIVE SAINT JEAN DE PASSY</t>
  </si>
  <si>
    <t>0753959W</t>
  </si>
  <si>
    <t>LYCEE PRIVE SAINT MICHEL DES BATIGNOLLES</t>
  </si>
  <si>
    <t>0754042L</t>
  </si>
  <si>
    <t>LYCEE POLYVALENT PRIVE LE REBOURS LYCEE DES METIERS DU MANAGEMENT ET DES SERVICES</t>
  </si>
  <si>
    <t>0754081D</t>
  </si>
  <si>
    <t>LYCEE PRIVE SAINTE URSULE LOUISE DE BETTIGNIES</t>
  </si>
  <si>
    <t>0754475G</t>
  </si>
  <si>
    <t>LYCEE POLYVALENT LEONARD DE VINCI LYCEE DES METIERS DU BOIS</t>
  </si>
  <si>
    <t>0754476H</t>
  </si>
  <si>
    <t>LYCEE POLYVALENT GUILLAUME TIREL LYCEE DES METIERS DE L HOTELLERIE</t>
  </si>
  <si>
    <t>0754666P</t>
  </si>
  <si>
    <t>LYCEE GENERAL ET TECHNOLOGIQUE PRIVE PASSY SAINT HONORE</t>
  </si>
  <si>
    <t>0755025E</t>
  </si>
  <si>
    <t>LYCEE GENERAL PRIVE HEIKHAL MENAHEM SINAI</t>
  </si>
  <si>
    <t>0755709Y</t>
  </si>
  <si>
    <t>LYCEE PRIVE SAINTE LOUISE</t>
  </si>
  <si>
    <t>0760005T</t>
  </si>
  <si>
    <t>LYCEE GENERAL ET TECHNOLOGIQUE THOMAS CORNEILLE</t>
  </si>
  <si>
    <t>BARENTIN</t>
  </si>
  <si>
    <t>0760022L</t>
  </si>
  <si>
    <t>LYCEE PROFESSIONNEL BERNARD PALISSY LYCEE DES METIERS DE L ACIER DE L ALUMINIUM ET DES SERVICES</t>
  </si>
  <si>
    <t>MAROMME</t>
  </si>
  <si>
    <t>0760023M</t>
  </si>
  <si>
    <t>LYCEE GENERAL ET TECHNOLOGIQUE JEHAN ANGO</t>
  </si>
  <si>
    <t>0760032X</t>
  </si>
  <si>
    <t>LYCEE POLYVALENT ANGUIER LYCEE DES METIERS DE LA MISE EN FORME DES MATERIAUX INDUSTRIELS ET DE L ECO INNOVATION</t>
  </si>
  <si>
    <t>EU</t>
  </si>
  <si>
    <t>0760036B</t>
  </si>
  <si>
    <t>LYCEE PROFESSIONNEL DESCARTES</t>
  </si>
  <si>
    <t>0760072R</t>
  </si>
  <si>
    <t>LYCEE GENERAL ET TECHNOLOGIQUE GUILLAUME LE CONQUERANT</t>
  </si>
  <si>
    <t>LILLEBONNE</t>
  </si>
  <si>
    <t>0760090K</t>
  </si>
  <si>
    <t>LYCEE GENERAL PIERRE CORNEILLE</t>
  </si>
  <si>
    <t>0761356L</t>
  </si>
  <si>
    <t>LYCEE POLYVALENT PRIVE PROVIDENCE SAINTE THERESE LYCEE DES METIERS DES SERVICES AUX PERSONNES ET AUX ENTREPRISES</t>
  </si>
  <si>
    <t>0761718E</t>
  </si>
  <si>
    <t>LYCEE GENERAL PRIVE REY</t>
  </si>
  <si>
    <t>BOIS GUILLAUME</t>
  </si>
  <si>
    <t>0762169V</t>
  </si>
  <si>
    <t>LYCEE GENERAL ET TECHNOLOGIQUE PABLO NERUDA</t>
  </si>
  <si>
    <t>0762601P</t>
  </si>
  <si>
    <t>LYCEE POLYVALENT GEORGES BRASSENS</t>
  </si>
  <si>
    <t>NEUFCHATEL EN BRAY</t>
  </si>
  <si>
    <t>0762976X</t>
  </si>
  <si>
    <t>LYCEE POLYVALENT FRANCOISE DE GRACE LYCEE DES METIERS DES SERVICES AUX PERSONNES AUX ENTREPRISES ET DU COMMERCE</t>
  </si>
  <si>
    <t>0763237F</t>
  </si>
  <si>
    <t>LYCEE POLYVALENT GEORGES BAPTISTE LYCEE DES METIERS DE L HOTELLERIE DE LA RESTAURATION ET DE LA BOULANGERIE PATISSERIE</t>
  </si>
  <si>
    <t>CANTELEU</t>
  </si>
  <si>
    <t>0770918E</t>
  </si>
  <si>
    <t>LYCEE POLYVALENT URUGUAY FRANCE LYCEE DES METIERS DU SOCIAL ET DE LA SANTE</t>
  </si>
  <si>
    <t>AVON</t>
  </si>
  <si>
    <t>0770942F</t>
  </si>
  <si>
    <t>LYCEE POLYVALENT THIBAUT DE CHAMPAGNE</t>
  </si>
  <si>
    <t>0770944H</t>
  </si>
  <si>
    <t>LYCEE PROFESSIONNEL AUGUSTE PERDONNET</t>
  </si>
  <si>
    <t>THORIGNY SUR MARNE</t>
  </si>
  <si>
    <t>0771027Y</t>
  </si>
  <si>
    <t>LYCEE POLYVALENT FREDERIC JOLIOT CURIE LYCEE DES METIERS DE LA GESTION DES ENTREPRISES DANS LE CADRE EUROPEEN</t>
  </si>
  <si>
    <t>DAMMARIE LES LYS</t>
  </si>
  <si>
    <t>0771232W</t>
  </si>
  <si>
    <t>LYCEE GENERAL PRIVE JEANNE D ARC SAINT ASPAIS</t>
  </si>
  <si>
    <t>0771237B</t>
  </si>
  <si>
    <t>LYCEE GENERAL ET TECHNOLOGIQUE PRIVE SAINT LAURENT LA PAIX NOTRE DAME</t>
  </si>
  <si>
    <t>LAGNY SUR MARNE</t>
  </si>
  <si>
    <t>0771238C</t>
  </si>
  <si>
    <t>ECOLE GENERALE ET TECHNOLOGIQUE PRIVEE SAINT ASPAIS</t>
  </si>
  <si>
    <t>0771246L</t>
  </si>
  <si>
    <t>LYCEE GENERAL BOSSUET</t>
  </si>
  <si>
    <t>MEAUX</t>
  </si>
  <si>
    <t>0771663P</t>
  </si>
  <si>
    <t>LYCEE GENERAL ET TECHNOLOGIQUE GEORGE SAND</t>
  </si>
  <si>
    <t>LE MEE SUR SEINE</t>
  </si>
  <si>
    <t>0771997C</t>
  </si>
  <si>
    <t>LYCEE PROFESSIONNEL JACQUES PREVERT LYCEE DES METIERS DES SYSTEMES ELECTRONIQUES NUMERIQUES ET DE L ELECTROTECHNIQUE</t>
  </si>
  <si>
    <t>COMBS LA VILLE</t>
  </si>
  <si>
    <t>0772188K</t>
  </si>
  <si>
    <t>0772225A</t>
  </si>
  <si>
    <t>LYCEE PROFESSIONNEL LINO VENTURA LYCEE DES METIERS DE LA SANTE ET DE L AIDE A LA PERSONNE</t>
  </si>
  <si>
    <t>0772275E</t>
  </si>
  <si>
    <t>LYCEE POLYVALENT PRIVE MAURICE RONDEAU LYCEE DES METIERS DE L ELECTRONIQUE ET DE LA MAINTENANCE</t>
  </si>
  <si>
    <t>0772277G</t>
  </si>
  <si>
    <t>LYCEE POLYVALENT HENRI BECQUEREL</t>
  </si>
  <si>
    <t>NANGIS</t>
  </si>
  <si>
    <t>0772290W</t>
  </si>
  <si>
    <t>LYCEE GENERAL PRIVE SAINTE CROIX</t>
  </si>
  <si>
    <t>0772296C</t>
  </si>
  <si>
    <t>LYCEE POLYVALENT DE LA MARE CARREE</t>
  </si>
  <si>
    <t>MOISSY CRAMAYEL</t>
  </si>
  <si>
    <t>0772685A</t>
  </si>
  <si>
    <t>LYCEE GENERAL ET TECHNOLOGIQUE SAMUEL BECKETT</t>
  </si>
  <si>
    <t>0781582W</t>
  </si>
  <si>
    <t>LYCEE PROFESSIONNEL PRIVE NOTRE DAME DU GRANDCHAMP</t>
  </si>
  <si>
    <t>0781861Z</t>
  </si>
  <si>
    <t>LYCEE GENERAL ET TECHNOLOGIQUE LOUIS DE BROGLIE</t>
  </si>
  <si>
    <t>MARLY LE ROI</t>
  </si>
  <si>
    <t>0781884Z</t>
  </si>
  <si>
    <t>LIMAY</t>
  </si>
  <si>
    <t>0781984H</t>
  </si>
  <si>
    <t>LYCEE POLYVALENT VAUCANSON LYCEE DES METIERS DU GENIE ELECTRONIQUE DU COMMERCE ET DE L AIDE A LA PERSONNE</t>
  </si>
  <si>
    <t>0782132U</t>
  </si>
  <si>
    <t>LYCEE GENERAL ET TECHNOLOGIQUE JEANNE D ALBRET</t>
  </si>
  <si>
    <t>0782557F</t>
  </si>
  <si>
    <t>LYCEE POLYVALENT JEAN BAPTISTE POQUELIN LYCEE DES METIERS DU MANAGEMENT ET DE LA GESTION</t>
  </si>
  <si>
    <t>0782562L</t>
  </si>
  <si>
    <t>LYCEE D ENSEIGNEMENT GENERAL HOCHE</t>
  </si>
  <si>
    <t>0783214V</t>
  </si>
  <si>
    <t>LYCEE PROFESSIONNEL LUCIEN RENE DUCHESNE LYCEE DES METIERS DE L AUTOMOBILE</t>
  </si>
  <si>
    <t>0783282U</t>
  </si>
  <si>
    <t>LE CHESNAY ROCQUENCOURT</t>
  </si>
  <si>
    <t>0783286Y</t>
  </si>
  <si>
    <t>LYCEE GENERAL ET TECHNOLOGIQUE PRIVE SAINT EREMBERT</t>
  </si>
  <si>
    <t>0783289B</t>
  </si>
  <si>
    <t>0783293F</t>
  </si>
  <si>
    <t>LYCEE GENERAL ET TECHNOLOGIQUE PRIVE LES CHATAIGNIERS</t>
  </si>
  <si>
    <t>0783549J</t>
  </si>
  <si>
    <t>LYCEE D ENSEIGNEMENT GENERAL INTERNATIONAL</t>
  </si>
  <si>
    <t>0790019S</t>
  </si>
  <si>
    <t>LYCEE GENERAL ET TECHNOLOGIQUE JOSEPH DESFONTAINES</t>
  </si>
  <si>
    <t>MELLE</t>
  </si>
  <si>
    <t>0790023W</t>
  </si>
  <si>
    <t>0801206B</t>
  </si>
  <si>
    <t>0801743K</t>
  </si>
  <si>
    <t>LYCEE GENERAL ET TECHNOLOGIQUE PRIVE MONTALEMBERT</t>
  </si>
  <si>
    <t>0801853E</t>
  </si>
  <si>
    <t>LYCEE POLYVALENT JEAN RACINE LYCEE DES METIERS</t>
  </si>
  <si>
    <t>MONTDIDIER</t>
  </si>
  <si>
    <t>0801882L</t>
  </si>
  <si>
    <t>LYCEE POLYVALENT LA HOTOIE</t>
  </si>
  <si>
    <t>0801945E</t>
  </si>
  <si>
    <t>LYCEE PROFESSIONNEL PRIVE SAINT PIERRE</t>
  </si>
  <si>
    <t>0801950K</t>
  </si>
  <si>
    <t>LYCEE PROFESSIONNEL PRIVE SAINT REMI</t>
  </si>
  <si>
    <t>0801951L</t>
  </si>
  <si>
    <t>0810005R</t>
  </si>
  <si>
    <t>0810012Y</t>
  </si>
  <si>
    <t>LYCEE POLYVALENT JEAN JAURES</t>
  </si>
  <si>
    <t>CARMAUX</t>
  </si>
  <si>
    <t>0810033W</t>
  </si>
  <si>
    <t>LYCEE GENERAL ET TECHNOLOGIQUE MARECHAL SOULT</t>
  </si>
  <si>
    <t>0810079W</t>
  </si>
  <si>
    <t>LYCEE GENERAL ET TECHNOLOGIQUE PRIVE ENSEMBLE SCOLAIRE JEANNE D ARC</t>
  </si>
  <si>
    <t>0810095N</t>
  </si>
  <si>
    <t>LYCEE TECHNOLOGIQUE PRIVE SAINTE CECILE</t>
  </si>
  <si>
    <t>0810100U</t>
  </si>
  <si>
    <t>LYCEE PROFESSIONNEL PRIVE SAINT DOMINIQUE</t>
  </si>
  <si>
    <t>0810105Z</t>
  </si>
  <si>
    <t>LYCEE PROFESSIONNEL PRIVE DE LA SALLE LYCEE DES METIERS DE L ENERGIE ELECTRIQUE DE L ELECTRONIQUE NUMERIQUE ET DE LA MAINTENANCE</t>
  </si>
  <si>
    <t>0810113H</t>
  </si>
  <si>
    <t>LYCEE PROFESSIONNEL PRIVE NOTRE DAME LYCEE DES METIERS</t>
  </si>
  <si>
    <t>0820044C</t>
  </si>
  <si>
    <t>LYCEE GENERAL ET TECHNOLOGIQUE PRIVE PIERRE MARIE THEAS</t>
  </si>
  <si>
    <t>0830007G</t>
  </si>
  <si>
    <t>LYCEE POLYVALENT RAYNOUARD</t>
  </si>
  <si>
    <t>BRIGNOLES</t>
  </si>
  <si>
    <t>0830016S</t>
  </si>
  <si>
    <t>0830025B</t>
  </si>
  <si>
    <t>LYCEE GENERAL ET TECHNOLOGIQUE JEAN AICARD</t>
  </si>
  <si>
    <t>HYERES</t>
  </si>
  <si>
    <t>0831444U</t>
  </si>
  <si>
    <t>LYCEE POLYVALENT PRIVE SAINTE JEANNE D ARC</t>
  </si>
  <si>
    <t>0840001V</t>
  </si>
  <si>
    <t>APT</t>
  </si>
  <si>
    <t>0840003X</t>
  </si>
  <si>
    <t>LYCEE GENERAL FREDERIC MISTRAL</t>
  </si>
  <si>
    <t>0840005Z</t>
  </si>
  <si>
    <t>LYCEE GENERAL ET TECHNOLOGIQUE PHILIPPE DE GIRARD</t>
  </si>
  <si>
    <t>0840046U</t>
  </si>
  <si>
    <t>LYCEE PROFESSIONNEL ARISTIDE BRIAND LYCEE DES METIERS DES SERVICES AUX PERSONNES ET AUX ENTREPRISES</t>
  </si>
  <si>
    <t>0840078D</t>
  </si>
  <si>
    <t>LYCEE GENERAL PRIVE MARIE PILA</t>
  </si>
  <si>
    <t>CARPENTRAS</t>
  </si>
  <si>
    <t>0840763Y</t>
  </si>
  <si>
    <t>LYCEE PROFESSIONNEL L ARGENSOL</t>
  </si>
  <si>
    <t>0841078R</t>
  </si>
  <si>
    <t>LYCEE REGIONAL MONTESQUIEU</t>
  </si>
  <si>
    <t>SORGUES</t>
  </si>
  <si>
    <t>0841093G</t>
  </si>
  <si>
    <t>LYCEE GENERAL ET TECHNOLOGIQUE LUCIE AUBRAC</t>
  </si>
  <si>
    <t>BOLLENE</t>
  </si>
  <si>
    <t>0841158C</t>
  </si>
  <si>
    <t>LYCEE GENERAL PRIVE SAINT GABRIEL</t>
  </si>
  <si>
    <t>VALREAS</t>
  </si>
  <si>
    <t>0850027T</t>
  </si>
  <si>
    <t>LYCEE POLYVALENT ROSA PARKS LYCEE DES METIERS DES SCIENCES ET TECHNOLOGIES DE LA CONSTRUCTION ET DE L INDUSTRIE</t>
  </si>
  <si>
    <t>0850068M</t>
  </si>
  <si>
    <t>0850086G</t>
  </si>
  <si>
    <t>LYCEE GENERAL ET TECHNOLOGIQUE PRIVE ST GABRIEL ST MICHEL LYCEE DES METIERS DES TECHNOLOGIES DE L ELECTRONIQUE DE L ELECTROTECHNIQUE DE LA MECANIQUE</t>
  </si>
  <si>
    <t>SAINT LAURENT SUR SEVRE</t>
  </si>
  <si>
    <t>0860010U</t>
  </si>
  <si>
    <t>LYCEE PROFESSIONNEL LES TERRES ROUGES</t>
  </si>
  <si>
    <t>0860755D</t>
  </si>
  <si>
    <t>LYCEE GENERAL ET TECHNOLOGIQUE ISAAC DE L ETOILE</t>
  </si>
  <si>
    <t>0870003F</t>
  </si>
  <si>
    <t>LYCEE GENERAL ET TECHNOLOGIQUE JEAN GIRAUDOUX</t>
  </si>
  <si>
    <t>BELLAC</t>
  </si>
  <si>
    <t>0870016V</t>
  </si>
  <si>
    <t>LYCEE GENERAL LEONARD LIMOSIN</t>
  </si>
  <si>
    <t>0870040W</t>
  </si>
  <si>
    <t>LYCEE POLYVALENT PAUL ELUARD</t>
  </si>
  <si>
    <t>0870045B</t>
  </si>
  <si>
    <t>LYCEE GENERAL BERNARD PALISSY</t>
  </si>
  <si>
    <t>SAINT LEONARD DE NOBLAT</t>
  </si>
  <si>
    <t>0870051H</t>
  </si>
  <si>
    <t>LYCEE PROFESSIONNEL JEAN BAPTISTE DARNET</t>
  </si>
  <si>
    <t>0870058R</t>
  </si>
  <si>
    <t>LYCEE PROFESSIONNEL ANTOINE DE SAINT EXUPERY LYCEE DES METIERS DE LA LOGISTIQUE DU TRANSPORT ET DE L AUTOMOBILE</t>
  </si>
  <si>
    <t>0870081R</t>
  </si>
  <si>
    <t>LYCEE GENERAL ET TECHNOLOGIQUE PRIVE BEAUPEYRAT</t>
  </si>
  <si>
    <t>0870119G</t>
  </si>
  <si>
    <t>LYCEE PROFESSIONNEL RAOUL DAUTRY</t>
  </si>
  <si>
    <t>0870864S</t>
  </si>
  <si>
    <t>LYCEE ENSEIGNEMENT GENERAL PRIVE SAINT JEAN</t>
  </si>
  <si>
    <t>0880001Y</t>
  </si>
  <si>
    <t>LYCEE PROFESSIONNEL LE CHESNOIS LYCEE DES METIERS DES SERVICES: ECO HABITAT ET LOISIRS</t>
  </si>
  <si>
    <t>LA VOGE LES BAINS</t>
  </si>
  <si>
    <t>0880004B</t>
  </si>
  <si>
    <t>LYCEE GENERAL ET TECHNOLOGIQUE JEAN LURCAT</t>
  </si>
  <si>
    <t>0880019T</t>
  </si>
  <si>
    <t>LYCEE GENERAL ET TECHNOLOGIQUE LOUIS LAPICQUE</t>
  </si>
  <si>
    <t>0880023X</t>
  </si>
  <si>
    <t>LYCEE PROFESSIONNEL ISABELLE VIVIANI</t>
  </si>
  <si>
    <t>0880030E</t>
  </si>
  <si>
    <t>LYCEE GENERAL LA HAIE GRISELLE</t>
  </si>
  <si>
    <t>0880031F</t>
  </si>
  <si>
    <t>LYCEE PROFESSIONNEL PIERRE GILLES DE GENNES LYCEE DES METIERS DE L AUTOMOBILE ET DU TRANSPORT</t>
  </si>
  <si>
    <t>0880120C</t>
  </si>
  <si>
    <t>LYCEE PROFESSIONNEL PRIVE NOTRE DAME DE LA PROVIDENCE</t>
  </si>
  <si>
    <t>0900004R</t>
  </si>
  <si>
    <t>0900029T</t>
  </si>
  <si>
    <t>LYCEE GENERAL ET TECHNOLOGIQUE PRIVE NOTRE DAME DES ANGES</t>
  </si>
  <si>
    <t>0910625K</t>
  </si>
  <si>
    <t>LYCEE GENERAL ET TECHNOLOGIQUE ROSA PARKS</t>
  </si>
  <si>
    <t>MONTGERON</t>
  </si>
  <si>
    <t>0910755B</t>
  </si>
  <si>
    <t>LYCEE PROFESSIONNEL NADAR LYCEE DES METIERS DE LA SECURITE DE L INDUSTRIE ET DE LA RELATION CLIENT</t>
  </si>
  <si>
    <t>DRAVEIL</t>
  </si>
  <si>
    <t>0911343R</t>
  </si>
  <si>
    <t>LYCEE PROFESSIONNEL AUGUSTE PERRET</t>
  </si>
  <si>
    <t>0911346U</t>
  </si>
  <si>
    <t>LYCEE GENERAL ET TECHNOLOGIQUE ALBERT EINSTEIN</t>
  </si>
  <si>
    <t>SAINTE GENEVIEVE DES BOIS</t>
  </si>
  <si>
    <t>0911401D</t>
  </si>
  <si>
    <t>LYCEE PROFESSIONNEL NELSON MANDELA</t>
  </si>
  <si>
    <t>0911577V</t>
  </si>
  <si>
    <t>LONGJUMEAU</t>
  </si>
  <si>
    <t>0911945V</t>
  </si>
  <si>
    <t>MORANGIS</t>
  </si>
  <si>
    <t>0911983L</t>
  </si>
  <si>
    <t>LYCEE GENERAL ET TECHNOLOGIQUE JULES VERNE</t>
  </si>
  <si>
    <t>LIMOURS</t>
  </si>
  <si>
    <t>0912342B</t>
  </si>
  <si>
    <t>LYCEE GENERAL ET TECHNOLOGIQUE PRIVE LA SALLE IGNY</t>
  </si>
  <si>
    <t>IGNY</t>
  </si>
  <si>
    <t>0920136Y</t>
  </si>
  <si>
    <t>LYCEE POLYVALENT NEWTON ENREA</t>
  </si>
  <si>
    <t>0920147K</t>
  </si>
  <si>
    <t>LYCEE GENERAL ET TECHNOLOGIQUE PAUL LANGEVIN</t>
  </si>
  <si>
    <t>0920149M</t>
  </si>
  <si>
    <t>LYCEE GENERAL ET TECHNOLOGIQUE MICHELET</t>
  </si>
  <si>
    <t>0920166F</t>
  </si>
  <si>
    <t>LYCEE PROFESSIONNEL VASSILY KANDINSKY LYCEE DES METIERS DE L ESTHETIQUE ET DES SERVICES A LA PERSONNE</t>
  </si>
  <si>
    <t>0920680P</t>
  </si>
  <si>
    <t>0920799U</t>
  </si>
  <si>
    <t>LYCEE GENERAL ET TECHNOLOGIQUE RICHELIEU</t>
  </si>
  <si>
    <t>0920801W</t>
  </si>
  <si>
    <t>LYCEE GENERAL ET TECHNOLOGIQUE ALEXANDRE DUMAS</t>
  </si>
  <si>
    <t>SAINT CLOUD</t>
  </si>
  <si>
    <t>0920904H</t>
  </si>
  <si>
    <t>LYCEE GENERAL ET TECHNOLOGIQUE PRIVE SAINTE MARIE LA CROIX</t>
  </si>
  <si>
    <t>0920907L</t>
  </si>
  <si>
    <t>LYCEE GENERAL ET TECHNOLOGIQUE PRIVE SOPHIE BARAT</t>
  </si>
  <si>
    <t>0920928J</t>
  </si>
  <si>
    <t>LYCEE GENERAL ET TECHNOLOGIQUE PRIVE LA SALLE PASSY BUZENVAL</t>
  </si>
  <si>
    <t>0920981S</t>
  </si>
  <si>
    <t>LYCEE PROFESSIONNEL PRIVE SAINT PHILIPPE</t>
  </si>
  <si>
    <t>0921229L</t>
  </si>
  <si>
    <t>LYCEE POLYVALENT ANATOLE FRANCE LYCEE DES METIERS DE L ELECTROTECHNIQUE DES SERVICES ET DE LA TAPISSERIE D AMEUBLEMENT</t>
  </si>
  <si>
    <t>0921595J</t>
  </si>
  <si>
    <t>LYCEE PROFESSIONNEL DANIEL BALAVOINE</t>
  </si>
  <si>
    <t>0922443F</t>
  </si>
  <si>
    <t>LYCEE POLYVALENT ETIENNE JULES MAREY LYCEE DES METIERS DE LA PETITE ENFANCE ET DES SOINS A LA PERSONNE</t>
  </si>
  <si>
    <t>0930119Z</t>
  </si>
  <si>
    <t>LYCEE POLYVALENT EUGENE DELACROIX</t>
  </si>
  <si>
    <t>0930120A</t>
  </si>
  <si>
    <t>LYCEE GENERAL ET TECHNOLOGIQUE JACQUES FEYDER</t>
  </si>
  <si>
    <t>EPINAY SUR SEINE</t>
  </si>
  <si>
    <t>0930123D</t>
  </si>
  <si>
    <t>LYCEE GENERAL ET TECHNOLOGIQUE OLYMPE DE GOUGES</t>
  </si>
  <si>
    <t>NOISY LE SEC</t>
  </si>
  <si>
    <t>0930126G</t>
  </si>
  <si>
    <t>LYCEE POLYVALENT AUGUSTE BLANQUI</t>
  </si>
  <si>
    <t>SAINT OUEN SUR SEINE</t>
  </si>
  <si>
    <t>0930127H</t>
  </si>
  <si>
    <t>LYCEE GENERAL ET TECHNOLOGIQUE CLEMENCEAU</t>
  </si>
  <si>
    <t>0930129K</t>
  </si>
  <si>
    <t>LYCEE PROFESSIONNEL MADELEINE VIONNET</t>
  </si>
  <si>
    <t>0930133P</t>
  </si>
  <si>
    <t>LYCEE PROFESSIONNEL THEODORE MONOD LYCEE DES METIERS DU COMMERCE ET DE LA VENTE</t>
  </si>
  <si>
    <t>0930136T</t>
  </si>
  <si>
    <t>LYCEE POLYVALENT CLAUDE NICOLAS LEDOUX LYCEE DES METIERS DE L ECO CONSTRUCTION ET DE LA DECORATION</t>
  </si>
  <si>
    <t>LES PAVILLONS SOUS BOIS</t>
  </si>
  <si>
    <t>0930961P</t>
  </si>
  <si>
    <t>LYCEE GENERAL PRIVE ESPERANCE</t>
  </si>
  <si>
    <t>0931193S</t>
  </si>
  <si>
    <t>LYCEE PROFESSIONNEL HELENE BOUCHER LYCEE DES METIERS DU TRANSPORT</t>
  </si>
  <si>
    <t>TREMBLAY EN FRANCE</t>
  </si>
  <si>
    <t>0931198X</t>
  </si>
  <si>
    <t>LYCEE PROFESSIONNEL ALFRED COSTES LYCEE DES METIERS DE LA COMMUNICATION ET DE L INDUSTRIE GRAPHIQUE</t>
  </si>
  <si>
    <t>0931565W</t>
  </si>
  <si>
    <t>LYCEE GENERAL ET TECHNOLOGIQUE FLORA TRISTAN</t>
  </si>
  <si>
    <t>0931812P</t>
  </si>
  <si>
    <t>LYCEE GENERAL PRIVE SAINT LOUIS SAINTE CLOTILDE</t>
  </si>
  <si>
    <t>0931813R</t>
  </si>
  <si>
    <t>LYCEE GENERAL PRIVE ALLIANCE</t>
  </si>
  <si>
    <t>0932026X</t>
  </si>
  <si>
    <t>LYCEE POLYVALENT ALFRED NOBEL</t>
  </si>
  <si>
    <t>CLICHY SOUS BOIS</t>
  </si>
  <si>
    <t>0932034F</t>
  </si>
  <si>
    <t>LYCEE GENERAL ET TECHNOLOGIQUE WOLFGANG AMADEUS MOZART</t>
  </si>
  <si>
    <t>0932073Y</t>
  </si>
  <si>
    <t>LYCEE POLYVALENT PAUL ROBERT</t>
  </si>
  <si>
    <t>LES LILAS</t>
  </si>
  <si>
    <t>0932074Z</t>
  </si>
  <si>
    <t>LYCEE POLYVALENT MARCEL CACHIN LYCEE DES METIERS DE LA SANTE ET DU TRAVAIL SOCIAL</t>
  </si>
  <si>
    <t>0932123C</t>
  </si>
  <si>
    <t>LYCEE POLYVALENT SABATIER LYCEE DES METIERS DE L ESTHETIQUE ET DE LA COIFFURE</t>
  </si>
  <si>
    <t>0932229T</t>
  </si>
  <si>
    <t>LYCEE POLYVALENT PAUL LE ROLLAND LYCEE DES METIERS DE LA CONCEPTION ET DE LA REALISATION DE SYSTEMES INDUSTRIELS</t>
  </si>
  <si>
    <t>0932282A</t>
  </si>
  <si>
    <t>LYCEE POLYVALENT LEO LAGRANGE</t>
  </si>
  <si>
    <t>0932638M</t>
  </si>
  <si>
    <t>LYCEE INTERNATIONAL DE L EST PARISIEN</t>
  </si>
  <si>
    <t>0940114N</t>
  </si>
  <si>
    <t>0940120V</t>
  </si>
  <si>
    <t>0940585A</t>
  </si>
  <si>
    <t>LYCEE POLYVALENT FRANCOIS MANSART LYCEE DES METIERS DU BOIS ET DE L HABITAT</t>
  </si>
  <si>
    <t>0940821G</t>
  </si>
  <si>
    <t>LYCEE GENERAL ET TECHNOLOGIQUE PRIVE GREGOR MENDEL</t>
  </si>
  <si>
    <t>0940822H</t>
  </si>
  <si>
    <t>LYCEE GENERAL ET TECHNOLOGIQUE CLAUDE NICOLAS LEDOUX EBTP</t>
  </si>
  <si>
    <t>0940882Y</t>
  </si>
  <si>
    <t>LYCEE GENERAL ET TECHNOLOGIQUE PRIVE SAINT MICHEL</t>
  </si>
  <si>
    <t>SAINT MANDE</t>
  </si>
  <si>
    <t>0941018W</t>
  </si>
  <si>
    <t>LYCEE POLYVALENT EDOUARD BRANLY</t>
  </si>
  <si>
    <t>0941232D</t>
  </si>
  <si>
    <t>0941975L</t>
  </si>
  <si>
    <t>LYCEE POLYVALENT PIERRE BROSSOLETTE LYCEE DES METIERS DU SOCIAL ET DE L AIDE A LA PERSONNE</t>
  </si>
  <si>
    <t>LE KREMLIN BICETRE</t>
  </si>
  <si>
    <t>0942355Z</t>
  </si>
  <si>
    <t>LP ENSEMBLE SAINTE MARIE</t>
  </si>
  <si>
    <t>JOINVILLE LE PONT</t>
  </si>
  <si>
    <t>0950641F</t>
  </si>
  <si>
    <t>0950646L</t>
  </si>
  <si>
    <t>GONESSE</t>
  </si>
  <si>
    <t>0950649P</t>
  </si>
  <si>
    <t>LYCEE POLYVALENT CAMILLE PISSARRO LYCEE DES METIERS DE LA SANTE DU SOCIAL ET DE L AIDE AUX PERSONNES</t>
  </si>
  <si>
    <t>0950656X</t>
  </si>
  <si>
    <t>LYCEE PROFESSIONNEL LE CORBUSIER LYCEE DES METIERS DU BATIMENT</t>
  </si>
  <si>
    <t>CORMEILLES EN PARISIS</t>
  </si>
  <si>
    <t>0950759J</t>
  </si>
  <si>
    <t>LYCEE GENERAL ET TECHNOLOGIQUE PRIVE NOTRE DAME DE BURY</t>
  </si>
  <si>
    <t>MARGENCY</t>
  </si>
  <si>
    <t>0950762M</t>
  </si>
  <si>
    <t>LYCEE GENERAL ET TECHNOLOGIQUE PRIVE SAINT MARTIN DE FRANCE</t>
  </si>
  <si>
    <t>0950786N</t>
  </si>
  <si>
    <t>LYCEE GENERAL ET TECHNOLOGIQUE PRIVE LA SALLE SAINT ROSAIRE</t>
  </si>
  <si>
    <t>0951399E</t>
  </si>
  <si>
    <t>0951722F</t>
  </si>
  <si>
    <t>0951728M</t>
  </si>
  <si>
    <t>LYCEE POLYVALENT EDMOND ROSTAND LYCEE DES METIERS DE LA RELATION CLIENT ET DU MANAGEMENT</t>
  </si>
  <si>
    <t>0951753P</t>
  </si>
  <si>
    <t>SAINT WITZ</t>
  </si>
  <si>
    <t>0951811C</t>
  </si>
  <si>
    <t>LYCEE POLYVALENT FERNAND ET NADIA LEGER LYCEE DES METIERS DU SOCIAL DE LA SANTE DES SERVICES</t>
  </si>
  <si>
    <t>6200003J</t>
  </si>
  <si>
    <t>LYCEE PROFESSIONNEL JULES ANTONINI AJACCIO</t>
  </si>
  <si>
    <t>7200583W</t>
  </si>
  <si>
    <t>LYCEE GENERAL ET TECHNOLOGIQUE PAUL VINCENSINI BASTIA</t>
  </si>
  <si>
    <t>9710052E</t>
  </si>
  <si>
    <t>LYCEE PROFESSIONNEL LOUIS DELGRES LYCEE DES METIERS DE L ENVIRONNEMENT ET DE L AMENAGEMENT DU BATIMENT</t>
  </si>
  <si>
    <t>LE MOULE</t>
  </si>
  <si>
    <t>9710709U</t>
  </si>
  <si>
    <t>LYCEE PROFESSIONNEL GERTY ARCHIMEDE</t>
  </si>
  <si>
    <t>9711252J</t>
  </si>
  <si>
    <t>LYCEE GENERAL ET TECHNOLOGIQUE ROBERT WEINUM</t>
  </si>
  <si>
    <t>9720424D</t>
  </si>
  <si>
    <t>LYCEE PROFESSIONNEL LUMINA SOPHIE</t>
  </si>
  <si>
    <t>SCHOELCHER</t>
  </si>
  <si>
    <t>9720429J</t>
  </si>
  <si>
    <t>LYCEE PROFESSIONNEL MARIUS CULTIER (EX DILLON)</t>
  </si>
  <si>
    <t>9720501M</t>
  </si>
  <si>
    <t>LYCEE PROFESSIONNEL CHATEAUBOEUF</t>
  </si>
  <si>
    <t>9720829U</t>
  </si>
  <si>
    <t>LYCEE GENERAL ET TECHNOLOGIQUE PRIVE SEMINAIRE COLLEGE SAINTE MARIE</t>
  </si>
  <si>
    <t>9730421V</t>
  </si>
  <si>
    <t>LYCEE POLYVALENT LEOPOLD ELFORT</t>
  </si>
  <si>
    <t>MANA</t>
  </si>
  <si>
    <t>9730514W</t>
  </si>
  <si>
    <t>LYCEE POLYVALENT BALATA</t>
  </si>
  <si>
    <t>MATOURY</t>
  </si>
  <si>
    <t>9740004L</t>
  </si>
  <si>
    <t>LYCEE PROFESSIONNEL ROCHES MAIGRES</t>
  </si>
  <si>
    <t>9740053P</t>
  </si>
  <si>
    <t>LYCEE POLYVALENT GEORGES BRASSENS LYCEE DES METIERS DE L AUTOMOBILE</t>
  </si>
  <si>
    <t>9740472V</t>
  </si>
  <si>
    <t>LYCEE PROFESSIONNEL PATU DE ROSEMONT LYCEE DES METIERS DE LA MAINTENANCE ET DE LA SECURITE</t>
  </si>
  <si>
    <t>9740552G</t>
  </si>
  <si>
    <t>LYCEE PROFESSIONNEL LEON DE LEPERVANCHE LYCEE DES METIERS DES SERVICES AUX PERSONNES ET AUX ENTREPRISES</t>
  </si>
  <si>
    <t>9740952S</t>
  </si>
  <si>
    <t>LYCEE GENERAL ET TECHNOLOGIQUE PIERRE POIVRE</t>
  </si>
  <si>
    <t>9741087N</t>
  </si>
  <si>
    <t>LYCEE POLYVALENT BOISJOLY POTIER</t>
  </si>
  <si>
    <t>9741182S</t>
  </si>
  <si>
    <t>LYCEE POLYVALENT JEAN JOLY</t>
  </si>
  <si>
    <t>9741186W</t>
  </si>
  <si>
    <t>LYCEE POLYVALENT DE TROIS BASSINS</t>
  </si>
  <si>
    <t>LES TROIS BASSINS</t>
  </si>
  <si>
    <t>9741230U</t>
  </si>
  <si>
    <t>LYCEE GENERAL ET TECHNOLOGIQUE VINCENDO</t>
  </si>
  <si>
    <t>9741233X</t>
  </si>
  <si>
    <t>LYCEE POLYVALENT NELSON MANDELA LYCEE DES METIERS DE LA GESTION DES ENTREPRISES ADMINISTRATIVE COMPTABLE FINANCIERE COMMERCIALE INFORMATIQUE</t>
  </si>
  <si>
    <t>9741556Y</t>
  </si>
  <si>
    <t>LYCEE POLYVALENT PRIVE MAISON BLANCHE</t>
  </si>
  <si>
    <t>0010006B</t>
  </si>
  <si>
    <t>LYCEE POLYVALENT SAINT EXUPERY LYCEE DES METIERS DE L HOTELLERIE ET DES SERVICES LYCEE DES METIERS DES ENERGIES DU BATIMENT</t>
  </si>
  <si>
    <t>VALSERHONE</t>
  </si>
  <si>
    <t>0010070W</t>
  </si>
  <si>
    <t>0010878Z</t>
  </si>
  <si>
    <t>CESSY</t>
  </si>
  <si>
    <t>0011258M</t>
  </si>
  <si>
    <t>LYCEE PROFESSIONNEL PRIVE ENSEMBLE SCOLAIRE LAMARTINE</t>
  </si>
  <si>
    <t>0020031Y</t>
  </si>
  <si>
    <t>LYCEE D ENSEIGNEMENT GENERAL ET TECHNOLOGIQUE FREDERIC ET IRENE JOLIOT CURIE</t>
  </si>
  <si>
    <t>0020079A</t>
  </si>
  <si>
    <t>LYCEE PROFESSIONNEL CONDORCET LYCEE DES METIERS</t>
  </si>
  <si>
    <t>0021873A</t>
  </si>
  <si>
    <t>LYCEE GENERAL ET TECHNOLOGIQUE PRIVE ST JEAN LA CROIX</t>
  </si>
  <si>
    <t>0021906L</t>
  </si>
  <si>
    <t>LYCEE PROFESSIONNEL PRIVE SAINT CHARLES LYCEE DES METIERS DE LA SECURITE ET DE LA MAINTENANCE</t>
  </si>
  <si>
    <t>0021946E</t>
  </si>
  <si>
    <t>LYCEE GENERAL ET TECHNOLOGIQUE LYCEE EUROPEEN</t>
  </si>
  <si>
    <t>VILLERS COTTERETS</t>
  </si>
  <si>
    <t>0030044G</t>
  </si>
  <si>
    <t>LYCEE GENERAL BLAISE DE VIGENERE</t>
  </si>
  <si>
    <t>SAINT POURCAIN SUR SIOULE</t>
  </si>
  <si>
    <t>0030073N</t>
  </si>
  <si>
    <t>LYCEE GENERAL ET TECHNOLOGIQUE PRIVE SAINTE PROCULE</t>
  </si>
  <si>
    <t>0031082K</t>
  </si>
  <si>
    <t>LYCEE POLYVALENT VALERY LARBAUD</t>
  </si>
  <si>
    <t>0040003G</t>
  </si>
  <si>
    <t>LYCEE GENERAL ANDRE HONNORAT</t>
  </si>
  <si>
    <t>BARCELONNETTE</t>
  </si>
  <si>
    <t>0040011R</t>
  </si>
  <si>
    <t>LYCEE PROFESSIONNEL LOUIS MARTIN BRET LYCEE DES METIERS DE L HOTELLERIE RESTAURATION DES SECTEURS TERTIAIRE ET INDUSTRIEL</t>
  </si>
  <si>
    <t>0040034R</t>
  </si>
  <si>
    <t>0050005D</t>
  </si>
  <si>
    <t>LYCEE PROFESSIONNEL ALPES ET DURANCE LYCEE DES METIERS PLURI ACTIFS DU BOIS ET DE L HABITAT DE MONTAGNE</t>
  </si>
  <si>
    <t>0050006E</t>
  </si>
  <si>
    <t>LYCEE GENERAL ET TECHNOLOGIQUE DOMINIQUE VILLARS</t>
  </si>
  <si>
    <t>0050007F</t>
  </si>
  <si>
    <t>0050039R</t>
  </si>
  <si>
    <t>LYCEE PROFESSIONNEL PRIVE PIERRE ET LOUIS POUTRAIN</t>
  </si>
  <si>
    <t>SAINT JEAN SAINT NICOLAS</t>
  </si>
  <si>
    <t>0060020P</t>
  </si>
  <si>
    <t>LYCEE GENERAL ET TECHNOLOGIQUE AMIRAL DE GRASSE</t>
  </si>
  <si>
    <t>0060023T</t>
  </si>
  <si>
    <t>LYCEE PROFESSIONNEL FRANCIS DE CROISSET</t>
  </si>
  <si>
    <t>0060027X</t>
  </si>
  <si>
    <t>LYCEE PROFESSIONNEL PIERRE ET MARIE CURIE LYCEE DES METIERS DE L ENSEIGNE DE LA SIGNALETIQUE ET DU DEVELOPPEMENT DURABLE</t>
  </si>
  <si>
    <t>0060033D</t>
  </si>
  <si>
    <t>LYCEE POLYVALENT HONORE D ESTIENNE D ORVES LYCEE DES METIERS DE LA COMPTABILITE</t>
  </si>
  <si>
    <t>0060038J</t>
  </si>
  <si>
    <t>LYCEE PROFESSIONNEL VAUBAN</t>
  </si>
  <si>
    <t>0060082G</t>
  </si>
  <si>
    <t>LYCEE PROFESSIONNEL LES EUCALYPTUS LYCEE DES SCIENCES APPLIQUEES AUX METIERS DE L INDUSTRIE</t>
  </si>
  <si>
    <t>0060674A</t>
  </si>
  <si>
    <t>0060735S</t>
  </si>
  <si>
    <t>LYCEE TECHNOLOGIQUE PRIVE LES FAUVETTES</t>
  </si>
  <si>
    <t>0061763J</t>
  </si>
  <si>
    <t>0062015H</t>
  </si>
  <si>
    <t>0062256V</t>
  </si>
  <si>
    <t>LYCEE GENERAL PRIVE OR TORAH</t>
  </si>
  <si>
    <t>0070031W</t>
  </si>
  <si>
    <t>LYCEE PROFESSIONNEL MARIUS BOUVIER LYCEE DES METIERS DE LA PREVENTION ET DE LA PROTECTION</t>
  </si>
  <si>
    <t>0070064G</t>
  </si>
  <si>
    <t>LYCEE GENERAL ET TECHNOLOGIQUE PRIVE JULES FROMENT</t>
  </si>
  <si>
    <t>0070107D</t>
  </si>
  <si>
    <t>LYCEE PROFESSIONNEL PRIVE MARIE RIVIER</t>
  </si>
  <si>
    <t>0080006N</t>
  </si>
  <si>
    <t>LYCEE GENERAL CHANZY</t>
  </si>
  <si>
    <t>0080008R</t>
  </si>
  <si>
    <t>LYCEE POLYVALENT FRANCOIS BAZIN LYCEE DES METIERS DES TECHNOLOGIES INDUSTRIELLES ET DE L ENERGIE</t>
  </si>
  <si>
    <t>0080040A</t>
  </si>
  <si>
    <t>REVIN</t>
  </si>
  <si>
    <t>0090020Y</t>
  </si>
  <si>
    <t>LYCEE PROFESSIONNEL FRANCOIS CAMEL LYCEE DES METIERS RESTAURATION ET SERVICES A LA PERSONNE</t>
  </si>
  <si>
    <t>0090045A</t>
  </si>
  <si>
    <t>LYCEE PROFESSIONNEL PRIVE LES JACOBINS</t>
  </si>
  <si>
    <t>0100004A</t>
  </si>
  <si>
    <t>LYCEE PROFESSIONNEL VAL MORE LYCEE DES METIERS DE LA MAINTENANCE DES MATERIELS AGRICOLES ET DE TRAVAUX PUBLICS</t>
  </si>
  <si>
    <t>BAR SUR SEINE</t>
  </si>
  <si>
    <t>0101016A</t>
  </si>
  <si>
    <t>0110022P</t>
  </si>
  <si>
    <t>LYCEE GENERAL ET TECHNOLOGIQUE DOCTEUR LACROIX</t>
  </si>
  <si>
    <t>0110023R</t>
  </si>
  <si>
    <t>0120014A</t>
  </si>
  <si>
    <t>LYCEE PROFESSIONNEL JEAN VIGO</t>
  </si>
  <si>
    <t>0120031U</t>
  </si>
  <si>
    <t>LYCEE GENERAL ET TECHNOLOGIQUE RAYMOND SAVIGNAC</t>
  </si>
  <si>
    <t>0120061B</t>
  </si>
  <si>
    <t>0130006L</t>
  </si>
  <si>
    <t>LYCEE PROFESSIONNEL GAMBETTA LYCEE DES METIERS DU TERTIAIRE</t>
  </si>
  <si>
    <t>0130013U</t>
  </si>
  <si>
    <t>0130033R</t>
  </si>
  <si>
    <t>LYCEE PROFESSIONNEL LOUIS BLERIOT LYCEE DES METIERS DE L INDUSTRIE ET DES SERVICES</t>
  </si>
  <si>
    <t>0130038W</t>
  </si>
  <si>
    <t>LYCEE GENERAL ET TECHNOLOGIQUE MARSEILLEVEYRE</t>
  </si>
  <si>
    <t>0130043B</t>
  </si>
  <si>
    <t>0130057S</t>
  </si>
  <si>
    <t>LYCEE PROFESSIONNEL RENE CAILLIE LYCEE DES METIERS DU BATIMENT DES TRAVAUX PUBLICS ET DE LA TOPOGRAPHIE</t>
  </si>
  <si>
    <t>0130063Y</t>
  </si>
  <si>
    <t>LYCEE PROFESSIONNEL LEAU LYCEE DES METIERS DE L ESTHETIQUE DE LA COIFFURE ET DES METIERS ASSOCIES</t>
  </si>
  <si>
    <t>0130160D</t>
  </si>
  <si>
    <t>LYCEE GENERAL ET TECHNOLOGIQUE L EMPERI</t>
  </si>
  <si>
    <t>0130171R</t>
  </si>
  <si>
    <t>LYCEE PROFESSIONNEL LYCEE DES METIERS CHARLES PRIVAT</t>
  </si>
  <si>
    <t>0131324U</t>
  </si>
  <si>
    <t>LYCEE GENERAL PRIVE LACORDAIRE</t>
  </si>
  <si>
    <t>0131327X</t>
  </si>
  <si>
    <t>LYCEE GENERAL PRIVE DE TOUR SAINTE</t>
  </si>
  <si>
    <t>0131341M</t>
  </si>
  <si>
    <t>0131391S</t>
  </si>
  <si>
    <t>LYCEE DES METIERS PRIVE ST ELOI</t>
  </si>
  <si>
    <t>0131432L</t>
  </si>
  <si>
    <t>LYCEE DES METIERS PRIVE SAINT ANDRE LYCEE DES METIERS DU TRANSPORT DE LA LOGISTIQUE ET DE LA MAINTENANCE DES VEHICULES INDUSTRIELS</t>
  </si>
  <si>
    <t>0131484T</t>
  </si>
  <si>
    <t>LYCEE DES METIERS PRIVE BRISE LAMES</t>
  </si>
  <si>
    <t>0131606A</t>
  </si>
  <si>
    <t>LYCEE PROFESSIONNEL LA CALADE LYCEE DES METIERS DE LA MODE ET DU TERTIAIRE</t>
  </si>
  <si>
    <t>0132276D</t>
  </si>
  <si>
    <t>LYCEE PROFESSIONNEL LYCEE DES METIERS LATECOERE</t>
  </si>
  <si>
    <t>0132472S</t>
  </si>
  <si>
    <t>LYCEE GENERAL PRIVE YAVNE</t>
  </si>
  <si>
    <t>0132790M</t>
  </si>
  <si>
    <t>LYCEE PROFESSIONNEL PRIVE JACQUES RAYNAUD</t>
  </si>
  <si>
    <t>0133274N</t>
  </si>
  <si>
    <t>0133314G</t>
  </si>
  <si>
    <t>LYCEE GENERAL ET TECHNOLOGIQUE PRIVE SAINT LOUIS SAINTE MARIE</t>
  </si>
  <si>
    <t>GIGNAC LA NERTHE</t>
  </si>
  <si>
    <t>0133425C</t>
  </si>
  <si>
    <t>LYCEE DES METIERS PRIVE CELONY</t>
  </si>
  <si>
    <t>0133555U</t>
  </si>
  <si>
    <t>LYCEE GENERAL PRIVE AMI</t>
  </si>
  <si>
    <t>0140018U</t>
  </si>
  <si>
    <t>LYCEE PROFESSIONNEL VICTOR LEPINE LYCEE DES METIERS D ARTS APPLIQUES A LA CREATION ET AU BIEN ETRE</t>
  </si>
  <si>
    <t>0140019V</t>
  </si>
  <si>
    <t>LYCEE PROFESSIONNEL CAMILLE CLAUDEL LYCEE DES METIERS DES SERVICES</t>
  </si>
  <si>
    <t>0141165R</t>
  </si>
  <si>
    <t>LYCEE GENERAL PRIVE COURS NOTRE DAME</t>
  </si>
  <si>
    <t>0141175B</t>
  </si>
  <si>
    <t>LYCEE GENERAL ET TECHNOLOGIQUE PRIVE INSTITUT LEMONNIER</t>
  </si>
  <si>
    <t>0141192V</t>
  </si>
  <si>
    <t>0141193W</t>
  </si>
  <si>
    <t>LYCEE PROFESSIONNEL PRIVE NOTRE DAME DE NAZARETH</t>
  </si>
  <si>
    <t>0141197A</t>
  </si>
  <si>
    <t>LYCEE PROFESSIONNEL PRIVE ORPHELINS APPRENTIS D AUTEUIL</t>
  </si>
  <si>
    <t>0141599M</t>
  </si>
  <si>
    <t>LYCEE PROFESSIONNEL JEAN JOORIS</t>
  </si>
  <si>
    <t>DIVES SUR MER</t>
  </si>
  <si>
    <t>0142059M</t>
  </si>
  <si>
    <t>0142132S</t>
  </si>
  <si>
    <t>LYCEE POLYVALENT FRANCOIS RABELAIS LYCEE DES METIERS DE L HOTELLERIE ET DE LA RESTAURATION</t>
  </si>
  <si>
    <t>IFS</t>
  </si>
  <si>
    <t>0150006A</t>
  </si>
  <si>
    <t>LYCEE POLYVALENT MONNET MERMOZ LYCEE DES METIERS DES SCIENCES ET TECHNIQUES APPLIQUEES A L INDUSTRIE ET AUX SERVICES</t>
  </si>
  <si>
    <t>0150051Z</t>
  </si>
  <si>
    <t>LYCEE GENERAL PRIVE LA PRESENTATION</t>
  </si>
  <si>
    <t>0160002R</t>
  </si>
  <si>
    <t>LYCEE GUEZ DE BALZAC</t>
  </si>
  <si>
    <t>0160036C</t>
  </si>
  <si>
    <t>LYCEE PROFESSIONNEL JEAN CAILLAUD LYCEE DES METIERS DE L ENERGIE DE LA METALLURGIE ET DE LA VENTE</t>
  </si>
  <si>
    <t>RUELLE SUR TOUVRE</t>
  </si>
  <si>
    <t>0160119T</t>
  </si>
  <si>
    <t>LYCEE PROFESSIONNEL LOUIS DELAGE</t>
  </si>
  <si>
    <t>0160792Z</t>
  </si>
  <si>
    <t>LYCEE PROFESSIONNEL SILLAC LYCEE DES METIERS DE L HABITAT DU BATIMENT ET DE LA TOPOGRAPHIE</t>
  </si>
  <si>
    <t>0160862A</t>
  </si>
  <si>
    <t>LYCEE PROFESSIONNEL JEAN ALBERT GREGOIRE LYCEE DES METIERS DU TRANSPORT DE LA LOGISTIQUE ET DE LA MAINTENANCE AUTOMOBILE</t>
  </si>
  <si>
    <t>SOYAUX</t>
  </si>
  <si>
    <t>0161133V</t>
  </si>
  <si>
    <t>LYCEE PROFESSIONNEL PRIVE SAINTE MARTHE CHAVAGNES</t>
  </si>
  <si>
    <t>0170029P</t>
  </si>
  <si>
    <t>LYCEE GENERAL ET TECHNOLOGIQUE LEONCE VIELJEUX</t>
  </si>
  <si>
    <t>0170058W</t>
  </si>
  <si>
    <t>LYCEE GENERAL ET TECHNOLOGIQUE BELLEVUE</t>
  </si>
  <si>
    <t>0170060Y</t>
  </si>
  <si>
    <t>0180006J</t>
  </si>
  <si>
    <t>LYCEE GENERAL ET TECHNOLOGIQUE MARGUERITE DE NAVARRE</t>
  </si>
  <si>
    <t>0180008L</t>
  </si>
  <si>
    <t>LYCEE POLYVALENT PIERRE EMILE MARTIN LYCEE DES METIERS DE L INGENIERIE DE L ENERGIE ET DE L ENVIRONNEMENT</t>
  </si>
  <si>
    <t>0180010N</t>
  </si>
  <si>
    <t>LYCEE PROFESSIONNEL JEAN MERMOZ LYCEE DES METIERS DE L INDUSTRIE DU TERTIAIRE ET DU SERVICE A LA PERSONNE</t>
  </si>
  <si>
    <t>0180035R</t>
  </si>
  <si>
    <t>LYCEE POLYVALENT EDOUARD VAILLANT</t>
  </si>
  <si>
    <t>0180042Y</t>
  </si>
  <si>
    <t>LYCEE PROFESSIONNEL JACQUES COEUR</t>
  </si>
  <si>
    <t>0180571Y</t>
  </si>
  <si>
    <t>LYCEE POLYVALENT PRIVE ST JEAN BAPTISTE DE LA SALLE</t>
  </si>
  <si>
    <t>0190010H</t>
  </si>
  <si>
    <t>LYCEE GENERAL ET TECHNOLOGIQUE GEORGES CABANIS</t>
  </si>
  <si>
    <t>0190083M</t>
  </si>
  <si>
    <t>LYCEE POLYVALENT PRIVE MARGUERITE BAHUET</t>
  </si>
  <si>
    <t>0210015C</t>
  </si>
  <si>
    <t>0210019G</t>
  </si>
  <si>
    <t>LYCEE POLYVALENT LE CASTEL</t>
  </si>
  <si>
    <t>0211090W</t>
  </si>
  <si>
    <t>LYCEE POLYVALENT PRIVE SAINT BENIGNE</t>
  </si>
  <si>
    <t>0211091X</t>
  </si>
  <si>
    <t>LYCEE POLYVALENT PRIVE LES ARCADES</t>
  </si>
  <si>
    <t>0211356K</t>
  </si>
  <si>
    <t>LYCEE PROFESSIONNEL ANTOINE</t>
  </si>
  <si>
    <t>CHENOVE</t>
  </si>
  <si>
    <t>0220023F</t>
  </si>
  <si>
    <t>LYCEE GENERAL ET TECHNOLOGIQUE FELIX LE DANTEC</t>
  </si>
  <si>
    <t>0220027K</t>
  </si>
  <si>
    <t>LYCEE POLYVALENT FULGENCE BIENVENÜE</t>
  </si>
  <si>
    <t>0220123P</t>
  </si>
  <si>
    <t>LYCEE PROFESSIONNEL PRIVE SAINT JOSEPH BOSSUET</t>
  </si>
  <si>
    <t>0240035H</t>
  </si>
  <si>
    <t>LYCEE GENERAL ET TECHNOLOGIQUE PRE DE CORDY</t>
  </si>
  <si>
    <t>0240039M</t>
  </si>
  <si>
    <t>LYCEE PROFESSIONNEL PORTE D AQUITAINE</t>
  </si>
  <si>
    <t>THIVIERS</t>
  </si>
  <si>
    <t>0240089S</t>
  </si>
  <si>
    <t>0250001R</t>
  </si>
  <si>
    <t>LYCEE PROFESSIONNEL NELSON MANDELA LYCEE DES METIERS DE LA PLASTURGIE DE L HYGIENE PROPRETE ET DES SERVICES</t>
  </si>
  <si>
    <t>AUDINCOURT</t>
  </si>
  <si>
    <t>0250008Y</t>
  </si>
  <si>
    <t>0250010A</t>
  </si>
  <si>
    <t>LYCEE GENERAL ET TECHNOLOGIQUE LOUIS PERGAUD</t>
  </si>
  <si>
    <t>0250030X</t>
  </si>
  <si>
    <t>LYCEE GENERAL ET TECHNOLOGIQUE GEORGES CUVIER</t>
  </si>
  <si>
    <t>0251035P</t>
  </si>
  <si>
    <t>LYCEE PROFESSIONNEL PRIVE SAINTE FAMILLE</t>
  </si>
  <si>
    <t>0251079M</t>
  </si>
  <si>
    <t>LYCEE PROFESSIONNEL TRISTAN BERNARD</t>
  </si>
  <si>
    <t>0251112Y</t>
  </si>
  <si>
    <t>LYCEE PROFESSIONNEL PRIVE SAINT BENIGNE</t>
  </si>
  <si>
    <t>0251349F</t>
  </si>
  <si>
    <t>LYCEE PROFESSIONNEL TOUSSAINT LOUVERTURE</t>
  </si>
  <si>
    <t>0251711Z</t>
  </si>
  <si>
    <t>LYCEE POLYVALENT CLAUDE NICOLAS LEDOUX</t>
  </si>
  <si>
    <t>0260022H</t>
  </si>
  <si>
    <t>LYCEE GENERAL ALBERT TRIBOULET</t>
  </si>
  <si>
    <t>0260116K</t>
  </si>
  <si>
    <t>LYCEE PROFESSIONNEL MONTESQUIEU</t>
  </si>
  <si>
    <t>0270051J</t>
  </si>
  <si>
    <t>LYCEE PROFESSIONNEL MODESTE LEROY LYCEE DES METIERS DES SCIENCES DE L INGENIERIE ET DE L INDUSTRIE</t>
  </si>
  <si>
    <t>0271081D</t>
  </si>
  <si>
    <t>LYCEE PROFESSIONNEL PRIVE SAINT OUEN</t>
  </si>
  <si>
    <t>0271282X</t>
  </si>
  <si>
    <t>LYCEE GENERAL ET TECHNOLOGIQUE PRIVE JEANNE D ARC SAINT ANSELME</t>
  </si>
  <si>
    <t>0271582Y</t>
  </si>
  <si>
    <t>LYCEE GENERAL ET TECHNOLOGIQUE MARC BLOCH</t>
  </si>
  <si>
    <t>VAL DE REUIL</t>
  </si>
  <si>
    <t>0280009H</t>
  </si>
  <si>
    <t>LYCEE PROFESSIONNEL PHILIBERT DE L ORME</t>
  </si>
  <si>
    <t>LUCE</t>
  </si>
  <si>
    <t>0280019U</t>
  </si>
  <si>
    <t>LYCEE GENERAL ET TECHNOLOGIQUE ROTROU</t>
  </si>
  <si>
    <t>0280021W</t>
  </si>
  <si>
    <t>LYCEE POLYVALENT EDOUARD BRANLY LYCEE DES METIERS DES SCIENCES ET DE L INDUSTRIE</t>
  </si>
  <si>
    <t>0280864M</t>
  </si>
  <si>
    <t>LYCEE PROFESSIONNEL ELSA TRIOLET LYCEE DES METIERS DE L ACCUEIL DU COMMERCE ET DES SERVICES ADMINISTRATIFS</t>
  </si>
  <si>
    <t>0290071V</t>
  </si>
  <si>
    <t>LYCEE POLYVALENT YVES THEPOT</t>
  </si>
  <si>
    <t>0290092T</t>
  </si>
  <si>
    <t>LYCEE PROFESSIONNEL DE PONT DE BUIS LYCEE DES METIERS DE L AUTOMOBILE</t>
  </si>
  <si>
    <t>PONT DE BUIS LES QUIMERCH</t>
  </si>
  <si>
    <t>0290098Z</t>
  </si>
  <si>
    <t>LYCEE GENERAL ET TECHNOLOGIQUE CORNOUAILLE</t>
  </si>
  <si>
    <t>0290159R</t>
  </si>
  <si>
    <t>LYCEE GENERAL ET TECHNOLOGIQUE PRIVE SAINT SEBASTIEN</t>
  </si>
  <si>
    <t>0290168A</t>
  </si>
  <si>
    <t>0290174G</t>
  </si>
  <si>
    <t>LYCEE GENERAL PRIVE NOTRE DAME DE KERBERTRAND</t>
  </si>
  <si>
    <t>0290181P</t>
  </si>
  <si>
    <t>LYCEE GENERAL ET TECHNOLOGIQUE PRIVE JAVOUHEY</t>
  </si>
  <si>
    <t>0291654R</t>
  </si>
  <si>
    <t>0292047T</t>
  </si>
  <si>
    <t>LYCEE GENERAL ET TECHNOLOGIQUE DU LEON</t>
  </si>
  <si>
    <t>0292157M</t>
  </si>
  <si>
    <t>0300052U</t>
  </si>
  <si>
    <t>LYCEE POLYVALENT ANDRE CHAMSON</t>
  </si>
  <si>
    <t>LE VIGAN</t>
  </si>
  <si>
    <t>0300125Y</t>
  </si>
  <si>
    <t>LYCEE POLYVALENT PRIVE DE LA SALLE</t>
  </si>
  <si>
    <t>0301499S</t>
  </si>
  <si>
    <t>LYCEE POLYVALENT PRIVE D ALZON SAINT FELIX</t>
  </si>
  <si>
    <t>0301552Z</t>
  </si>
  <si>
    <t>LYCEE GENERAL ET TECHNOLOGIQUE PHILIPPE LAMOUR</t>
  </si>
  <si>
    <t>0310033T</t>
  </si>
  <si>
    <t>LYCEE PROFESSIONNEL ELISABETH ET NORBERT CASTERET</t>
  </si>
  <si>
    <t>0310046G</t>
  </si>
  <si>
    <t>LYCEE POLYVALENT HOTELIER LYCEE DES METIERS DE L HOTELLERIE ET DU TOURISME D OCCITANIE</t>
  </si>
  <si>
    <t>0311126F</t>
  </si>
  <si>
    <t>LYCEE GENERAL PRIVE LE FERRADOU</t>
  </si>
  <si>
    <t>0311324W</t>
  </si>
  <si>
    <t>LYCEE PROFESSIONNEL DU MIRAIL</t>
  </si>
  <si>
    <t>0311970Y</t>
  </si>
  <si>
    <t>LYCEE PROFESSIONNEL PRIVE SAINTE MARIE DE NEVERS</t>
  </si>
  <si>
    <t>0312191N</t>
  </si>
  <si>
    <t>LYCEE PROFESSIONNEL PRIVE ORT MAURICE GRYNFOGEL</t>
  </si>
  <si>
    <t>0312356T</t>
  </si>
  <si>
    <t>LYCEE GENERAL PRIVE OHR TORAH LEDER INSTITIT</t>
  </si>
  <si>
    <t>0312696M</t>
  </si>
  <si>
    <t>LYCEE GENERAL PIERRE BOURDIEU</t>
  </si>
  <si>
    <t>FRONTON</t>
  </si>
  <si>
    <t>0312754A</t>
  </si>
  <si>
    <t>LYCEE GENERAL CLEMENCE ROYER</t>
  </si>
  <si>
    <t>FONSORBES</t>
  </si>
  <si>
    <t>0320015T</t>
  </si>
  <si>
    <t>LYCEE POLYVALENT MARECHAL LANNES</t>
  </si>
  <si>
    <t>0330010G</t>
  </si>
  <si>
    <t>LYCEE GENERAL ET TECHNOLOGIQUE ANATOLE DE MONZIE</t>
  </si>
  <si>
    <t>0330082K</t>
  </si>
  <si>
    <t>LYCEE PROFESSIONNEL SUD GIRONDE LYCEE DES METIERS DE L INDUSTRIE ET DE L HABITAT DU SUD GIRONDE</t>
  </si>
  <si>
    <t>0330088S</t>
  </si>
  <si>
    <t>LYCEE GENERAL ET TECHNOLOGIQUE MAX LINDER</t>
  </si>
  <si>
    <t>0330102G</t>
  </si>
  <si>
    <t>LYCEE PROFESSIONNEL ODILON REDON</t>
  </si>
  <si>
    <t>0331488N</t>
  </si>
  <si>
    <t>LYCEE GENERAL PRIVE SAINT ELME</t>
  </si>
  <si>
    <t>0331498Z</t>
  </si>
  <si>
    <t>LYCEE GENERAL PRIVE DU MIRAIL</t>
  </si>
  <si>
    <t>0331504F</t>
  </si>
  <si>
    <t>LYCEE GENERAL PRIVE LA SAUQUE</t>
  </si>
  <si>
    <t>LA BREDE</t>
  </si>
  <si>
    <t>0331590Z</t>
  </si>
  <si>
    <t>0331882S</t>
  </si>
  <si>
    <t>LYCEE PROFESSIONNEL EMILE COMBES</t>
  </si>
  <si>
    <t>BEGLES</t>
  </si>
  <si>
    <t>0332081H</t>
  </si>
  <si>
    <t>LYCEE GENERAL ET TECHNOLOGIQUE ODILON REDON</t>
  </si>
  <si>
    <t>0332344U</t>
  </si>
  <si>
    <t>LYCEE PROFESSIONNEL HENRI BRULLE</t>
  </si>
  <si>
    <t>0332346W</t>
  </si>
  <si>
    <t>LYCEE PROFESSIONNEL PHILIPPE COUSTEAU</t>
  </si>
  <si>
    <t>0332496J</t>
  </si>
  <si>
    <t>LYCEE PROFESSIONNEL PRIVE SAINTE FAMILLE SAINTONGE LYCEE DES METIERS DE L INDUSTRIE ET DU BATIMENT</t>
  </si>
  <si>
    <t>0332535B</t>
  </si>
  <si>
    <t>0332550T</t>
  </si>
  <si>
    <t>LYCEE PROFESSIONNEL PRIVE SAINT GENES LA SALLE LYCEE DES METIERS</t>
  </si>
  <si>
    <t>0332745E</t>
  </si>
  <si>
    <t>LYCEE GENERAL JEAN MONNET</t>
  </si>
  <si>
    <t>0332832Z</t>
  </si>
  <si>
    <t>LYCEE POLYVALENT LES IRIS</t>
  </si>
  <si>
    <t>0332835C</t>
  </si>
  <si>
    <t>LYCEE GENERAL ET TECHNOLOGIQUE PHILIPPE COUSTEAU</t>
  </si>
  <si>
    <t>0332870R</t>
  </si>
  <si>
    <t>LYCEE POLYVALENT DE LA MER LYCEE DES METIERS DE LA MER</t>
  </si>
  <si>
    <t>GUJAN MESTRAS</t>
  </si>
  <si>
    <t>0333273D</t>
  </si>
  <si>
    <t>LYCEE POLYVALENT VACLAV HAVEL</t>
  </si>
  <si>
    <t>0340002T</t>
  </si>
  <si>
    <t>LYCEE POLYVALENT AUGUSTE LOUBATIERES</t>
  </si>
  <si>
    <t>AGDE</t>
  </si>
  <si>
    <t>0340038G</t>
  </si>
  <si>
    <t>LYCEE GENERAL ET TECHNOLOGIQUE JOFFRE</t>
  </si>
  <si>
    <t>0340069R</t>
  </si>
  <si>
    <t>LYCEE PROFESSIONNEL JACQUES BREL LYCEE DES METIERS DE LA MOTO</t>
  </si>
  <si>
    <t>SAINT PONS DE THOMIERES</t>
  </si>
  <si>
    <t>0340075X</t>
  </si>
  <si>
    <t>LYCEE GENERAL PAUL VALERY</t>
  </si>
  <si>
    <t>0340920R</t>
  </si>
  <si>
    <t>LYCEE PROFESSIONNEL PRIVE TURGOT LYCEE DES METIERS DE LA SANTE ET DU SOCIAL</t>
  </si>
  <si>
    <t>0341915X</t>
  </si>
  <si>
    <t>SECTION D ENSEIGNEMENT GENERAL ET TECHNOLOGIQUE DU LYCEE AGRICOLE FREDERIC BAZILLE AGROPOLIS</t>
  </si>
  <si>
    <t>0342091N</t>
  </si>
  <si>
    <t>LYCEE POLYVALENT MARC BLOCH</t>
  </si>
  <si>
    <t>SERIGNAN</t>
  </si>
  <si>
    <t>0342175E</t>
  </si>
  <si>
    <t>LYCEE POLYVALENT PRIVE LA MERCI LITTORAL</t>
  </si>
  <si>
    <t>LA GRANDE MOTTE</t>
  </si>
  <si>
    <t>0342298N</t>
  </si>
  <si>
    <t>LYCEE D ENSEIGNEMENT GENERAL PRIVE SAINT GUILHEM</t>
  </si>
  <si>
    <t>0350029S</t>
  </si>
  <si>
    <t>LYCEE GENERAL ET TECHNOLOGIQUE JOLIOT CURIE</t>
  </si>
  <si>
    <t>0350042F</t>
  </si>
  <si>
    <t>LYCEE GENERAL ET TECHNOLOGIQUE MAUPERTUIS</t>
  </si>
  <si>
    <t>0350709F</t>
  </si>
  <si>
    <t>LYCEE PROFESSIONNEL LA CHAMPAGNE LYCEE DES METIERS</t>
  </si>
  <si>
    <t>0350710G</t>
  </si>
  <si>
    <t>LYCEE GENERAL FRANCOIS RENE DE CHATEAUBRIAND</t>
  </si>
  <si>
    <t>0350774B</t>
  </si>
  <si>
    <t>LYCEE GENERAL ET TECHNOLOGIQUE PRIVE SAINT SAUVEUR</t>
  </si>
  <si>
    <t>0350793X</t>
  </si>
  <si>
    <t>CESSON SEVIGNE</t>
  </si>
  <si>
    <t>0350808N</t>
  </si>
  <si>
    <t>LYCEE POLYVALENT PRIVE SAINTE JEANNE D ARC LYCEE DES METIERS DES SYSTEMES ELECTRONIQUES</t>
  </si>
  <si>
    <t>0352304P</t>
  </si>
  <si>
    <t>0352446U</t>
  </si>
  <si>
    <t>LYCEE PROFESSIONNEL PRIVE SAINTE THERESE LYCEE DES METIERS DE LA RESTAURATION ET DE L HOTELLERIE</t>
  </si>
  <si>
    <t>LA GUERCHE DE BRETAGNE</t>
  </si>
  <si>
    <t>0352686E</t>
  </si>
  <si>
    <t>LYCEE GENERAL ET TECHNOLOGIQUE ANITA CONTI</t>
  </si>
  <si>
    <t>0352867B</t>
  </si>
  <si>
    <t>SGT EDUCATION NATIONALE DU LYCEE AGRICOLE THEODORE MONOD</t>
  </si>
  <si>
    <t>LE RHEU</t>
  </si>
  <si>
    <t>0360019A</t>
  </si>
  <si>
    <t>LYCEE POLYVALENT GEORGE SAND</t>
  </si>
  <si>
    <t>LA CHATRE</t>
  </si>
  <si>
    <t>0360043B</t>
  </si>
  <si>
    <t>0370036N</t>
  </si>
  <si>
    <t>LYCEE GENERAL ET TECHNOLOGIQUE BALZAC</t>
  </si>
  <si>
    <t>0370038R</t>
  </si>
  <si>
    <t>LYCEE GENERAL ET TECHNOLOGIQUE GRANDMONT</t>
  </si>
  <si>
    <t>0370737A</t>
  </si>
  <si>
    <t>LYCEE GENERAL PRIVE SAINT DENIS</t>
  </si>
  <si>
    <t>0370881G</t>
  </si>
  <si>
    <t>LYCEE GENERAL ET TECHNOLOGIQUE PRIVE MARMOUTIER</t>
  </si>
  <si>
    <t>0371328T</t>
  </si>
  <si>
    <t>LYCEE PROFESSIONNEL PRIVE SAINTE URSULE</t>
  </si>
  <si>
    <t>0380008C</t>
  </si>
  <si>
    <t>LYCEE GENERAL ET TECHNOLOGIQUE L OISELET</t>
  </si>
  <si>
    <t>0380034F</t>
  </si>
  <si>
    <t>LYCEE POLYVALENT LOUISE MICHEL LYCEE DES METIERS AU SERVICE DE LA VIE ET DES ORGANISATIONS</t>
  </si>
  <si>
    <t>0380053B</t>
  </si>
  <si>
    <t>LYCEE POLYVALENT CHARLES GABRIEL PRAVAZ</t>
  </si>
  <si>
    <t>LE PONT DE BEAUVOISIN</t>
  </si>
  <si>
    <t>0381666E</t>
  </si>
  <si>
    <t>LYCEE GENERAL ET TECHNOLOGIQUE PRIVE PIERRE TERMIER</t>
  </si>
  <si>
    <t>0381678T</t>
  </si>
  <si>
    <t>LYCEE POLYVALENT PRIVE ROBIN</t>
  </si>
  <si>
    <t>0381732B</t>
  </si>
  <si>
    <t>LYCEE PROFESSIONNEL PRIVE FRANCOIS VERGUIN LYCEE DES METIERS DE LA CHIMIE ET DES PROCESS INDUSTRIELS</t>
  </si>
  <si>
    <t>0381733C</t>
  </si>
  <si>
    <t>0382274R</t>
  </si>
  <si>
    <t>LYCEE PROFESSIONNEL FRANCOISE DOLTO LYCEE DES METIERS DE LA SANTE ET DU SOCIAL</t>
  </si>
  <si>
    <t>FONTANIL CORNILLON</t>
  </si>
  <si>
    <t>0382893N</t>
  </si>
  <si>
    <t>LYCEE PROFESSIONNEL PRIVE JEAN MARIE VIANNEY</t>
  </si>
  <si>
    <t>0382920T</t>
  </si>
  <si>
    <t>0383242T</t>
  </si>
  <si>
    <t>LYCEE GENERAL INTERNATIONAL EUROPOLE</t>
  </si>
  <si>
    <t>0390020K</t>
  </si>
  <si>
    <t>LYCEE PROFESSIONNEL LE CORBUSIER BATIMENT</t>
  </si>
  <si>
    <t>0390027T</t>
  </si>
  <si>
    <t>LPO VICTOR BERARD LYCEE DES METIERS DE L OPTIQUE ET DES MICROTECHNIQUES</t>
  </si>
  <si>
    <t>HAUTS DE BIENNE</t>
  </si>
  <si>
    <t>0390029V</t>
  </si>
  <si>
    <t>LYCEE POLYVALENT DES METIERS DU BOIS</t>
  </si>
  <si>
    <t>0390094R</t>
  </si>
  <si>
    <t>0391001B</t>
  </si>
  <si>
    <t>0391092A</t>
  </si>
  <si>
    <t>LYCEE POLYVALENT PAUL EMILE VICTOR LYCEE DES METIERS DE LA PRODUCTION ET DE LA MAINTENANCE INDUSTRIELLES</t>
  </si>
  <si>
    <t>0400916D</t>
  </si>
  <si>
    <t>SAINT VINCENT DE PAUL</t>
  </si>
  <si>
    <t>0410002E</t>
  </si>
  <si>
    <t>LYCEE GENERAL ET TECHNOLOGIQUE F PHILIBERT DESSAIGNES</t>
  </si>
  <si>
    <t>0410030K</t>
  </si>
  <si>
    <t>LYCEE GENERAL ET TECHNOLOGIQUE RONSARD</t>
  </si>
  <si>
    <t>0410036S</t>
  </si>
  <si>
    <t>LYCEE PROFESSIONNEL DENIS PAPIN</t>
  </si>
  <si>
    <t>0410693F</t>
  </si>
  <si>
    <t>LYCEE POLYVALENT PRIVE LA PROVIDENCE LYCEE DES METIERS DES SERVICES A LA PERSONNE ET AUX ORGANISATIONS</t>
  </si>
  <si>
    <t>0410718H</t>
  </si>
  <si>
    <t>LYCEE PROFESSIONNEL VAL DE CHER LYCEE DES METIERS DE L ENERGIE ET DES SERVICES</t>
  </si>
  <si>
    <t>SAINT AIGNAN</t>
  </si>
  <si>
    <t>0410899E</t>
  </si>
  <si>
    <t>LYCEE POLYVALENT VAL DE LOIRE</t>
  </si>
  <si>
    <t>0411071S</t>
  </si>
  <si>
    <t>LYCEE GENERAL PRIVE</t>
  </si>
  <si>
    <t>PONTLEVOY</t>
  </si>
  <si>
    <t>0420013L</t>
  </si>
  <si>
    <t>0420042T</t>
  </si>
  <si>
    <t>LYCEE GENERAL ET TECHNOLOGIQUE HONORE D URFE</t>
  </si>
  <si>
    <t>0420043U</t>
  </si>
  <si>
    <t>0420076E</t>
  </si>
  <si>
    <t>LYCEE PROFESSIONNEL CARNOT</t>
  </si>
  <si>
    <t>0420079H</t>
  </si>
  <si>
    <t>LYCEE PROFESSIONNEL ETIENNE MIMARD</t>
  </si>
  <si>
    <t>0420984S</t>
  </si>
  <si>
    <t>LYCEE PROFESSIONNEL PRIVE SAINTE MARIE LYCEE DES METIERS DE LA VENTE ET DE LA COMMUNICATION VISUELLE</t>
  </si>
  <si>
    <t>0421002L</t>
  </si>
  <si>
    <t>LYCEE PROFESSIONNEL PRIVE JEAN BAPTISTE D ALLARD LYCEE DES METIERS DES SERVICES ET DES SOINS A LA PERSONNE</t>
  </si>
  <si>
    <t>0421034W</t>
  </si>
  <si>
    <t>0421976V</t>
  </si>
  <si>
    <t>LYCEE GENERAL ET TECHNOLOGIQUE FRANCOIS MAURIAC FOREZ</t>
  </si>
  <si>
    <t>0421979Y</t>
  </si>
  <si>
    <t>0422132P</t>
  </si>
  <si>
    <t>LYCEE GENERAL L ASTREE</t>
  </si>
  <si>
    <t>BOËN SUR LIGNON</t>
  </si>
  <si>
    <t>0422318S</t>
  </si>
  <si>
    <t>MONTROND LES BAINS</t>
  </si>
  <si>
    <t>0430065M</t>
  </si>
  <si>
    <t>0430947W</t>
  </si>
  <si>
    <t>0440022K</t>
  </si>
  <si>
    <t>LYCEE GENERAL JULES VERNE</t>
  </si>
  <si>
    <t>0440024M</t>
  </si>
  <si>
    <t>LYCEE GENERAL GABRIEL GUIST HAU</t>
  </si>
  <si>
    <t>0440029T</t>
  </si>
  <si>
    <t>LYCEE GENERAL ET TECHNOLOGIQUE LIVET</t>
  </si>
  <si>
    <t>0440030U</t>
  </si>
  <si>
    <t>LYCEE POLYVALENT GASPARD MONGE LA CHAUVINIERE</t>
  </si>
  <si>
    <t>0440036A</t>
  </si>
  <si>
    <t>LYCEE PROFESSIONNEL LOUIS ANTOINE DE BOUGAINVILLE LYCEE DES METIERS DE L HOTELLERIE RESTAURATION LYCEE DES METIERS DE LA RELATION CLIENTELE</t>
  </si>
  <si>
    <t>0440077V</t>
  </si>
  <si>
    <t>0440086E</t>
  </si>
  <si>
    <t>LYCEE GENERAL ET TECHNOLOGIQUE LA COLINIERE</t>
  </si>
  <si>
    <t>0440166S</t>
  </si>
  <si>
    <t>LYCEE GENERAL PRIVE NOTRE DAME DE TOUTES AIDES</t>
  </si>
  <si>
    <t>0440175B</t>
  </si>
  <si>
    <t>LYCEE GENERAL ET TECHNOLOGIQUE PRIVE GABRIEL DESHAYES</t>
  </si>
  <si>
    <t>SAINT GILDAS DES BOIS</t>
  </si>
  <si>
    <t>0440177D</t>
  </si>
  <si>
    <t>0440178E</t>
  </si>
  <si>
    <t>LYCEE GENERAL ET TECHNOLOGIQUE PRIVE NOTRE DAME D ESPERANCE</t>
  </si>
  <si>
    <t>0440274J</t>
  </si>
  <si>
    <t>0440352U</t>
  </si>
  <si>
    <t>0441982R</t>
  </si>
  <si>
    <t>LYCEE GENERAL ET TECHNOLOGIQUE PRIVE BRETAGNE</t>
  </si>
  <si>
    <t>0442083A</t>
  </si>
  <si>
    <t>CENTRE EDUCATIF NANTAIS POUR SPORTIFS</t>
  </si>
  <si>
    <t>LA CHAPELLE SUR ERDRE</t>
  </si>
  <si>
    <t>0442309W</t>
  </si>
  <si>
    <t>LYCEE GENERAL ET TECHNOLOGIQUE ALCIDE D ORBIGNY</t>
  </si>
  <si>
    <t>BOUAYE</t>
  </si>
  <si>
    <t>0450050K</t>
  </si>
  <si>
    <t>0451037H</t>
  </si>
  <si>
    <t>LYCEE PROFESSIONNEL MARGUERITE AUDOUX</t>
  </si>
  <si>
    <t>0451590J</t>
  </si>
  <si>
    <t>LYCEE PROFESSIONNEL PRIVE STE CROIX STE EUVERTE LYCEE DES METIERS DES TECHNIQUES INDUSTRIELLES DE LA COMMERCIALISATION DE LA SANTE ET DU SOCIAL</t>
  </si>
  <si>
    <t>0460038S</t>
  </si>
  <si>
    <t>LYCEE GENERAL ET TECHNOLOGIQUE PRIVE SAINT ETIENNE</t>
  </si>
  <si>
    <t>0460493L</t>
  </si>
  <si>
    <t>LYCEE POLYVALENT GASTON MONNERVILLE LYCEE DES METIERS DE L INDUSTRIE : MAINTENANCE PRODUCTION ELECTRICITE ET AUTOMOBILE</t>
  </si>
  <si>
    <t>0470015L</t>
  </si>
  <si>
    <t>LYCEE PROFESSIONNEL PORTE DU LOT LYCEE DES METIERS DE LA MAINTENANCE ET DES TRAVAUX PUBLICS</t>
  </si>
  <si>
    <t>CLAIRAC</t>
  </si>
  <si>
    <t>0470782V</t>
  </si>
  <si>
    <t>FOULAYRONNES</t>
  </si>
  <si>
    <t>0480009Z</t>
  </si>
  <si>
    <t>LYCEE D ENSEIGNEMENT GENERAL ET TECHNOLOGIQUE EMILE PEYTAVIN</t>
  </si>
  <si>
    <t>0480023P</t>
  </si>
  <si>
    <t>LYCEE POLYVALENT PRIVE SAINT JOSEPH LYCEE DES METIERS DES SERVICES ET SOINS A LA PERSONNE</t>
  </si>
  <si>
    <t>MARVEJOLS</t>
  </si>
  <si>
    <t>0480680D</t>
  </si>
  <si>
    <t>LYCEE POLYVALENT PRIVE SACRE COEUR LYCEE DES METIERS DE LA GASTRONOMIE HOTELLERIE DES TECHNIQUES DU BOIS ET DE LA MECANIQUE AGRICOLE</t>
  </si>
  <si>
    <t>SAINT CHELY D APCHER</t>
  </si>
  <si>
    <t>0480688M</t>
  </si>
  <si>
    <t>LYCEE POLYVALENT THEOPHILE ROUSSEL LYCEE DES METIERS DU TRAITEMENT DES MATERIEUX ET DE METIERS DE SERVICE</t>
  </si>
  <si>
    <t>0490040C</t>
  </si>
  <si>
    <t>LYCEE GENERAL DUPLESSIS MORNAY</t>
  </si>
  <si>
    <t>0490824E</t>
  </si>
  <si>
    <t>LYCEE GENERAL PRIVE SAINT BENOIT SITE COLLEGIALE</t>
  </si>
  <si>
    <t>0490834R</t>
  </si>
  <si>
    <t>LYCEE GENERAL PRIVE NOTRE DAME D ORVEAU</t>
  </si>
  <si>
    <t>0490904S</t>
  </si>
  <si>
    <t>LYCEE POLYVALENT PRIVE JEANNE DELANOUE LYCEE DES METIERS</t>
  </si>
  <si>
    <t>0492224B</t>
  </si>
  <si>
    <t>LYCEE POLYVALENT DE L HYROME</t>
  </si>
  <si>
    <t>0492430A</t>
  </si>
  <si>
    <t>LYCEE POLYVALENT JULIEN GRACQ</t>
  </si>
  <si>
    <t>0500017X</t>
  </si>
  <si>
    <t>LYCEE POLYVALENT ALEXIS DE TOCQUEVILLE</t>
  </si>
  <si>
    <t>0500082T</t>
  </si>
  <si>
    <t>LYCEE GENERAL ET TECHNOLOGIQUE HENRI CORNAT</t>
  </si>
  <si>
    <t>VALOGNES</t>
  </si>
  <si>
    <t>0501850P</t>
  </si>
  <si>
    <t>LYCEE POLYVALENT MAURICE MARLAND</t>
  </si>
  <si>
    <t>0502009M</t>
  </si>
  <si>
    <t>LYCEE PROFESSIONNEL THOMAS PESQUET LYCEE DES METIERS</t>
  </si>
  <si>
    <t>0510007F</t>
  </si>
  <si>
    <t>LYCEE POLYVALENT ETIENNE OEHMICHEN LYCEE DES METIERS DE L INDUSTRIE DU TRANSPORT ET DE LA LOGISTIQUE DE L HOTELLERIE RESTAURATION</t>
  </si>
  <si>
    <t>0510031G</t>
  </si>
  <si>
    <t>LYCEE GENERAL GEORGES CLEMENCEAU</t>
  </si>
  <si>
    <t>0511146U</t>
  </si>
  <si>
    <t>LYCEE POLYVALENT PRIVE SAINT JEAN BAPTISTE DE LA SALLE LYCEE DES METIERS DE LA MAINTENANCE ET DE L AUDIOVISUEL</t>
  </si>
  <si>
    <t>0511147V</t>
  </si>
  <si>
    <t>LYCEE POLYVALENT PRIVE FREDERIC OZANAM LYCEE DES METIERS DES SERVICES A LA PERSONNE</t>
  </si>
  <si>
    <t>0511153B</t>
  </si>
  <si>
    <t>LYCEE PROFESSIONNEL PRIVE JEANNE D ARC LA SALLE</t>
  </si>
  <si>
    <t>0511565Z</t>
  </si>
  <si>
    <t>LYCEE POLYVALENT FRANCOIS ARAGO LYCEE DES METIERS DE L EFFICACITE ENERGETIQUE DU BATIMENT ET DES TRAVAUX PUBLICS</t>
  </si>
  <si>
    <t>0511926S</t>
  </si>
  <si>
    <t>LYCEE GENERAL ET TECHNOLOGIQUE MARC CHAGALL</t>
  </si>
  <si>
    <t>0511951U</t>
  </si>
  <si>
    <t>LYCEE POLYVALENT JEAN TALON LYCEE DES METIERS DE LA GESTION DE LA COMPTABILITE ET DU COMMERCE</t>
  </si>
  <si>
    <t>0520027X</t>
  </si>
  <si>
    <t>LYCEE GENERAL ET TECHNOLOGIQUE ST EXUPERY</t>
  </si>
  <si>
    <t>0520692V</t>
  </si>
  <si>
    <t>LYCEE PROFESSIONNEL PRIVE ESTIC</t>
  </si>
  <si>
    <t>0521032P</t>
  </si>
  <si>
    <t>LYCEE POLYVALENT CHARLES DE GAULLE LYCEE DES METIERS DU DESIGN GRAPHIQUE ET DE LA TRANSFORMATION DU BOIS</t>
  </si>
  <si>
    <t>0530010Y</t>
  </si>
  <si>
    <t>LYCEE GENERAL ET TECHNOLOGIQUE AMBROISE PARE</t>
  </si>
  <si>
    <t>0530068L</t>
  </si>
  <si>
    <t>LYCEE POLYVALENT PRIVE HAUTE FOLLIS</t>
  </si>
  <si>
    <t>0540037X</t>
  </si>
  <si>
    <t>LYCEE PROFESSIONNEL PAUL LAPIE</t>
  </si>
  <si>
    <t>0540040A</t>
  </si>
  <si>
    <t>LYCEE GENERAL ET TECHNOLOGIQUE FREDERIC CHOPIN</t>
  </si>
  <si>
    <t>0540070H</t>
  </si>
  <si>
    <t>LYCEE GENERAL ET TECHNOLOGIQUE JACQUES CALLOT</t>
  </si>
  <si>
    <t>VANDOEUVRE LES NANCY</t>
  </si>
  <si>
    <t>0541286E</t>
  </si>
  <si>
    <t>LYCEE GENERAL ET TECHNOLOGIQUE LOUIS BERTRAND</t>
  </si>
  <si>
    <t>0541370W</t>
  </si>
  <si>
    <t>LYCEE PROFESSIONNEL PRIVE CLAUDE DAUNOT</t>
  </si>
  <si>
    <t>0541605B</t>
  </si>
  <si>
    <t>LYCEE PROFESSIONNEL JEAN MARC REISER</t>
  </si>
  <si>
    <t>LONGLAVILLE</t>
  </si>
  <si>
    <t>0542208G</t>
  </si>
  <si>
    <t>LYCEE POLYVALENT STANISLAS</t>
  </si>
  <si>
    <t>VILLERS LES NANCY</t>
  </si>
  <si>
    <t>0542408Z</t>
  </si>
  <si>
    <t>0550003E</t>
  </si>
  <si>
    <t>LYCEE PROFESSIONNEL EMILE ZOLA</t>
  </si>
  <si>
    <t>0560001X</t>
  </si>
  <si>
    <t>LYCEE PROFESSIONNEL BERTRAND DU GUESCLIN LYCEE DES METIERS D ART</t>
  </si>
  <si>
    <t>0560008E</t>
  </si>
  <si>
    <t>LYCEE PROFESSIONNEL EMILE JAMES LYCEE DES METIERS DE LA MAINTENANCE NAUTIQUE LYCEE DES METIERS DE LA CARROSSERIE</t>
  </si>
  <si>
    <t>ETEL</t>
  </si>
  <si>
    <t>0560117Y</t>
  </si>
  <si>
    <t>0560180S</t>
  </si>
  <si>
    <t>LYCEE POLYVALENT PRIVE NOTRE DAME DE LA PAIX</t>
  </si>
  <si>
    <t>PLOEMEUR</t>
  </si>
  <si>
    <t>0570058D</t>
  </si>
  <si>
    <t>LYCEE GENERAL ET TECHNOLOGIQUE LOUIS VINCENT</t>
  </si>
  <si>
    <t>0570087K</t>
  </si>
  <si>
    <t>LYCEE CHARLES JULLY LYCEE DES METIERS ET DES TECHNOLOGIES INNOVANTES</t>
  </si>
  <si>
    <t>0570100Z</t>
  </si>
  <si>
    <t>LYCEE PROFESSIONNEL SIMON LAZARD</t>
  </si>
  <si>
    <t>0570211V</t>
  </si>
  <si>
    <t>LYCEE GENERAL PRIVE SAINT ANTOINE</t>
  </si>
  <si>
    <t>0570216A</t>
  </si>
  <si>
    <t>LYCEE GENERAL PRIVE SAINT PIERRE CHANEL</t>
  </si>
  <si>
    <t>0570241C</t>
  </si>
  <si>
    <t>0570268G</t>
  </si>
  <si>
    <t>LYCEE PROFESSIONNEL PRIVE SAINTE CHRETIENNE</t>
  </si>
  <si>
    <t>0570279U</t>
  </si>
  <si>
    <t>0570283Y</t>
  </si>
  <si>
    <t>LYCEE PROFESSIONNEL PRIVEE ST ETIENNE</t>
  </si>
  <si>
    <t>0572027U</t>
  </si>
  <si>
    <t>LYCEE POLYVALENT ROSA PARKS</t>
  </si>
  <si>
    <t>0572590F</t>
  </si>
  <si>
    <t>TALANGE</t>
  </si>
  <si>
    <t>0572757M</t>
  </si>
  <si>
    <t>0572951Y</t>
  </si>
  <si>
    <t>0573231C</t>
  </si>
  <si>
    <t>LYCEE CONDORCET LYCEE DES METIERS DES SCIENCES ET DES TECHNOLOGIES DE L INFORMATION ET DE LA COMMUNICATION</t>
  </si>
  <si>
    <t>SCHOENECK</t>
  </si>
  <si>
    <t>0573281G</t>
  </si>
  <si>
    <t>LYCEE GENERAL ET TECHNOLOGIQUE DE LA COMMUNICATION</t>
  </si>
  <si>
    <t>0580031U</t>
  </si>
  <si>
    <t>LYCEE GENERAL ET TECHNOLOGIQUE JULES RENARD</t>
  </si>
  <si>
    <t>0580071M</t>
  </si>
  <si>
    <t>0590044C</t>
  </si>
  <si>
    <t>LYCEE POLYVALENT JOSEPH MARIE JACQUARD</t>
  </si>
  <si>
    <t>CAUDRY</t>
  </si>
  <si>
    <t>0590060V</t>
  </si>
  <si>
    <t>0590071G</t>
  </si>
  <si>
    <t>LYCEE GENERAL ET TECHNOLOGIQUE JEAN BART</t>
  </si>
  <si>
    <t>0590181B</t>
  </si>
  <si>
    <t>LYCEE GENERAL ET TECHNOLOGIQUE MAXENCE VAN DER MEERSCH</t>
  </si>
  <si>
    <t>0590207E</t>
  </si>
  <si>
    <t>0590258K</t>
  </si>
  <si>
    <t>LYCEE GENERAL ET TECHNOLOGIQUE GASTON BERGER</t>
  </si>
  <si>
    <t>0590263R</t>
  </si>
  <si>
    <t>LYCEE PROFESSIONNEL FERNAND LEGER</t>
  </si>
  <si>
    <t>COUDEKERQUE BRANCHE</t>
  </si>
  <si>
    <t>0590282L</t>
  </si>
  <si>
    <t>LYCEE GENERAL ET TECHNOLOGIQUE JULES MOUSSERON</t>
  </si>
  <si>
    <t>0592611T</t>
  </si>
  <si>
    <t>LYCEE PROFESSIONNEL LOUIS BLERIOT</t>
  </si>
  <si>
    <t>0592712C</t>
  </si>
  <si>
    <t>0592921E</t>
  </si>
  <si>
    <t>LYCEE GENERAL ET TECHNOLOGIQUE PRIVE SAINT REMI</t>
  </si>
  <si>
    <t>0592926K</t>
  </si>
  <si>
    <t>LYCEE GENERAL ET TECHNOLOGIQUE PRIVE SAINT JUDE</t>
  </si>
  <si>
    <t>0592929N</t>
  </si>
  <si>
    <t>0592964B</t>
  </si>
  <si>
    <t>LYCEE PROFESSIONNEL PRIVE LEONARD DE VINCI</t>
  </si>
  <si>
    <t>0593006X</t>
  </si>
  <si>
    <t>LYCEE POLYVALENT PRIVE NOTRE DAME D ANNAY</t>
  </si>
  <si>
    <t>0593020M</t>
  </si>
  <si>
    <t>LYCEE PROFESSIONNEL PRIVE DE LA CHAMBRE DES METIERS ET DE L ARTISANAT (CMA) HAUTS DE FRANCE</t>
  </si>
  <si>
    <t>0593034C</t>
  </si>
  <si>
    <t>LYCEE POLYVALENT PRIVE THEOPHILE LEGRAND</t>
  </si>
  <si>
    <t>LOUVROIL</t>
  </si>
  <si>
    <t>0593066M</t>
  </si>
  <si>
    <t>0593138R</t>
  </si>
  <si>
    <t>SOLESMES</t>
  </si>
  <si>
    <t>0594302F</t>
  </si>
  <si>
    <t>LYCEE PROFESSIONNEL FRANCOIS MANSART LYCEE DES METIERS DU BATIMENT</t>
  </si>
  <si>
    <t>0594532F</t>
  </si>
  <si>
    <t>AUBY</t>
  </si>
  <si>
    <t>0594652L</t>
  </si>
  <si>
    <t>LYCEE PROFESSIONNEL DES PLAINES DU NORD</t>
  </si>
  <si>
    <t>0595884A</t>
  </si>
  <si>
    <t>LYCEE POLYVALENT ANDRE LURCAT</t>
  </si>
  <si>
    <t>0596925G</t>
  </si>
  <si>
    <t>LYCEE POLYVALENT CHARLOTTE PERRIAND</t>
  </si>
  <si>
    <t>0600002B</t>
  </si>
  <si>
    <t>LYCEE POLYVALENT PAUL LANGEVIN LYCEE DES METIERS DE L INDUSTRIE ET DU GENIE CIVIL</t>
  </si>
  <si>
    <t>0600020W</t>
  </si>
  <si>
    <t>LYCEE D ENSEIGNEMENT GENERAL ET TECHNOLOGIQUE MARIE CURIE</t>
  </si>
  <si>
    <t>0601149Y</t>
  </si>
  <si>
    <t>LYCEE GENERAL ET TECHNOLOGIQUE PRIVE SAINT VINCENT</t>
  </si>
  <si>
    <t>0601832R</t>
  </si>
  <si>
    <t>0601845E</t>
  </si>
  <si>
    <t>LYCEE PROFESSIONNEL DE LA FORET LYCEE DES METIERS DES SERVICES AUX ENTREPRISES</t>
  </si>
  <si>
    <t>0601864A</t>
  </si>
  <si>
    <t>LYCEE D ENSEIGNEMENT GENERAL ET TECHNOLOGIQUE ANDRE MALRAUX</t>
  </si>
  <si>
    <t>MONTATAIRE</t>
  </si>
  <si>
    <t>0601870G</t>
  </si>
  <si>
    <t>LYCEE PROFESSIONNEL ANDRE MALRAUX LYCEE DES METIERS DU TERTIAIRE ET DES SERVICES A LA PERSONNE</t>
  </si>
  <si>
    <t>0601896K</t>
  </si>
  <si>
    <t>LYCEE PROFESSIONNEL PRIVE ST JOSEPH DU MONCEL</t>
  </si>
  <si>
    <t>0610002W</t>
  </si>
  <si>
    <t>LYCEE POLYVALENT NAVARRE-LECLERC</t>
  </si>
  <si>
    <t>0610018N</t>
  </si>
  <si>
    <t>LYCEE POLYVALENT DES ANDAINES LYCEE DES METIERS DU BOIS ET DE LA TRANSITION ECOLOGIQUE</t>
  </si>
  <si>
    <t>0610021S</t>
  </si>
  <si>
    <t>LYCEE POLYVALENT JEAN GUEHENNO LYCEE DES METIERS DES SERVICES DE L INDUSTRIE ET DU TERTIAIRE</t>
  </si>
  <si>
    <t>0610692W</t>
  </si>
  <si>
    <t>LYCEE POLYVALENT PRIVE ST FRANCOIS DE SALES</t>
  </si>
  <si>
    <t>0611148S</t>
  </si>
  <si>
    <t>0620018H</t>
  </si>
  <si>
    <t>LYCEE PROFESSIONNEL FERNAND DEGRUGILLIER</t>
  </si>
  <si>
    <t>0620056Z</t>
  </si>
  <si>
    <t>LYCEE POLYVALENT CARNOT LYCEE DES METIERS DES SYSTEMES AUTOMATIQUES ET DE L ELECTRONIQUE COMMUNICANTE</t>
  </si>
  <si>
    <t>0620059C</t>
  </si>
  <si>
    <t>LYCEE PROFESSIONNEL LEO LAGRANGE LYCEE DES METIERS DE LA PERSONNE SANTE SOCIAL</t>
  </si>
  <si>
    <t>BULLY LES MINES</t>
  </si>
  <si>
    <t>0620063G</t>
  </si>
  <si>
    <t>LYCEE GENERAL ET TECHNOLOGIQUE SOPHIE BERTHELOT</t>
  </si>
  <si>
    <t>0620121V</t>
  </si>
  <si>
    <t>0620166U</t>
  </si>
  <si>
    <t>LYCEE GENERAL ET TECHNOLOGIQUE ALBERT CHATELET</t>
  </si>
  <si>
    <t>0622089J</t>
  </si>
  <si>
    <t>LYCEE PROFESSIONNEL ANDRE MALRAUX</t>
  </si>
  <si>
    <t>0622106C</t>
  </si>
  <si>
    <t>LYCEE GENERAL PRIVE SAINT VAAST SAINT DOMINIQUE</t>
  </si>
  <si>
    <t>0622116N</t>
  </si>
  <si>
    <t>LYCEE GENERAL PRIVE LA MALASSISE</t>
  </si>
  <si>
    <t>0622199D</t>
  </si>
  <si>
    <t>LYCEE POLYVALENT PRIVE SAINT DENIS</t>
  </si>
  <si>
    <t>0622211S</t>
  </si>
  <si>
    <t>0623463C</t>
  </si>
  <si>
    <t>LYCEE PROFESSIONNEL NORMANDIE NIEMEN LYCEE DES METIERS DU BATIMENT ET DES ENERGIES RENOUVELABLES</t>
  </si>
  <si>
    <t>0624430D</t>
  </si>
  <si>
    <t>LYCEE GENERAL ET TECHNOLOGIQUE GAMBETTA CARNOT</t>
  </si>
  <si>
    <t>0624440P</t>
  </si>
  <si>
    <t>LYCEE POLYVALENT D ARTOIS LYCEE DES METIERS DES SYSTEMES AUTOMATIQUES</t>
  </si>
  <si>
    <t>NOEUX LES MINES</t>
  </si>
  <si>
    <t>0630041C</t>
  </si>
  <si>
    <t>LYCEE PROFESSIONNEL HENRI SAINTE CLAIRE DEVILLE LYCEE DES METIERS DES TECHNOLOGIES INDUSTRIELLES</t>
  </si>
  <si>
    <t>0630078T</t>
  </si>
  <si>
    <t>LYCEE PROFESSIONNEL GERMAINE TILLION</t>
  </si>
  <si>
    <t>0631034G</t>
  </si>
  <si>
    <t>0631050Z</t>
  </si>
  <si>
    <t>LYCEE PROFESSIONNEL PRIVE ANNA RODIER LYCEE DES METIERS DE L INDUSTRIE ET DES SERVICES AUX ENTREPRISES</t>
  </si>
  <si>
    <t>0631861F</t>
  </si>
  <si>
    <t>COURNON D AUVERGNE</t>
  </si>
  <si>
    <t>0631985R</t>
  </si>
  <si>
    <t>LYCEE POLYVALENT PIERRE JOËL BONTE LYCEE DES METIERS DES SCIENCES ET TECHNIQUES DE L HABITAT ET DES TRAVAUX PUBLICS</t>
  </si>
  <si>
    <t>0640011P</t>
  </si>
  <si>
    <t>LYCEE GENERAL ET TECHNOLOGIQUE LOUIS DE FOIX</t>
  </si>
  <si>
    <t>0640052J</t>
  </si>
  <si>
    <t>LYCEE GENERAL ET TECHNOLOGIQUE GASTON FEBUS</t>
  </si>
  <si>
    <t>0640124M</t>
  </si>
  <si>
    <t>0640134Y</t>
  </si>
  <si>
    <t>LYCEE GENERAL ET TECHNOLOGIQUE PRIVE SAINT THOMAS D AQUIN</t>
  </si>
  <si>
    <t>0640179X</t>
  </si>
  <si>
    <t>LYCEE PROFESSIONNEL PRIVE LE GUICHOT</t>
  </si>
  <si>
    <t>0641779L</t>
  </si>
  <si>
    <t>LYCEE GENERAL ET TECHNOLOGIQUE DU PAYS DE SOULE</t>
  </si>
  <si>
    <t>CHERAUTE</t>
  </si>
  <si>
    <t>0641839B</t>
  </si>
  <si>
    <t>LESCAR</t>
  </si>
  <si>
    <t>0650001Y</t>
  </si>
  <si>
    <t>LYCEE CLIMATIQUE RENE BILLERES</t>
  </si>
  <si>
    <t>ARGELES GAZOST</t>
  </si>
  <si>
    <t>0650005C</t>
  </si>
  <si>
    <t>LYCEE POLYVALENT VICTOR DURUY LYCEE DES METIERS DES SERVICES A LA PERSONNE ET DE L INDUSTRIE EN MONTAGNE</t>
  </si>
  <si>
    <t>BAGNERES DE BIGORRE</t>
  </si>
  <si>
    <t>0650874X</t>
  </si>
  <si>
    <t>LYCEE PROFESSIONNEL LAUTREAMONT LYCEE DES METIERS DE L HOTELLERIE RESTAURATION DE L ALIMENTATION ET DES SERVICES TERTIAIRES</t>
  </si>
  <si>
    <t>0660010C</t>
  </si>
  <si>
    <t>LYCEE GENERAL ET TECHNOLOGIQUE FRANCOIS ARAGO</t>
  </si>
  <si>
    <t>0660907C</t>
  </si>
  <si>
    <t>LYCEE TECHNOLOGIQUE ANNEXE DU LYCEE PABLO PICASSO</t>
  </si>
  <si>
    <t>THEZA</t>
  </si>
  <si>
    <t>0670005S</t>
  </si>
  <si>
    <t>BISCHWILLER</t>
  </si>
  <si>
    <t>0670006T</t>
  </si>
  <si>
    <t>LYCEE PROFESSIONNEL PHILIPPE CHARLES GOULDEN LYCEE DES METIERS</t>
  </si>
  <si>
    <t>0670007U</t>
  </si>
  <si>
    <t>LYCEE GENERAL ET TECHNOLOGIQUE ADRIEN ZELLER</t>
  </si>
  <si>
    <t>BOUXWILLER</t>
  </si>
  <si>
    <t>0670020H</t>
  </si>
  <si>
    <t>0670086E</t>
  </si>
  <si>
    <t>LYCEE POLYVALENT RENE CASSIN LYCEE DES METIERS</t>
  </si>
  <si>
    <t>0671609K</t>
  </si>
  <si>
    <t>COLLEGE EPISCOPAL SAINT ETIENNE (LYCEE GENERAL PRIVE)</t>
  </si>
  <si>
    <t>0671696E</t>
  </si>
  <si>
    <t>LYCEE PROFESSIONNEL SCHWEISGUTH LYCEE DES METIERS</t>
  </si>
  <si>
    <t>0672604S</t>
  </si>
  <si>
    <t>BISCHHEIM</t>
  </si>
  <si>
    <t>0672806L</t>
  </si>
  <si>
    <t>LYCEE POLYVALENT MARCEL RUDLOFF</t>
  </si>
  <si>
    <t>0680134B</t>
  </si>
  <si>
    <t>LANDSER</t>
  </si>
  <si>
    <t>0680141J</t>
  </si>
  <si>
    <t>COLLEGE EPISCOPAL (LYCEE GENERAL PRIVE)</t>
  </si>
  <si>
    <t>ZILLISHEIM</t>
  </si>
  <si>
    <t>0680154Y</t>
  </si>
  <si>
    <t>LYCEE PROFESSIONNEL PRIVE INSTITUT SONNENBERG LYCEE DES METIERS</t>
  </si>
  <si>
    <t>CARSPACH</t>
  </si>
  <si>
    <t>0681885E</t>
  </si>
  <si>
    <t>LYCEE TECHNOLOGIQUE PRIVE INSTITUT SONNENBERG</t>
  </si>
  <si>
    <t>0682072H</t>
  </si>
  <si>
    <t>LYCEE D ENSEIGNEMENT GENERAL PRIVE INSTITUTION CHAMPAGNAT</t>
  </si>
  <si>
    <t>ISSENHEIM</t>
  </si>
  <si>
    <t>0690018V</t>
  </si>
  <si>
    <t>LYCEE PROFESSIONNEL DANIELLE CASANOVA LYCEE DES METIERS DU CUIR ET DES SERVICES</t>
  </si>
  <si>
    <t>0690023A</t>
  </si>
  <si>
    <t>LYCEE GENERAL ET TECHNOLOGIQUE AMPERE</t>
  </si>
  <si>
    <t>0690026D</t>
  </si>
  <si>
    <t>LYCEE GENERAL DU PARC</t>
  </si>
  <si>
    <t>0690037R</t>
  </si>
  <si>
    <t>LYCEE GENERAL ET TECHNOLOGIQUE LA MARTINIERE DIDEROT</t>
  </si>
  <si>
    <t>0690040U</t>
  </si>
  <si>
    <t>LYCEE POLYVALENT HECTOR GUIMARD LYCEE DES METIERS DE LA FONDERIE DE LA PLASTURGIE ET DES OUTILLAGES ASSOCIES DE LA PROTHESE DENTAIRE</t>
  </si>
  <si>
    <t>0690045Z</t>
  </si>
  <si>
    <t>LYCEE PROFESSIONNEL JEAN LURCAT LYCEE DES METIERS DES SERVICES AUX PERSONNES ET AUX ENTREPRISES</t>
  </si>
  <si>
    <t>0690082P</t>
  </si>
  <si>
    <t>0690109U</t>
  </si>
  <si>
    <t>LYCEE PROFESSIONNEL MARIE CURIE LYCEE DES METIERS DU COMMERCE ET DU SERVICE A LA PERSONNE</t>
  </si>
  <si>
    <t>0690125L</t>
  </si>
  <si>
    <t>LYCEE PROFESSIONNEL CAMILLE CLAUDEL LYCEE DES METIERS DE LA CHAPELLERIE DU TERTIAIRE COMMERCIAL ET ADMINISTRATIF</t>
  </si>
  <si>
    <t>0690129R</t>
  </si>
  <si>
    <t>LYCEE PROFESSIONNEL EDMOND LABBE LYCEE DES METIERS DE L ENERGIE</t>
  </si>
  <si>
    <t>0690281F</t>
  </si>
  <si>
    <t>LYCEE PROFESSIONNEL JOSEPH MARIE JACQUARD LYCEE DES METIERS MODE LYC MET SERVICES PERSONNE ET ENTREPRISE LYC MET RESEAU TEXTILE MODE CUIR</t>
  </si>
  <si>
    <t>0690514J</t>
  </si>
  <si>
    <t>0690520R</t>
  </si>
  <si>
    <t>LYCEE GENERAL ET TECHNOLOGIQUE PRIVE LA FAVORITE SAINTE THERESE</t>
  </si>
  <si>
    <t>0690529A</t>
  </si>
  <si>
    <t>LYCEE GENERAL PRIVE DEBORDE</t>
  </si>
  <si>
    <t>0690533E</t>
  </si>
  <si>
    <t>LYCEE GENERAL PRIVE EXTERNAT DE LA TRINITE</t>
  </si>
  <si>
    <t>0690550Y</t>
  </si>
  <si>
    <t>TASSIN LA DEMI LUNE</t>
  </si>
  <si>
    <t>0690563M</t>
  </si>
  <si>
    <t>LYCEE GENERAL ET TECHNOLOGIQUE PRIVE SAINT LOUIS SAINT BRUNO</t>
  </si>
  <si>
    <t>0690646C</t>
  </si>
  <si>
    <t>LYCEE TECHNOLOGIQUE PRIVE CARREL</t>
  </si>
  <si>
    <t>0690653K</t>
  </si>
  <si>
    <t>LYCEE PROFESSIONNEL PRIVE ORSEL</t>
  </si>
  <si>
    <t>0690712Z</t>
  </si>
  <si>
    <t>LYCEE PROFESSIONNEL PRIVE SAINT LOUIS SAINT BRUNO LYCEE DES METIERS DU TERTIAIRE ADMINISTRATIF ET COMMERCIAL</t>
  </si>
  <si>
    <t>0691680B</t>
  </si>
  <si>
    <t>LYCEE PROFESSIONNEL PRIVE SAINT CHARLES LYCEE DES METIERS DES SYSTEMES ELECTRONIQUES ET DU COMMERCE</t>
  </si>
  <si>
    <t>0692717D</t>
  </si>
  <si>
    <t>LYCEE POLYVALENT JACQUES BREL</t>
  </si>
  <si>
    <t>0693044J</t>
  </si>
  <si>
    <t>LYCEE GENERAL ET TECHNOLOGIQUE JEAN PAUL SARTRE</t>
  </si>
  <si>
    <t>0693406C</t>
  </si>
  <si>
    <t>0693566B</t>
  </si>
  <si>
    <t>LYCEE POLYVALENT FRANCOIS MANSART</t>
  </si>
  <si>
    <t>THIZY LES BOURGS</t>
  </si>
  <si>
    <t>0693734J</t>
  </si>
  <si>
    <t>LYCEE POLYVALENT AIGUERANDE</t>
  </si>
  <si>
    <t>BELLEVILLE EN BEAUJOLAIS</t>
  </si>
  <si>
    <t>0693769X</t>
  </si>
  <si>
    <t>LYCEE GENERAL PRIVE JUIF DE LYON</t>
  </si>
  <si>
    <t>0694026B</t>
  </si>
  <si>
    <t>LYCEE GENERAL ROSA PARKS</t>
  </si>
  <si>
    <t>0694069Y</t>
  </si>
  <si>
    <t>LYCEE GENERAL GERMAINE TILLION</t>
  </si>
  <si>
    <t>SAIN BEL</t>
  </si>
  <si>
    <t>0700009E</t>
  </si>
  <si>
    <t>LYCEE POLYVALENT AUGUSTIN COURNOT</t>
  </si>
  <si>
    <t>0700018P</t>
  </si>
  <si>
    <t>LYCEE POLYVALENT GEORGES COLOMB</t>
  </si>
  <si>
    <t>LURE</t>
  </si>
  <si>
    <t>0700076C</t>
  </si>
  <si>
    <t>LYCEE PROFESSIONNEL PRIVE SAINTE ANNE SAINT JOSEPH</t>
  </si>
  <si>
    <t>0701035V</t>
  </si>
  <si>
    <t>LPO LOUIS ARAGON LYCEE DES METIERS DE L ENERGIE ET DU DEVELOPPEMENT DURABLE</t>
  </si>
  <si>
    <t>HERICOURT</t>
  </si>
  <si>
    <t>0710048S</t>
  </si>
  <si>
    <t>0710054Y</t>
  </si>
  <si>
    <t>LYCEE GENERAL ET TECHNOLOGIQUE HENRI PARRIAT</t>
  </si>
  <si>
    <t>MONTCEAU LES MINES</t>
  </si>
  <si>
    <t>0711494N</t>
  </si>
  <si>
    <t>LYCEE POLYVALENT PRIVE SAINT LAZARE</t>
  </si>
  <si>
    <t>0711729U</t>
  </si>
  <si>
    <t>LYCEE POLYVALENT EMILAND GAUTHEY LYCEE DES METIERS DE LA RELATION CLIENTELE ET DE LA MODE</t>
  </si>
  <si>
    <t>0720017C</t>
  </si>
  <si>
    <t>LYCEE POLYVALENT ROBERT GARNIER</t>
  </si>
  <si>
    <t>0720825F</t>
  </si>
  <si>
    <t>LYCEE PROFESSIONNEL PRIVE JOSEPH ROUSSEL</t>
  </si>
  <si>
    <t>0721094Y</t>
  </si>
  <si>
    <t>LYCEE POLYVALENT LE MANS SUD</t>
  </si>
  <si>
    <t>0730772T</t>
  </si>
  <si>
    <t>LYCEE PROFESSIONNEL PRIVE LE MARGERIAZ</t>
  </si>
  <si>
    <t>BARBERAZ</t>
  </si>
  <si>
    <t>0731043M</t>
  </si>
  <si>
    <t>LYCEE PROFESSIONNEL LA CARDINIERE LYCEE DES METIERS DU COMMERCE DE LA GESTION ADMINISTRATIVE LOGISTIQUE ET TRANSPORT</t>
  </si>
  <si>
    <t>0731248K</t>
  </si>
  <si>
    <t>LYCEE POLYVALENT L ARMAND</t>
  </si>
  <si>
    <t>0731507S</t>
  </si>
  <si>
    <t>BOURG SAINT MAURICE</t>
  </si>
  <si>
    <t>0740051D</t>
  </si>
  <si>
    <t>LYCEE POLYVALENT ANNA DE NOAILLES</t>
  </si>
  <si>
    <t>EVIAN LES BAINS</t>
  </si>
  <si>
    <t>0740082M</t>
  </si>
  <si>
    <t>0740100G</t>
  </si>
  <si>
    <t>0741307U</t>
  </si>
  <si>
    <t>LYCEE TECHNOLOGIQUE PRIVE JEANNE D ARC</t>
  </si>
  <si>
    <t>0741418P</t>
  </si>
  <si>
    <t>LYCEE GENERAL ET TECHNOLOGIQUE CHARLES BAUDELAIRE</t>
  </si>
  <si>
    <t>0741669M</t>
  </si>
  <si>
    <t>LYCEE POLYVALENT RENE FRISON ROCHE</t>
  </si>
  <si>
    <t>CHAMONIX MONT BLANC</t>
  </si>
  <si>
    <t>0750330B</t>
  </si>
  <si>
    <t>LYCEE TECHNOLOGIQUE PRIVE ECOLE TECHNIQUE SUPERIEURE DU LABORATOIRE</t>
  </si>
  <si>
    <t>0750419Y</t>
  </si>
  <si>
    <t>LYCEE PROFESSIONNEL MECANIQUE AUTOMOBILE CAMILLE JENATZY</t>
  </si>
  <si>
    <t>0750463W</t>
  </si>
  <si>
    <t>LYCEE POLYVALENT LUCAS DE NEHOU LYCEE DES METIERS DES ARTS DU VERRE ET DES STRUCTURES VERRIERES</t>
  </si>
  <si>
    <t>0750508V</t>
  </si>
  <si>
    <t>LYCEE PROFESSIONNEL CHARLES DE GAULLE</t>
  </si>
  <si>
    <t>0750553U</t>
  </si>
  <si>
    <t>LYCEE PROFESSIONEL GASTON BACHELARD</t>
  </si>
  <si>
    <t>0750650Z</t>
  </si>
  <si>
    <t>LYCEE POLYVALENT D ALEMBERT LYCEE DES METIERS DE LA MODE</t>
  </si>
  <si>
    <t>0750663N</t>
  </si>
  <si>
    <t>0750680G</t>
  </si>
  <si>
    <t>LYCEE GENERAL ET TECHNOLOGIQUE ARAGO</t>
  </si>
  <si>
    <t>0750685M</t>
  </si>
  <si>
    <t>0750690T</t>
  </si>
  <si>
    <t>0750694X</t>
  </si>
  <si>
    <t>LYCEE GENERAL CAMILLE SEE</t>
  </si>
  <si>
    <t>0750705J</t>
  </si>
  <si>
    <t>LYCEE GENERAL ET TECHNOLOGIQUE HONORE DE BALZAC</t>
  </si>
  <si>
    <t>0750708M</t>
  </si>
  <si>
    <t>LYCEE POLYVALENT JEAN DROUANT LYCEE DES METIERS DE L HOTELLERIE ET DE LA RESTAURATION</t>
  </si>
  <si>
    <t>0750715V</t>
  </si>
  <si>
    <t>LYCEE GENERAL ET TECHNOLOGIQUE MAURICE RAVEL</t>
  </si>
  <si>
    <t>0750794F</t>
  </si>
  <si>
    <t>LYCEE PROFESSIONNEL BRASSAI LYCEE DES METIERS DE LA PHOTOGRAPHIE ET DE L IMAGE</t>
  </si>
  <si>
    <t>0751708Z</t>
  </si>
  <si>
    <t>0751710B</t>
  </si>
  <si>
    <t>LYCEE PROFESSIONNEL N L VAUQUELIN LYCEE DES METIERS DES PROCEDES CHIMIQUES DES BIOTECHNOLOGIES ET DE L EAU</t>
  </si>
  <si>
    <t>0752845K</t>
  </si>
  <si>
    <t>LYCEE PROFESSIONNEL THEOPHILE GAUTIER</t>
  </si>
  <si>
    <t>0753217P</t>
  </si>
  <si>
    <t>0753809H</t>
  </si>
  <si>
    <t>LYCEE GENERAL PRIVE PAUL CLAUDEL D HULST</t>
  </si>
  <si>
    <t>0753815P</t>
  </si>
  <si>
    <t>LYCEE GENERAL ET TECHNOLOGIQUE PRIVE LES PETITS CHAMPS</t>
  </si>
  <si>
    <t>0753842U</t>
  </si>
  <si>
    <t>LYCEE GENERAL ET TECHNOLOGIQUE PRIVE NOTRE DAME DE SION</t>
  </si>
  <si>
    <t>0753849B</t>
  </si>
  <si>
    <t>INSTITUT PRIVE DE L ALMA (ECOLE SECONDAIRE PRIVEE )</t>
  </si>
  <si>
    <t>0753874D</t>
  </si>
  <si>
    <t>ECOLE ACTIVE JEANNINE MANUEL (LYCEE GENERAL PRIVE)</t>
  </si>
  <si>
    <t>0753883N</t>
  </si>
  <si>
    <t>LYCEE GENERAL PRIVE EDGAR POE</t>
  </si>
  <si>
    <t>0753885R</t>
  </si>
  <si>
    <t>INSTITUT ROCROY SAINT VINCENT DE PAUL (ECOLE SECONDAIRE PRIVEE)</t>
  </si>
  <si>
    <t>0753887T</t>
  </si>
  <si>
    <t>LYCEE PRIVE BOSSUET NOTRE DAME</t>
  </si>
  <si>
    <t>0753919C</t>
  </si>
  <si>
    <t>LYCEE PRIVE PASCAL</t>
  </si>
  <si>
    <t>0753948J</t>
  </si>
  <si>
    <t>INSTITUT DE L ASSOMPTION (ECOLE SECONDAIRE PRIVEE)</t>
  </si>
  <si>
    <t>0754016H</t>
  </si>
  <si>
    <t>LYCEE POLYVALENT PRIVE L INITIATIVE</t>
  </si>
  <si>
    <t>0754045P</t>
  </si>
  <si>
    <t>LYCEE POLYVALENT PRIVE CATHERINE LABOURE</t>
  </si>
  <si>
    <t>0754325U</t>
  </si>
  <si>
    <t>0754479L</t>
  </si>
  <si>
    <t>LYCEE GENERAL PRIVE OZAR HATORAH</t>
  </si>
  <si>
    <t>0754530S</t>
  </si>
  <si>
    <t>LYCEE POLYVALENT MARTIN NADAUD</t>
  </si>
  <si>
    <t>0754860A</t>
  </si>
  <si>
    <t>COURS THERESE CHAPPUIS (ECOLE SECONDAIRE PRIVEE)</t>
  </si>
  <si>
    <t>0760007V</t>
  </si>
  <si>
    <t>LYCEE PROFESSIONNEL AUGUSTE BARTHOLDI</t>
  </si>
  <si>
    <t>0760030V</t>
  </si>
  <si>
    <t>LYCEE POLYVALENT FERDINAND BUISSON LYCEE DES METIERS DE LA CHIMIE ET DE L AUTOMATISME</t>
  </si>
  <si>
    <t>0760056Y</t>
  </si>
  <si>
    <t>0760082B</t>
  </si>
  <si>
    <t>LYCEE PROFESSIONNEL JEAN ROSTAND LYCEE DES METIERS DE LA MAINTENANCE ET DE L HORTIPAYSAGE</t>
  </si>
  <si>
    <t>OFFRANVILLE</t>
  </si>
  <si>
    <t>0760132F</t>
  </si>
  <si>
    <t>LYCEE PROFESSIONNEL JULES SIEGFRIED LYCEE DES METIERS DES SCIENCES DU NUMERIQUE ET DE L INNOVATION TECHNOLOGIQUE</t>
  </si>
  <si>
    <t>0760145V</t>
  </si>
  <si>
    <t>LYCEE PROFESSIONNEL VAL DE SEINE</t>
  </si>
  <si>
    <t>0761721H</t>
  </si>
  <si>
    <t>0762442S</t>
  </si>
  <si>
    <t>MESNIERES EN BRAY</t>
  </si>
  <si>
    <t>0762765T</t>
  </si>
  <si>
    <t>LYCEE PROFESSIONNEL ANTOINE LAURENT LAVOISIER LYCEE DES METIERS DES VEHICULES AUTOMOBILES ET DU TRANSPORT LOGISTIQUE</t>
  </si>
  <si>
    <t>0762836V</t>
  </si>
  <si>
    <t>GRAND COURONNE</t>
  </si>
  <si>
    <t>0762879S</t>
  </si>
  <si>
    <t>LYCEE GENERAL ET TECHNOLOGIQUE VALLEE DU CAILLY</t>
  </si>
  <si>
    <t>DEVILLE LES ROUEN</t>
  </si>
  <si>
    <t>0762911B</t>
  </si>
  <si>
    <t>LYCEE POLYVALENT GALILEE LYCEE DES METIERS DE LA CHIMIE ET DES BIOTECHNOLOGIES</t>
  </si>
  <si>
    <t>FRANQUEVILLE SAINT PIERRE</t>
  </si>
  <si>
    <t>0762920L</t>
  </si>
  <si>
    <t>LYCEE POLYVALENT PIERRE DE COUBERTIN LYCEE DES METIERS DE L INDUSTRIE</t>
  </si>
  <si>
    <t>0763079J</t>
  </si>
  <si>
    <t>SECTION D ENSEIGNEMENT PROFESSIONNEL DU LYCEE DES METIERS DU BOIS ET DE L ECO CONSTRUCTION</t>
  </si>
  <si>
    <t>ENVERMEU</t>
  </si>
  <si>
    <t>0770920G</t>
  </si>
  <si>
    <t>LYCEE POLYVALENT LA FAYETTE LYCEE DES METIERS DE L ENERGIE DU NUMERIQUE ET DES INDUSTRIES DE PRODUCTION LYCEE DES METIERS DU COMMERCE</t>
  </si>
  <si>
    <t>CHAMPAGNE SUR SEINE</t>
  </si>
  <si>
    <t>0770930T</t>
  </si>
  <si>
    <t>LYCEE GENERAL ET TECHNOLOGIQUE HENRI MOISSAN</t>
  </si>
  <si>
    <t>0770931U</t>
  </si>
  <si>
    <t>LYCEE POLYVALENT PIERRE DE COUBERTIN</t>
  </si>
  <si>
    <t>0770933W</t>
  </si>
  <si>
    <t>LYCEE GENERAL ET TECHNOLOGIQUE JACQUES AMYOT</t>
  </si>
  <si>
    <t>0770938B</t>
  </si>
  <si>
    <t>LYCEE POLYVALENT ANDRE MALRAUX LYCEE DES METIERS DES INDUSTRIES ET DU DESIGN GRAPHIQUE</t>
  </si>
  <si>
    <t>0771512A</t>
  </si>
  <si>
    <t>LYCEE GENERAL ET TECHNOLOGIQUE VAN DONGEN</t>
  </si>
  <si>
    <t>0771880A</t>
  </si>
  <si>
    <t>LYCEE PROFESSIONNEL CHARLES BAUDELAIRE</t>
  </si>
  <si>
    <t>0771995A</t>
  </si>
  <si>
    <t>LYCEE PROFESSIONNEL LE CHAMP DE CLAYE LYCEE DES METIERS DE L ENERGIE</t>
  </si>
  <si>
    <t>CLAYE SOUILLY</t>
  </si>
  <si>
    <t>0772120L</t>
  </si>
  <si>
    <t>TORCY</t>
  </si>
  <si>
    <t>0772127U</t>
  </si>
  <si>
    <t>0772153X</t>
  </si>
  <si>
    <t>LYCEE POLYVALENT PRIVE JEAN ROSE</t>
  </si>
  <si>
    <t>0772229E</t>
  </si>
  <si>
    <t>0772310T</t>
  </si>
  <si>
    <t>LYCEE POLYVALENT SIMONE SIGNORET</t>
  </si>
  <si>
    <t>VAUX LE PENIL</t>
  </si>
  <si>
    <t>0772737G</t>
  </si>
  <si>
    <t>LYCEE GENERAL INTERNAT D EXCELLENCE DE SOURDUN</t>
  </si>
  <si>
    <t>SOURDUN</t>
  </si>
  <si>
    <t>0780584L</t>
  </si>
  <si>
    <t>LYCEE PROFESSIONNEL HENRI MATISSE LYCEE DES METIERS DE LA PETITE ENFANCE ET DES SOINS A LA PERSONNE ET DU COMMERCE</t>
  </si>
  <si>
    <t>0781297L</t>
  </si>
  <si>
    <t>LYCEE GENERAL ET TECHNOLOGIQUE PLAINE DE NEAUPHLE</t>
  </si>
  <si>
    <t>0781819D</t>
  </si>
  <si>
    <t>LYCEE POLYVALENT EMILIE DE BRETEUIL</t>
  </si>
  <si>
    <t>0781856U</t>
  </si>
  <si>
    <t>LYCEE PROFESSIONNEL PRIVE SAINT EREMBERT</t>
  </si>
  <si>
    <t>0781859X</t>
  </si>
  <si>
    <t>LYCEE POLYVALENT VINCENT VAN GOGH</t>
  </si>
  <si>
    <t>AUBERGENVILLE</t>
  </si>
  <si>
    <t>0781898P</t>
  </si>
  <si>
    <t>0781974X</t>
  </si>
  <si>
    <t>LYCEE GENERAL ET TECHNOLOGIQUE PRIVE SAINT EXUPERY</t>
  </si>
  <si>
    <t>0781983G</t>
  </si>
  <si>
    <t>LYCEE PROFESSIONNEL ADRIENNE BOLLAND LYCEE DES METIERS DES ARTS DU BOIS DES SERVICES ET DE LA MODE</t>
  </si>
  <si>
    <t>0782539L</t>
  </si>
  <si>
    <t>0782540M</t>
  </si>
  <si>
    <t>0782549X</t>
  </si>
  <si>
    <t>LYCEE POLYVALENT LOUIS BASCAN</t>
  </si>
  <si>
    <t>0782568T</t>
  </si>
  <si>
    <t>LE VESINET</t>
  </si>
  <si>
    <t>0782587N</t>
  </si>
  <si>
    <t>LYCEE POLYVALENT VIOLLET LE DUC LYCEE DES METIERS DE L HABITAT ET DU DEVELOPPEMENT DURABLE</t>
  </si>
  <si>
    <t>VILLIERS SAINT FREDERIC</t>
  </si>
  <si>
    <t>0782602E</t>
  </si>
  <si>
    <t>LYCEE PROFESSIONNEL JEAN MOULIN LYCEE DES METIERS DE L ELECTRO ENERGETIQUE</t>
  </si>
  <si>
    <t>0782603F</t>
  </si>
  <si>
    <t>0783297K</t>
  </si>
  <si>
    <t>LYCEE GENERAL ET TECHNOLOGIQUE PRIVE LE BON SAUVEUR</t>
  </si>
  <si>
    <t>0783447Y</t>
  </si>
  <si>
    <t>LYCEE POLYVALENT SIMONE WEIL LYCEE DES METIERS DU NAUTISME</t>
  </si>
  <si>
    <t>0783548H</t>
  </si>
  <si>
    <t>LYCEE D ENSEIGNEMENT GENERAL FRANCO ALLEMAND</t>
  </si>
  <si>
    <t>BUC</t>
  </si>
  <si>
    <t>0790007D</t>
  </si>
  <si>
    <t>LYCEE D ENSEIGNEMENT GENERAL ET TECHNOLOGIQUE MAURICE GENEVOIX</t>
  </si>
  <si>
    <t>0790015M</t>
  </si>
  <si>
    <t>LYCEE PROFESSIONNEL JEAN FRANCOIS CAIL LYCEE DES METIERS DU COMMERCE ET DE LA VENTE</t>
  </si>
  <si>
    <t>CHEF BOUTONNE</t>
  </si>
  <si>
    <t>0790029C</t>
  </si>
  <si>
    <t>LYCEE GENERAL ET TECHNOLOGIQUE ERNEST PEROCHON</t>
  </si>
  <si>
    <t>PARTHENAY</t>
  </si>
  <si>
    <t>0790090U</t>
  </si>
  <si>
    <t>LYCEE PROFESSIONNEL LES GRIPPEAUX</t>
  </si>
  <si>
    <t>0790702J</t>
  </si>
  <si>
    <t>LYCEE PROFESSIONNEL SIMONE SIGNORET</t>
  </si>
  <si>
    <t>0790928E</t>
  </si>
  <si>
    <t>LYCEE PROFESSIONNEL GASTON BARRE LYCEE DES METIERS DE L AUTOMOBILE ET DE LA LOGISTIQUE</t>
  </si>
  <si>
    <t>0800009A</t>
  </si>
  <si>
    <t>LYCEE GENERAL LOUIS THUILLIER</t>
  </si>
  <si>
    <t>0800010B</t>
  </si>
  <si>
    <t>LYCEE GENERAL MADELEINE MICHELIS</t>
  </si>
  <si>
    <t>0800063J</t>
  </si>
  <si>
    <t>LYCEE PROFESSIONNEL BOUCHER DE PERTHES LYCEE DES METIERS</t>
  </si>
  <si>
    <t>0801252B</t>
  </si>
  <si>
    <t>LYCEE PROFESSIONNEL JEAN CHARLES ATHANASE PELTIER LYCEE DES METIERS DES SERVICES DE LA SANTE ET DU SOCIAL</t>
  </si>
  <si>
    <t>HAM</t>
  </si>
  <si>
    <t>0801336T</t>
  </si>
  <si>
    <t>LYCEE PROFESSIONNEL EDOUARD BRANLY LYCEE DES METIERS DU DESIGN ET DES TECHNOLOGIES</t>
  </si>
  <si>
    <t>0801479Y</t>
  </si>
  <si>
    <t>LYCEE D ENSEIGNEMENT GENERAL ET TECHNOLOGIQUE PRIVE SAINT REMI</t>
  </si>
  <si>
    <t>0801739F</t>
  </si>
  <si>
    <t>LYCEE PROFESSIONNEL DU MARQUENTERRE LYCEE DES METIERS DU TOURISME DE LA RESTAURATION ET DE LA MAINTENANCE</t>
  </si>
  <si>
    <t>RUE</t>
  </si>
  <si>
    <t>0801946F</t>
  </si>
  <si>
    <t>LYCEE PROFESSIONNEL PRIVE LA PROVIDENCE LYCEE DES METIERS DES ENERGIES NOUVELLES ET DU NUMERIQUE</t>
  </si>
  <si>
    <t>0801949J</t>
  </si>
  <si>
    <t>LYCEE PROFESSIONNEL PRIVE SAINT RIQUIER</t>
  </si>
  <si>
    <t>0810006S</t>
  </si>
  <si>
    <t>LYCEE GENERAL LAPEROUSE</t>
  </si>
  <si>
    <t>0810075S</t>
  </si>
  <si>
    <t>LYCEE GENERAL PRIVE SAINT JOSEPH DE L APPARITION</t>
  </si>
  <si>
    <t>0810108C</t>
  </si>
  <si>
    <t>LYCEE PROFESSIONNEL PRIVE ENSEMBLE SCOLAIRE JEANNE D ARC LYCEE DES METIERS DE LA VENTE</t>
  </si>
  <si>
    <t>0810959C</t>
  </si>
  <si>
    <t>LYCEE POLYVALENT BORDE BASSE</t>
  </si>
  <si>
    <t>0810995S</t>
  </si>
  <si>
    <t>LYCEE PROFESSIONNEL DOCTEUR CLEMENT DE PEMILLE</t>
  </si>
  <si>
    <t>GRAULHET</t>
  </si>
  <si>
    <t>0820001F</t>
  </si>
  <si>
    <t>LYCEE PROFESSIONNEL LYCEE DES METIERS DU BATIMENT ET DE LA TOPOGRAPHIE NORMAN FOSTER</t>
  </si>
  <si>
    <t>BEAUMONT DE LOMAGNE</t>
  </si>
  <si>
    <t>0820021C</t>
  </si>
  <si>
    <t>LYCEE GENERAL ET TECHNOLOGIQUE BOURDELLE</t>
  </si>
  <si>
    <t>0830059N</t>
  </si>
  <si>
    <t>LYCEE PROFESSIONNEL PARC SAINT JEAN LYCEE DES METIERS DES SOINS ET SERVICES A LA PERSONNE ET DE LA SANTE</t>
  </si>
  <si>
    <t>0830095C</t>
  </si>
  <si>
    <t>0830101J</t>
  </si>
  <si>
    <t>LYCEE POLYVALENT PRIVE MAINTENON</t>
  </si>
  <si>
    <t>0831014B</t>
  </si>
  <si>
    <t>LYCEE PROFESSIONNEL GOLF HOTEL LYCEE DES METIERS DU BATIMENT ET DES TRAVAUX PUBLICS</t>
  </si>
  <si>
    <t>0831207L</t>
  </si>
  <si>
    <t>LYCEE TECHNOLOGIQUE PRIVE MARIE FRANCE</t>
  </si>
  <si>
    <t>0831440P</t>
  </si>
  <si>
    <t>LYCEE POLYVALENT ALBERT CAMUS</t>
  </si>
  <si>
    <t>0831551K</t>
  </si>
  <si>
    <t>0831563Y</t>
  </si>
  <si>
    <t>LYCEE POLYVALENT COSTEBELLE</t>
  </si>
  <si>
    <t>0840015K</t>
  </si>
  <si>
    <t>LYCEE POLYVALENT JEAN HENRI FABRE</t>
  </si>
  <si>
    <t>0840016L</t>
  </si>
  <si>
    <t>LPO VICTOR HUGO (A ABSORBE L'UAI 0840044S EN 2021)</t>
  </si>
  <si>
    <t>0840039L</t>
  </si>
  <si>
    <t>LYCEE PROFESSIONNEL DOMAINE D EGUILLES LYCEE DES METIERS DU BATIMENT DES TRAVAUX PUBLICS ET DE LA MAINTENANCE DES SYSTEMES</t>
  </si>
  <si>
    <t>VEDENE</t>
  </si>
  <si>
    <t>0840082H</t>
  </si>
  <si>
    <t>LYCEE DES METIERS PRIVE VINCENT DE PAUL LYCEE DES METIERS DE LA MODE DES SERVICES AUX ENTREPRISES ET A LA PERSONNE</t>
  </si>
  <si>
    <t>0840113S</t>
  </si>
  <si>
    <t>LYCEE DES METIERS ALEXANDRE DUMAS</t>
  </si>
  <si>
    <t>0840700E</t>
  </si>
  <si>
    <t>LYCEE PROFESSIONNEL FERDINAND REVOUL LYCEE DES METIERS DES ARTS CULINAIRES ET DES TECHNOLOGIES</t>
  </si>
  <si>
    <t>0840935K</t>
  </si>
  <si>
    <t>LYCEE POLYVALENT RENE CHAR</t>
  </si>
  <si>
    <t>0850028U</t>
  </si>
  <si>
    <t>0850133H</t>
  </si>
  <si>
    <t>LYCEE POLYVALENT PRIVE SAINTE MARIE DU PORT</t>
  </si>
  <si>
    <t>0851346B</t>
  </si>
  <si>
    <t>LYCEE GENERAL ET TECHNOLOGIQUE FRANCOIS TRUFFAUT</t>
  </si>
  <si>
    <t>0851504Y</t>
  </si>
  <si>
    <t>LYCEE PROFESSIONNEL PRIVE ST GABRIEL LYCEE DES METIERS</t>
  </si>
  <si>
    <t>0851516L</t>
  </si>
  <si>
    <t>LYCEE PROFESSIONNEL PRIVE ST MICHEL</t>
  </si>
  <si>
    <t>0860003L</t>
  </si>
  <si>
    <t>0860752A</t>
  </si>
  <si>
    <t>LYCEE PROFESSIONNEL PRIVE SAINT GABRIEL NOTRE DAME</t>
  </si>
  <si>
    <t>0860774Z</t>
  </si>
  <si>
    <t>ENSEMBLE SCOLAIRE SAINT JACQUES DE COMPOSTELLE</t>
  </si>
  <si>
    <t>0860789R</t>
  </si>
  <si>
    <t>LYCEE POLYVALENT PRIVE ISAAC DE L ETOILE</t>
  </si>
  <si>
    <t>0860823C</t>
  </si>
  <si>
    <t>LYCEE PROFESSIONNEL REAUMUR LYCEE DES METIERS INDUSTRIELS SERVICES ET PROCESS</t>
  </si>
  <si>
    <t>0861228T</t>
  </si>
  <si>
    <t>LYCEE GENERAL ET TECHNOLOGIQUE DU BOIS D AMOUR</t>
  </si>
  <si>
    <t>0870004G</t>
  </si>
  <si>
    <t>LYCEE PROFESSIONNEL MARTIN NADAUD LYCEE DES METIERS DU BATIMENT DE L ENERGETIQUE DE LA CLIMATIQUE ET DU DEVELOPPEMENT DURABLE</t>
  </si>
  <si>
    <t>0870013S</t>
  </si>
  <si>
    <t>LYCEE PROFESSIONNEL GEORGE SAND</t>
  </si>
  <si>
    <t>LE DORAT</t>
  </si>
  <si>
    <t>0870017W</t>
  </si>
  <si>
    <t>0870019Y</t>
  </si>
  <si>
    <t>LYCEE POLYVALENT SUZANNE VALADON</t>
  </si>
  <si>
    <t>0870056N</t>
  </si>
  <si>
    <t>LYCEE POLYVALENT TURGOT</t>
  </si>
  <si>
    <t>0870730W</t>
  </si>
  <si>
    <t>LYCEE PROFESSIONNEL MARCEL PAGNOL LYCEE DES METIERS DU TERTIAIRE ADMINISTRATIF DE L ACCUEIL ET DU COMMERCE</t>
  </si>
  <si>
    <t>0875023M</t>
  </si>
  <si>
    <t>LYCEE POLYVALENT MARYSE BASTIE</t>
  </si>
  <si>
    <t>0880055G</t>
  </si>
  <si>
    <t>0880057J</t>
  </si>
  <si>
    <t>LYCEE PROFESSIONNEL JACQUES AUGUSTIN</t>
  </si>
  <si>
    <t>0881498A</t>
  </si>
  <si>
    <t>0881530K</t>
  </si>
  <si>
    <t>LYCEE PROFESSIONNEL PRIVE NOTRE DAME SAINT JOSEPH</t>
  </si>
  <si>
    <t>0890053Z</t>
  </si>
  <si>
    <t>LYCEE PROFESSIONNEL PIERRE ET MARIE CURIE LYCEE DES METIERS</t>
  </si>
  <si>
    <t>0891168L</t>
  </si>
  <si>
    <t>LYCEE GENERAL ET TECHNOLOGIQUE PIERRE LAROUSSE</t>
  </si>
  <si>
    <t>TOUCY</t>
  </si>
  <si>
    <t>0891200W</t>
  </si>
  <si>
    <t>LYCEE GENERAL ET TECHNOLOGIQUE CATHERINE ET RAYMOND JANOT LYCEE DES METIERS</t>
  </si>
  <si>
    <t>0900002N</t>
  </si>
  <si>
    <t>0900019G</t>
  </si>
  <si>
    <t>LYCEE PROFESSIONNEL JULES FERRY LYCEE DES METIERS DES SERVICES AUX COLLECTIVITES AUX ENTREPRISES ET A LA PERSONNE</t>
  </si>
  <si>
    <t>DELLE</t>
  </si>
  <si>
    <t>0910626L</t>
  </si>
  <si>
    <t>ORSAY</t>
  </si>
  <si>
    <t>0910628N</t>
  </si>
  <si>
    <t>LYCEE PROFESSIONNEL PAUL BELMONDO</t>
  </si>
  <si>
    <t>0910629P</t>
  </si>
  <si>
    <t>LYCEE PROFESSIONNEL CHATEAU DES COUDRAIES LYCEE DES METIERS DE BOUCHE ET D HOTELLERIE</t>
  </si>
  <si>
    <t>ETIOLLES</t>
  </si>
  <si>
    <t>0910631S</t>
  </si>
  <si>
    <t>LYCEE PROFESSIONNEL JEAN MONNET LYCEE DES METIERS DES SERVICES AUX ENTREPRISES</t>
  </si>
  <si>
    <t>JUVISY SUR ORGE</t>
  </si>
  <si>
    <t>0910676R</t>
  </si>
  <si>
    <t>0910715H</t>
  </si>
  <si>
    <t>LYCEE PROFESSIONNEL JEAN PERRIN LYCEE DES METIERS DE L INDUSTRIE DU SERVICE A LA PERSONNE ET AUX ENTREPRISES</t>
  </si>
  <si>
    <t>0910756C</t>
  </si>
  <si>
    <t>LYCEE PROFESSIONNEL LOUIS ARMAND LYCEE DES METIERS ADMINISTRATIFS ET COMMERCIAUX</t>
  </si>
  <si>
    <t>0910815S</t>
  </si>
  <si>
    <t>0910819W</t>
  </si>
  <si>
    <t>LYCEE PRIVE DU COURS SECONDAIRE D ORSAY</t>
  </si>
  <si>
    <t>0910823A</t>
  </si>
  <si>
    <t>LYCEE GENERAL ET TECHNOLOGIQUE PRIVE ILE DE FRANCE</t>
  </si>
  <si>
    <t>VILLEBON SUR YVETTE</t>
  </si>
  <si>
    <t>0911938M</t>
  </si>
  <si>
    <t>0911946W</t>
  </si>
  <si>
    <t>SAINT MICHEL SUR ORGE</t>
  </si>
  <si>
    <t>0912163G</t>
  </si>
  <si>
    <t>LYCEE POLYVALENT PAUL LANGEVIN LYCEE DES METIERS DE LA GESTION ET DE LA RELATION CLIENT</t>
  </si>
  <si>
    <t>0920132U</t>
  </si>
  <si>
    <t>0920134W</t>
  </si>
  <si>
    <t>0920138A</t>
  </si>
  <si>
    <t>LYCEE GENERAL ET TECHNOLOGIQUE PAUL LAPIE</t>
  </si>
  <si>
    <t>0920141D</t>
  </si>
  <si>
    <t>LYCEE POLYVALENT JOLIOT CURIE</t>
  </si>
  <si>
    <t>0920142E</t>
  </si>
  <si>
    <t>LYCEE D ENSEIGNEMENT GENERAL LOUIS PASTEUR</t>
  </si>
  <si>
    <t>0920150N</t>
  </si>
  <si>
    <t>LYCEE POLYVALENT DE PRONY LYCEE DES METIERS DU BOIS DE L EBENISTERIE DE LA TECHNIQUE DE L ARCHITECTURE ET DE L HABITAT</t>
  </si>
  <si>
    <t>0920158X</t>
  </si>
  <si>
    <t>LYCEE PROFESSIONNEL LA TOURNELLE LYCEE DES METIERS DU NUMERIQUE DE L ELECTRICITE DE L ACCUEIL DU COMMERCE ET DE LA GESTION</t>
  </si>
  <si>
    <t>LA GARENNE COLOMBES</t>
  </si>
  <si>
    <t>0920163C</t>
  </si>
  <si>
    <t>LYCEE PROFESSIONNEL LOUIS GIRARD</t>
  </si>
  <si>
    <t>MALAKOFF</t>
  </si>
  <si>
    <t>0920798T</t>
  </si>
  <si>
    <t>0920875B</t>
  </si>
  <si>
    <t>0920897A</t>
  </si>
  <si>
    <t>0920906K</t>
  </si>
  <si>
    <t>BOURG LA REINE</t>
  </si>
  <si>
    <t>0920963X</t>
  </si>
  <si>
    <t>FONTENAY AUX ROSES</t>
  </si>
  <si>
    <t>0921156G</t>
  </si>
  <si>
    <t>LYCEE POLYVALENT GALILEE LYCEE DES METIERS DE LA CHIMIE DE LA PLASTURGIE ET DES BIOTECHNOLOGIES</t>
  </si>
  <si>
    <t>GENNEVILLIERS</t>
  </si>
  <si>
    <t>0921230M</t>
  </si>
  <si>
    <t>LYCEE POLYVALENT LEONARD DE VINCI LYCEE DES METIERS DE LA MICRO TECHNOLOGIE DE L OPTIQUE ET DES SERVICES AUX ENTREPRISES</t>
  </si>
  <si>
    <t>LEVALLOIS PERRET</t>
  </si>
  <si>
    <t>0921484N</t>
  </si>
  <si>
    <t>LYCEE POLYVALENT PRIVE MONTALEMBERT</t>
  </si>
  <si>
    <t>0921500F</t>
  </si>
  <si>
    <t>LYCEE PROFESSIONNEL VOILIN LYCEE DES METIERS DE L ACCUEIL DE LA VENTE ET DES SERVICES AUX ENTREPRISES</t>
  </si>
  <si>
    <t>0921555R</t>
  </si>
  <si>
    <t>CLAMART</t>
  </si>
  <si>
    <t>0921592F</t>
  </si>
  <si>
    <t>LYCEE PROFESSIONNEL LES COTES DE VILLEBON LYCEE DES METIERS DE BOUCHE DU COMMERCE ET DE L INDUSTRIE</t>
  </si>
  <si>
    <t>0921626T</t>
  </si>
  <si>
    <t>LYCEE PROFESSIONNEL CLAUDE CHAPPE</t>
  </si>
  <si>
    <t>0922249V</t>
  </si>
  <si>
    <t>LYCEE POLYVALENT MONTESQUIEU</t>
  </si>
  <si>
    <t>LE PLESSIS ROBINSON</t>
  </si>
  <si>
    <t>0922276Z</t>
  </si>
  <si>
    <t>LYCEE POLYVALENT SANTOS DUMONT LYCEE DES METIERS DE L HOTELLERIE ET DE LA GESTION DES ENTREPRISES</t>
  </si>
  <si>
    <t>0922615T</t>
  </si>
  <si>
    <t>LYCEE D ENSEIGNEMENT GENERAL LUCIE AUBRAC</t>
  </si>
  <si>
    <t>0922801V</t>
  </si>
  <si>
    <t>0930116W</t>
  </si>
  <si>
    <t>0930128J</t>
  </si>
  <si>
    <t>0930946Y</t>
  </si>
  <si>
    <t>0931735F</t>
  </si>
  <si>
    <t>LYCEE PROFESSIONNEL LOUISE MICHEL LYCEE DES METIERS DE LA VENTE ET DU COMMERCE</t>
  </si>
  <si>
    <t>0931779D</t>
  </si>
  <si>
    <t>LYCEE DE L HORTICULTURE ET DU PAYSAGE JEANNE BARET</t>
  </si>
  <si>
    <t>0931799A</t>
  </si>
  <si>
    <t>VAUJOURS</t>
  </si>
  <si>
    <t>0932036H</t>
  </si>
  <si>
    <t>LYCEE GENERAL ET TECHNOLOGIQUE PRIVE FRANCOISE CABRINI</t>
  </si>
  <si>
    <t>0932046U</t>
  </si>
  <si>
    <t>LYCEE POLYVALENT LEONARD DE VINCI LYCEE DES METIERS DU TRANSPORT</t>
  </si>
  <si>
    <t>0932048W</t>
  </si>
  <si>
    <t>LYCEE POLYVALENT BLAISE CENDRARS</t>
  </si>
  <si>
    <t>SEVRAN</t>
  </si>
  <si>
    <t>0932110N</t>
  </si>
  <si>
    <t>LYCEE GENERAL PRIVE CHNE OR</t>
  </si>
  <si>
    <t>0932117W</t>
  </si>
  <si>
    <t>0932126F</t>
  </si>
  <si>
    <t>0932129J</t>
  </si>
  <si>
    <t>LYCEE POLYVALENT APPLICATION DE L ENNA LYCEE DES METIERS DES STRUCTURES METALLIQUES</t>
  </si>
  <si>
    <t>0932267J</t>
  </si>
  <si>
    <t>LYCEE POLYVALENT LIBERTE LYCEE DES METIERS DU LABORATOIRE ET DE LA SANTE</t>
  </si>
  <si>
    <t>ROMAINVILLE</t>
  </si>
  <si>
    <t>0932291K</t>
  </si>
  <si>
    <t>LYCEE POLYVALENT NICOLAS JOSEPH CUGNOT LYCEE DES METIERS DE L AUTOMOBILE</t>
  </si>
  <si>
    <t>NEUILLY SUR MARNE</t>
  </si>
  <si>
    <t>0932577W</t>
  </si>
  <si>
    <t>LYCEE GERMAINE TILLION</t>
  </si>
  <si>
    <t>LE BOURGET</t>
  </si>
  <si>
    <t>0940119U</t>
  </si>
  <si>
    <t>LYCEE POLYVALENT PAUL DOUMER</t>
  </si>
  <si>
    <t>LE PERREUX SUR MARNE</t>
  </si>
  <si>
    <t>0940140S</t>
  </si>
  <si>
    <t>LYCEE PROFESSIONNEL GOURDOU LESEURRE LYCEE DES METIERS DE LA MAINTENANCE DES SYSTEMES INDUSTRIELS</t>
  </si>
  <si>
    <t>0940143V</t>
  </si>
  <si>
    <t>0940580V</t>
  </si>
  <si>
    <t>LYCEE POLYVALENT DE CACHAN</t>
  </si>
  <si>
    <t>0940742W</t>
  </si>
  <si>
    <t>LYCEE POLYVALENT GUILLAUME BUDE</t>
  </si>
  <si>
    <t>LIMEIL BREVANNES</t>
  </si>
  <si>
    <t>0940743X</t>
  </si>
  <si>
    <t>VILLENEUVE LE ROI</t>
  </si>
  <si>
    <t>0941294W</t>
  </si>
  <si>
    <t>LYCEE POLYVALENT ADOLPHE CHERIOUX LYCEE DES METIERS DE L HABITAT ET DE L AMENAGEMENT URBAIN</t>
  </si>
  <si>
    <t>0941298A</t>
  </si>
  <si>
    <t>LYCEE PROFESSIONNEL MICHELET</t>
  </si>
  <si>
    <t>0941474S</t>
  </si>
  <si>
    <t>LYCEE POLYVALENT DARIUS MILHAUD</t>
  </si>
  <si>
    <t>0941711Z</t>
  </si>
  <si>
    <t>LYCEE GENERAL PRIVE OZAR HATORAH FILLES</t>
  </si>
  <si>
    <t>0941719H</t>
  </si>
  <si>
    <t>LYCEE GENERAL ET TECHNOLOGIQUE PRIVE EPIN</t>
  </si>
  <si>
    <t>0941722L</t>
  </si>
  <si>
    <t>LYCEE PROFESSIONNEL PRIVE GREGOR MENDEL</t>
  </si>
  <si>
    <t>0941974K</t>
  </si>
  <si>
    <t>LYCEE POLYVALENT ROBERT SCHUMAN</t>
  </si>
  <si>
    <t>0942269F</t>
  </si>
  <si>
    <t>LYCEE POLYVALENT PAULINE ROLAND LYCEE DES METIERS DU TRANSPORT ET DE LA LOGISTIQUE</t>
  </si>
  <si>
    <t>CHEVILLY LARUE</t>
  </si>
  <si>
    <t>0942376X</t>
  </si>
  <si>
    <t>LYCEE GENERAL PRIVE COURS DU HAMEAU</t>
  </si>
  <si>
    <t>0950657Y</t>
  </si>
  <si>
    <t>LYCEE PROFESSIONNEL FERDINAND BUISSON</t>
  </si>
  <si>
    <t>0950709E</t>
  </si>
  <si>
    <t>LYCEE PROFESSIONNEL VIRGINIA HENDERSON LYCEE DES METIERS DES SERVICES A LA PERSONNE ET A L ENTREPRISE</t>
  </si>
  <si>
    <t>ARNOUVILLE</t>
  </si>
  <si>
    <t>0950805J</t>
  </si>
  <si>
    <t>LYCEE PROFESSIONNEL PRIVE SAINT JEAN L HERMITAGE</t>
  </si>
  <si>
    <t>0951048Y</t>
  </si>
  <si>
    <t>LYCEE GENERAL ET TECHNOLOGIQUE PRIVE TORAT EMET</t>
  </si>
  <si>
    <t>0951090U</t>
  </si>
  <si>
    <t>LYCEE PROFESSIONNEL PIERRE MENDES FRANCE LYCEE DES METIERS DE L ECO CONSTRUCTION ET DU BATIMENT</t>
  </si>
  <si>
    <t>VILLIERS LE BEL</t>
  </si>
  <si>
    <t>0951673C</t>
  </si>
  <si>
    <t>LYCEE POLYVALENT GUSTAVE EIFFEL LYCEE DES METIERS DE L ELECTRICITE ET DES SERVICES AUX ENTREPRISES</t>
  </si>
  <si>
    <t>0951727L</t>
  </si>
  <si>
    <t>LYCEE POLYVALENT CHARLES BAUDELAIRE LYCEE DES METIERS DE LA SECURITE ET DE LA RELATION CLIENT</t>
  </si>
  <si>
    <t>FOSSES</t>
  </si>
  <si>
    <t>0951763A</t>
  </si>
  <si>
    <t>LYCEE POLYVALENT LOUIS JOUVET LYCEE DES METIERS DE LA SANTE ET DU SOCIAL</t>
  </si>
  <si>
    <t>0951788C</t>
  </si>
  <si>
    <t>DOMONT</t>
  </si>
  <si>
    <t>0951994B</t>
  </si>
  <si>
    <t>LYCEE POLYVALENT PRIVE ORT</t>
  </si>
  <si>
    <t>0951998F</t>
  </si>
  <si>
    <t>LYCEE POLYVALENT PRIVE DE GARAC LYCEE DES METIERS DE LA VENTE ET DE L APRES VENTE AUTO MOTO ET VEHICULE INDUSTRIEL</t>
  </si>
  <si>
    <t>0952158E</t>
  </si>
  <si>
    <t>LYCEE GENERAL ET TECHNOLOGIQUE PAUL RICOEUR</t>
  </si>
  <si>
    <t>LOUVRES</t>
  </si>
  <si>
    <t>6200002H</t>
  </si>
  <si>
    <t>LYCEE GENERAL ET TECHNOLOGIQUE LAETITIA BONAPARTE AJACCIO</t>
  </si>
  <si>
    <t>6200043C</t>
  </si>
  <si>
    <t>LYCEE POLYVALENT GEORGES CLEMENCEAU SARTENE</t>
  </si>
  <si>
    <t>2A272</t>
  </si>
  <si>
    <t>SARTENE</t>
  </si>
  <si>
    <t>7200009X</t>
  </si>
  <si>
    <t>LYCEE GENERAL ET TECHNOLOGIQUE GIOCANTE DE CASABIANCA BASTIA</t>
  </si>
  <si>
    <t>7200073S</t>
  </si>
  <si>
    <t>LYCEE GENERAL PRIVE PENSIONNAT JEANNE D ARC BASTIA</t>
  </si>
  <si>
    <t>7200123W</t>
  </si>
  <si>
    <t>LYCEE POLYVALENT DE BALAGNE</t>
  </si>
  <si>
    <t>2B134</t>
  </si>
  <si>
    <t>L ILE ROUSSE</t>
  </si>
  <si>
    <t>9710054G</t>
  </si>
  <si>
    <t>LYCEE GENERAL ET TECHNOLOGIQUE PRIVE MAITRISE DE MASSABIELLE</t>
  </si>
  <si>
    <t>9710921Z</t>
  </si>
  <si>
    <t>LYCEE GENERAL ET TECHNOLOGIQUE FELIX PROTO</t>
  </si>
  <si>
    <t>9711033W</t>
  </si>
  <si>
    <t>LYCEE POLYVALENT POINTE NOIRE</t>
  </si>
  <si>
    <t>POINTE NOIRE</t>
  </si>
  <si>
    <t>9720003W</t>
  </si>
  <si>
    <t>9720005Y</t>
  </si>
  <si>
    <t>LYCEE PROFESSIONNEL REGIONAL DUMAS JEAN JOSEPH</t>
  </si>
  <si>
    <t>9720073X</t>
  </si>
  <si>
    <t>LYCEE PROFESSIONNEL PRIVE SAINT JEAN PAUL II</t>
  </si>
  <si>
    <t>9720350Y</t>
  </si>
  <si>
    <t>LYCEE GENERAL ET TECHNOLOGIQUE FRANTZ FANON</t>
  </si>
  <si>
    <t>9720515C</t>
  </si>
  <si>
    <t>LYCEE PROFESSIONNEL ANDRE ALIKER LYCEE DES METIERS DU TRANSPORT ET DE LA LOGISTIQUE</t>
  </si>
  <si>
    <t>9720694X</t>
  </si>
  <si>
    <t>LYCEE GENERAL ET TECHNOLOGIQUE ACAJOU 1</t>
  </si>
  <si>
    <t>9730235T</t>
  </si>
  <si>
    <t>LYCEE POLYVALENT BERTENE JUMINER</t>
  </si>
  <si>
    <t>9740001H</t>
  </si>
  <si>
    <t>LYCEE GENERAL ET TECHNOLOGIQUE LECONTE DE LISLE</t>
  </si>
  <si>
    <t>9740019C</t>
  </si>
  <si>
    <t>LYCEE GENERAL ET TECHNOLOGIQUE AMBROISE VOLLARD</t>
  </si>
  <si>
    <t>9740910W</t>
  </si>
  <si>
    <t>9740921H</t>
  </si>
  <si>
    <t>LYCEE PROFESSIONNEL ISNELLE AMELIN</t>
  </si>
  <si>
    <t>9741046U</t>
  </si>
  <si>
    <t>LYCEE GENERAL ET TECHNOLOGIQUE BELLEPIERRE</t>
  </si>
  <si>
    <t>9741051Z</t>
  </si>
  <si>
    <t>LYCEE POLYVALENT PAUL MOREAU</t>
  </si>
  <si>
    <t>BRAS PANON</t>
  </si>
  <si>
    <t>9741173G</t>
  </si>
  <si>
    <t>LYCEE POLYVALENT MOULIN JOLI</t>
  </si>
  <si>
    <t>LA POSSESSION</t>
  </si>
  <si>
    <t>9760125G</t>
  </si>
  <si>
    <t>LYCEE POLYVALENT GUSTAVE EIFFEL DE KAHANI LYCEE DES METIERS</t>
  </si>
  <si>
    <t>OUANGANI</t>
  </si>
  <si>
    <t>9760163Y</t>
  </si>
  <si>
    <t>LYCEE POLYVALENT DE KAWENI LYCEE DES METIERS DU GOUT ET DES SAVEURS01</t>
  </si>
  <si>
    <t>9760316P</t>
  </si>
  <si>
    <t>LPO TANI MALANDI</t>
  </si>
  <si>
    <t>CHIRONGUI</t>
  </si>
  <si>
    <t>9760363R</t>
  </si>
  <si>
    <t>LYCEE POLYVALENT DE BANDRELE LYCEE DES METIERS</t>
  </si>
  <si>
    <t>BANDRELE</t>
  </si>
  <si>
    <t>9760370Y</t>
  </si>
  <si>
    <t>LYCEE DES LUMIERES</t>
  </si>
  <si>
    <t>nom</t>
  </si>
  <si>
    <t>commune</t>
  </si>
  <si>
    <t>ips moyen</t>
  </si>
  <si>
    <t>Pourcentage des établissements de chaque secteur dont l'IPS est supérieur à la moyenne de l'ensemble des établissements</t>
  </si>
  <si>
    <t>Pourcentage des établissements de chaque type dont l'IPS est supérieur à la moyenne de l'ensemble des établissements</t>
  </si>
  <si>
    <t>code_etablissement</t>
  </si>
  <si>
    <t>taux_brut_de_reussite_total_series</t>
  </si>
  <si>
    <t>taux_reu_brut_gnle</t>
  </si>
  <si>
    <t>ips N/A</t>
  </si>
  <si>
    <t>Regression linéaire taux de réussite vs ips</t>
  </si>
  <si>
    <t>slope</t>
  </si>
  <si>
    <t>intercept</t>
  </si>
  <si>
    <t>coefficient of determination r2</t>
  </si>
  <si>
    <t>coefficient correlation r</t>
  </si>
  <si>
    <t xml:space="preserve">nb IPS #N/A : </t>
  </si>
  <si>
    <t>nb IPS manquants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</si>
</sst>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Verdana"/>
      <scheme val="minor"/>
    </font>
    <font>
      <sz val="18.0"/>
      <color rgb="FFFFFFFF"/>
      <name val="Verdana"/>
      <scheme val="minor"/>
    </font>
    <font>
      <sz val="12.0"/>
      <color theme="1"/>
      <name val="Verdana"/>
      <scheme val="minor"/>
    </font>
    <font/>
    <font>
      <color theme="1"/>
      <name val="Verdana"/>
      <scheme val="minor"/>
    </font>
    <font>
      <sz val="12.0"/>
      <color rgb="FF000000"/>
      <name val="Verdana"/>
      <scheme val="minor"/>
    </font>
    <font>
      <sz val="12.0"/>
      <color rgb="FFFFFFFF"/>
      <name val="Verdana"/>
      <scheme val="minor"/>
    </font>
    <font>
      <sz val="18.0"/>
      <color theme="1"/>
      <name val="Verdana"/>
      <scheme val="minor"/>
    </font>
    <font>
      <color rgb="FFFFFFFF"/>
      <name val="Verdana"/>
      <scheme val="minor"/>
    </font>
    <font>
      <color rgb="FF1A1A1A"/>
      <name val="Verdana"/>
    </font>
    <font>
      <color theme="1"/>
      <name val="Arial"/>
    </font>
    <font>
      <b/>
      <color theme="1"/>
      <name val="Verdana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2B4945"/>
        <bgColor rgb="FF2B4945"/>
      </patternFill>
    </fill>
    <fill>
      <patternFill patternType="solid">
        <fgColor rgb="FFD0DBD9"/>
        <bgColor rgb="FFD0DBD9"/>
      </patternFill>
    </fill>
    <fill>
      <patternFill patternType="solid">
        <fgColor rgb="FF43706A"/>
        <bgColor rgb="FF43706A"/>
      </patternFill>
    </fill>
    <fill>
      <patternFill patternType="solid">
        <fgColor rgb="FFEFF3F3"/>
        <bgColor rgb="FFEFF3F3"/>
      </patternFill>
    </fill>
    <fill>
      <patternFill patternType="solid">
        <fgColor rgb="FFFFFFFF"/>
        <bgColor rgb="FFFFFFFF"/>
      </patternFill>
    </fill>
    <fill>
      <patternFill patternType="solid">
        <fgColor rgb="FFEBEFF1"/>
        <bgColor rgb="FFEBEFF1"/>
      </patternFill>
    </fill>
    <fill>
      <patternFill patternType="solid">
        <fgColor rgb="FF78909C"/>
        <bgColor rgb="FF78909C"/>
      </patternFill>
    </fill>
    <fill>
      <patternFill patternType="solid">
        <fgColor rgb="FFA3C6D7"/>
        <bgColor rgb="FFA3C6D7"/>
      </patternFill>
    </fill>
  </fills>
  <borders count="11">
    <border/>
    <border>
      <top style="thick">
        <color rgb="FF43706A"/>
      </top>
    </border>
    <border>
      <bottom style="thick">
        <color rgb="FF43706A"/>
      </bottom>
    </border>
    <border>
      <bottom style="double">
        <color rgb="FF000000"/>
      </bottom>
    </border>
    <border>
      <left style="thin">
        <color rgb="FF43706A"/>
      </left>
      <right style="thin">
        <color rgb="FF43706A"/>
      </right>
      <bottom style="thin">
        <color rgb="FF43706A"/>
      </bottom>
    </border>
    <border>
      <right style="thin">
        <color rgb="FF43706A"/>
      </right>
      <bottom style="thin">
        <color rgb="FF43706A"/>
      </bottom>
    </border>
    <border>
      <left style="thin">
        <color rgb="FF43706A"/>
      </left>
      <top style="thin">
        <color rgb="FF43706A"/>
      </top>
      <bottom style="thin">
        <color rgb="FF43706A"/>
      </bottom>
    </border>
    <border>
      <right style="thin">
        <color rgb="FF43706A"/>
      </right>
      <top style="thin">
        <color rgb="FF43706A"/>
      </top>
      <bottom style="thin">
        <color rgb="FF43706A"/>
      </bottom>
    </border>
    <border>
      <top style="thick">
        <color rgb="FF000000"/>
      </top>
    </border>
    <border>
      <bottom style="thick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Border="1" applyFont="1"/>
    <xf borderId="1" fillId="0" fontId="2" numFmtId="0" xfId="0" applyAlignment="1" applyBorder="1" applyFont="1">
      <alignment horizontal="center" readingOrder="0" shrinkToFit="0" wrapText="1"/>
    </xf>
    <xf borderId="0" fillId="0" fontId="4" numFmtId="0" xfId="0" applyFont="1"/>
    <xf borderId="0" fillId="0" fontId="2" numFmtId="0" xfId="0" applyFont="1"/>
    <xf borderId="2" fillId="3" fontId="5" numFmtId="0" xfId="0" applyAlignment="1" applyBorder="1" applyFill="1" applyFont="1">
      <alignment readingOrder="0"/>
    </xf>
    <xf borderId="2" fillId="4" fontId="6" numFmtId="0" xfId="0" applyAlignment="1" applyBorder="1" applyFill="1" applyFont="1">
      <alignment horizontal="center" readingOrder="0"/>
    </xf>
    <xf borderId="0" fillId="0" fontId="4" numFmtId="4" xfId="0" applyFont="1" applyNumberFormat="1"/>
    <xf borderId="0" fillId="0" fontId="4" numFmtId="0" xfId="0" applyAlignment="1" applyFont="1">
      <alignment horizontal="center"/>
    </xf>
    <xf borderId="0" fillId="5" fontId="2" numFmtId="0" xfId="0" applyAlignment="1" applyFill="1" applyFont="1">
      <alignment readingOrder="0" shrinkToFit="0" wrapText="1"/>
    </xf>
    <xf borderId="0" fillId="6" fontId="2" numFmtId="0" xfId="0" applyAlignment="1" applyFill="1" applyFont="1">
      <alignment horizontal="center" vertical="center"/>
    </xf>
    <xf borderId="0" fillId="4" fontId="6" numFmtId="0" xfId="0" applyAlignment="1" applyFont="1">
      <alignment readingOrder="0"/>
    </xf>
    <xf borderId="0" fillId="7" fontId="2" numFmtId="0" xfId="0" applyAlignment="1" applyFill="1" applyFont="1">
      <alignment readingOrder="0"/>
    </xf>
    <xf borderId="0" fillId="7" fontId="2" numFmtId="0" xfId="0" applyFont="1"/>
    <xf borderId="0" fillId="0" fontId="7" numFmtId="0" xfId="0" applyAlignment="1" applyFont="1">
      <alignment horizontal="center" readingOrder="0"/>
    </xf>
    <xf borderId="3" fillId="0" fontId="4" numFmtId="4" xfId="0" applyBorder="1" applyFont="1" applyNumberFormat="1"/>
    <xf borderId="0" fillId="0" fontId="2" numFmtId="0" xfId="0" applyAlignment="1" applyFont="1">
      <alignment horizontal="center" readingOrder="0" vertical="center"/>
    </xf>
    <xf borderId="0" fillId="8" fontId="4" numFmtId="0" xfId="0" applyAlignment="1" applyFill="1" applyFont="1">
      <alignment horizontal="center" readingOrder="0"/>
    </xf>
    <xf borderId="0" fillId="8" fontId="4" numFmtId="0" xfId="0" applyAlignment="1" applyFont="1">
      <alignment readingOrder="0"/>
    </xf>
    <xf borderId="0" fillId="9" fontId="4" numFmtId="0" xfId="0" applyAlignment="1" applyFill="1" applyFont="1">
      <alignment readingOrder="0"/>
    </xf>
    <xf borderId="0" fillId="0" fontId="4" numFmtId="4" xfId="0" applyFont="1" applyNumberFormat="1"/>
    <xf borderId="0" fillId="6" fontId="4" numFmtId="4" xfId="0" applyFont="1" applyNumberFormat="1"/>
    <xf borderId="1" fillId="0" fontId="2" numFmtId="0" xfId="0" applyAlignment="1" applyBorder="1" applyFont="1">
      <alignment readingOrder="0" shrinkToFit="0" wrapText="1"/>
    </xf>
    <xf borderId="0" fillId="4" fontId="6" numFmtId="0" xfId="0" applyAlignment="1" applyFont="1">
      <alignment horizontal="center" readingOrder="0"/>
    </xf>
    <xf borderId="4" fillId="6" fontId="2" numFmtId="0" xfId="0" applyAlignment="1" applyBorder="1" applyFont="1">
      <alignment horizontal="center"/>
    </xf>
    <xf borderId="5" fillId="6" fontId="2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0" fillId="0" fontId="6" numFmtId="0" xfId="0" applyAlignment="1" applyFont="1">
      <alignment horizontal="center" readingOrder="0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readingOrder="0" vertical="center"/>
    </xf>
    <xf borderId="6" fillId="0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readingOrder="0" vertical="center"/>
    </xf>
    <xf borderId="0" fillId="0" fontId="4" numFmtId="0" xfId="0" applyAlignment="1" applyFont="1">
      <alignment readingOrder="0"/>
    </xf>
    <xf borderId="2" fillId="3" fontId="2" numFmtId="0" xfId="0" applyAlignment="1" applyBorder="1" applyFont="1">
      <alignment readingOrder="0"/>
    </xf>
    <xf borderId="2" fillId="4" fontId="8" numFmtId="0" xfId="0" applyAlignment="1" applyBorder="1" applyFont="1">
      <alignment readingOrder="0"/>
    </xf>
    <xf borderId="0" fillId="5" fontId="4" numFmtId="0" xfId="0" applyAlignment="1" applyFont="1">
      <alignment readingOrder="0"/>
    </xf>
    <xf borderId="0" fillId="0" fontId="8" numFmtId="0" xfId="0" applyAlignment="1" applyFont="1">
      <alignment readingOrder="0"/>
    </xf>
    <xf borderId="0" fillId="4" fontId="6" numFmtId="0" xfId="0" applyAlignment="1" applyFont="1">
      <alignment horizontal="center" readingOrder="0" vertical="center"/>
    </xf>
    <xf borderId="0" fillId="4" fontId="6" numFmtId="0" xfId="0" applyAlignment="1" applyFont="1">
      <alignment readingOrder="0" vertical="center"/>
    </xf>
    <xf borderId="0" fillId="0" fontId="2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readingOrder="0"/>
    </xf>
    <xf borderId="0" fillId="0" fontId="4" numFmtId="0" xfId="0" applyFont="1"/>
    <xf borderId="0" fillId="0" fontId="4" numFmtId="0" xfId="0" applyAlignment="1" applyFont="1">
      <alignment horizontal="center"/>
    </xf>
    <xf borderId="0" fillId="0" fontId="4" numFmtId="4" xfId="0" applyAlignment="1" applyFont="1" applyNumberFormat="1">
      <alignment readingOrder="0"/>
    </xf>
    <xf borderId="0" fillId="0" fontId="9" numFmtId="0" xfId="0" applyAlignment="1" applyFont="1">
      <alignment vertical="bottom"/>
    </xf>
    <xf borderId="0" fillId="0" fontId="9" numFmtId="0" xfId="0" applyAlignment="1" applyFont="1">
      <alignment shrinkToFit="0" vertical="bottom" wrapText="0"/>
    </xf>
    <xf borderId="0" fillId="0" fontId="9" numFmtId="4" xfId="0" applyAlignment="1" applyFont="1" applyNumberFormat="1">
      <alignment horizontal="right" vertical="bottom"/>
    </xf>
    <xf borderId="0" fillId="0" fontId="10" numFmtId="4" xfId="0" applyAlignment="1" applyFont="1" applyNumberFormat="1">
      <alignment vertical="bottom"/>
    </xf>
    <xf borderId="0" fillId="0" fontId="10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readingOrder="0" shrinkToFit="0" vertical="bottom" wrapText="0"/>
    </xf>
    <xf borderId="0" fillId="8" fontId="6" numFmtId="0" xfId="0" applyAlignment="1" applyFont="1">
      <alignment readingOrder="0"/>
    </xf>
    <xf borderId="0" fillId="7" fontId="2" numFmtId="0" xfId="0" applyAlignment="1" applyFont="1">
      <alignment readingOrder="0" shrinkToFit="0" wrapText="1"/>
    </xf>
    <xf borderId="8" fillId="0" fontId="2" numFmtId="0" xfId="0" applyAlignment="1" applyBorder="1" applyFont="1">
      <alignment readingOrder="0" shrinkToFit="0" wrapText="1"/>
    </xf>
    <xf borderId="8" fillId="0" fontId="3" numFmtId="0" xfId="0" applyBorder="1" applyFont="1"/>
    <xf borderId="0" fillId="8" fontId="6" numFmtId="0" xfId="0" applyAlignment="1" applyFont="1">
      <alignment horizontal="center" readingOrder="0"/>
    </xf>
    <xf borderId="0" fillId="7" fontId="2" numFmtId="0" xfId="0" applyAlignment="1" applyFont="1">
      <alignment horizontal="center" vertical="center"/>
    </xf>
    <xf borderId="9" fillId="0" fontId="4" numFmtId="0" xfId="0" applyBorder="1" applyFont="1"/>
    <xf borderId="0" fillId="0" fontId="2" numFmtId="0" xfId="0" applyAlignment="1" applyFont="1">
      <alignment readingOrder="0" shrinkToFit="0" wrapText="1"/>
    </xf>
    <xf borderId="0" fillId="0" fontId="10" numFmtId="0" xfId="0" applyAlignment="1" applyFont="1">
      <alignment horizontal="right" vertical="bottom"/>
    </xf>
    <xf borderId="0" fillId="0" fontId="6" numFmtId="0" xfId="0" applyAlignment="1" applyFont="1">
      <alignment horizontal="center" readingOrder="0"/>
    </xf>
    <xf borderId="10" fillId="0" fontId="11" numFmtId="0" xfId="0" applyAlignment="1" applyBorder="1" applyFont="1">
      <alignment readingOrder="0"/>
    </xf>
    <xf borderId="10" fillId="0" fontId="3" numFmtId="0" xfId="0" applyBorder="1" applyFont="1"/>
    <xf borderId="0" fillId="0" fontId="2" numFmtId="0" xfId="0" applyAlignment="1" applyFont="1">
      <alignment horizontal="center"/>
    </xf>
    <xf borderId="8" fillId="0" fontId="2" numFmtId="0" xfId="0" applyAlignment="1" applyBorder="1" applyFont="1">
      <alignment readingOrder="0"/>
    </xf>
    <xf borderId="0" fillId="0" fontId="11" numFmtId="0" xfId="0" applyFont="1"/>
    <xf borderId="8" fillId="0" fontId="4" numFmtId="0" xfId="0" applyBorder="1" applyFont="1"/>
    <xf borderId="0" fillId="0" fontId="10" numFmtId="0" xfId="0" applyAlignment="1" applyFont="1">
      <alignment horizontal="right" readingOrder="0" vertical="bottom"/>
    </xf>
  </cellXfs>
  <cellStyles count="1">
    <cellStyle xfId="0" name="Normal" builtinId="0"/>
  </cellStyles>
  <dxfs count="8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C5D8E1"/>
          <bgColor rgb="FFC5D8E1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7">
    <tableStyle count="3" pivot="0" name="IPS suivant la section-style">
      <tableStyleElement dxfId="2" type="headerRow"/>
      <tableStyleElement dxfId="3" type="firstRowStripe"/>
      <tableStyleElement dxfId="4" type="secondRowStripe"/>
    </tableStyle>
    <tableStyle count="3" pivot="0" name="Corrélation IPS-BAC-style">
      <tableStyleElement dxfId="5" type="headerRow"/>
      <tableStyleElement dxfId="6" type="firstRowStripe"/>
      <tableStyleElement dxfId="7" type="secondRowStripe"/>
    </tableStyle>
    <tableStyle count="3" pivot="0" name="Corrélation IPS-BAC-style 2">
      <tableStyleElement dxfId="5" type="headerRow"/>
      <tableStyleElement dxfId="6" type="firstRowStripe"/>
      <tableStyleElement dxfId="7" type="secondRowStripe"/>
    </tableStyle>
    <tableStyle count="3" pivot="0" name="100 les plus favorisés-style">
      <tableStyleElement dxfId="5" type="headerRow"/>
      <tableStyleElement dxfId="3" type="firstRowStripe"/>
      <tableStyleElement dxfId="7" type="secondRowStripe"/>
    </tableStyle>
    <tableStyle count="3" pivot="0" name="100 les plus défavorisés-style">
      <tableStyleElement dxfId="5" type="headerRow"/>
      <tableStyleElement dxfId="3" type="firstRowStripe"/>
      <tableStyleElement dxfId="7" type="secondRowStripe"/>
    </tableStyle>
    <tableStyle count="3" pivot="0" name="Donc travail taux reussite bac-style">
      <tableStyleElement dxfId="5" type="headerRow"/>
      <tableStyleElement dxfId="6" type="firstRowStripe"/>
      <tableStyleElement dxfId="7" type="secondRowStripe"/>
    </tableStyle>
    <tableStyle count="3" pivot="0" name="Donc travail taux reussite bac-style 2">
      <tableStyleElement dxfId="5" type="headerRow"/>
      <tableStyleElement dxfId="6" type="firstRowStripe"/>
      <tableStyleElement dxfId="7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1.xml"/><Relationship Id="rId17" Type="http://schemas.openxmlformats.org/officeDocument/2006/relationships/pivotCacheDefinition" Target="pivotCache/pivotCacheDefinition4.xml"/><Relationship Id="rId16" Type="http://schemas.openxmlformats.org/officeDocument/2006/relationships/pivotCacheDefinition" Target="pivotCache/pivotCacheDefinition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pivotCacheDefinition" Target="pivotCache/pivotCacheDefinition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838383"/>
                </a:solidFill>
                <a:latin typeface="+mn-lt"/>
              </a:defRPr>
            </a:pPr>
            <a:r>
              <a:rPr b="0">
                <a:solidFill>
                  <a:srgbClr val="838383"/>
                </a:solidFill>
                <a:latin typeface="+mn-lt"/>
              </a:rPr>
              <a:t>IPS moyen suivant la série et le secteur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'IPS suivant la section'!$I$24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'IPS suivant la section'!$H$25:$H$27</c:f>
            </c:strRef>
          </c:cat>
          <c:val>
            <c:numRef>
              <c:f>'IPS suivant la section'!$I$25:$I$27</c:f>
              <c:numCache/>
            </c:numRef>
          </c:val>
        </c:ser>
        <c:ser>
          <c:idx val="1"/>
          <c:order val="1"/>
          <c:tx>
            <c:strRef>
              <c:f>'IPS suivant la section'!$J$24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'IPS suivant la section'!$H$25:$H$27</c:f>
            </c:strRef>
          </c:cat>
          <c:val>
            <c:numRef>
              <c:f>'IPS suivant la section'!$J$25:$J$27</c:f>
              <c:numCache/>
            </c:numRef>
          </c:val>
        </c:ser>
        <c:axId val="1924337793"/>
        <c:axId val="531461012"/>
      </c:barChart>
      <c:catAx>
        <c:axId val="19243377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1A1A1A"/>
                    </a:solidFill>
                    <a:latin typeface="+mn-lt"/>
                  </a:defRPr>
                </a:pPr>
                <a:r>
                  <a:rPr b="0">
                    <a:solidFill>
                      <a:srgbClr val="1A1A1A"/>
                    </a:solidFill>
                    <a:latin typeface="+mn-lt"/>
                  </a:rPr>
                  <a:t>Type de lycée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1A1A1A"/>
                </a:solidFill>
                <a:latin typeface="+mn-lt"/>
              </a:defRPr>
            </a:pPr>
          </a:p>
        </c:txPr>
        <c:crossAx val="531461012"/>
      </c:catAx>
      <c:valAx>
        <c:axId val="5314610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1A1A1A"/>
                    </a:solidFill>
                    <a:latin typeface="+mn-lt"/>
                  </a:defRPr>
                </a:pPr>
                <a:r>
                  <a:rPr b="0">
                    <a:solidFill>
                      <a:srgbClr val="1A1A1A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1A1A1A"/>
                </a:solidFill>
                <a:latin typeface="+mn-lt"/>
              </a:defRPr>
            </a:pPr>
          </a:p>
        </c:txPr>
        <c:crossAx val="19243377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313131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838383"/>
                </a:solidFill>
                <a:latin typeface="+mn-lt"/>
              </a:defRPr>
            </a:pPr>
            <a:r>
              <a:rPr b="0">
                <a:solidFill>
                  <a:srgbClr val="838383"/>
                </a:solidFill>
                <a:latin typeface="+mn-lt"/>
              </a:rPr>
              <a:t>IPS moyen suivant la série et le secteur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'IPS suivant la section'!$I$24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'IPS suivant la section'!$H$25:$H$27</c:f>
            </c:strRef>
          </c:cat>
          <c:val>
            <c:numRef>
              <c:f>'IPS suivant la section'!$I$25:$I$27</c:f>
              <c:numCache/>
            </c:numRef>
          </c:val>
        </c:ser>
        <c:ser>
          <c:idx val="1"/>
          <c:order val="1"/>
          <c:tx>
            <c:strRef>
              <c:f>'IPS suivant la section'!$J$24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'IPS suivant la section'!$H$25:$H$27</c:f>
            </c:strRef>
          </c:cat>
          <c:val>
            <c:numRef>
              <c:f>'IPS suivant la section'!$J$25:$J$27</c:f>
              <c:numCache/>
            </c:numRef>
          </c:val>
        </c:ser>
        <c:axId val="863504373"/>
        <c:axId val="2136366414"/>
      </c:barChart>
      <c:catAx>
        <c:axId val="8635043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1A1A1A"/>
                    </a:solidFill>
                    <a:latin typeface="+mn-lt"/>
                  </a:defRPr>
                </a:pPr>
                <a:r>
                  <a:rPr b="0">
                    <a:solidFill>
                      <a:srgbClr val="1A1A1A"/>
                    </a:solidFill>
                    <a:latin typeface="+mn-lt"/>
                  </a:rPr>
                  <a:t>Type de lycée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1A1A1A"/>
                </a:solidFill>
                <a:latin typeface="+mn-lt"/>
              </a:defRPr>
            </a:pPr>
          </a:p>
        </c:txPr>
        <c:crossAx val="2136366414"/>
      </c:catAx>
      <c:valAx>
        <c:axId val="21363664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1A1A1A"/>
                    </a:solidFill>
                    <a:latin typeface="+mn-lt"/>
                  </a:defRPr>
                </a:pPr>
                <a:r>
                  <a:rPr b="0">
                    <a:solidFill>
                      <a:srgbClr val="1A1A1A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1A1A1A"/>
                </a:solidFill>
                <a:latin typeface="+mn-lt"/>
              </a:defRPr>
            </a:pPr>
          </a:p>
        </c:txPr>
        <c:crossAx val="8635043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313131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666666"/>
                </a:solidFill>
                <a:latin typeface="+mn-lt"/>
              </a:defRPr>
            </a:pPr>
            <a:r>
              <a:rPr b="0">
                <a:solidFill>
                  <a:srgbClr val="666666"/>
                </a:solidFill>
                <a:latin typeface="+mn-lt"/>
              </a:rPr>
              <a:t>Taux de réussite au bac des lycées en fonction de l'IPS (séries GT)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2"/>
            <c:spPr>
              <a:solidFill>
                <a:srgbClr val="1A9988"/>
              </a:solidFill>
              <a:ln cmpd="sng">
                <a:solidFill>
                  <a:srgbClr val="1A9988"/>
                </a:solidFill>
              </a:ln>
            </c:spPr>
          </c:marker>
          <c:trendline>
            <c:name>Droite de régression linéaire</c:name>
            <c:spPr>
              <a:ln w="19050">
                <a:solidFill>
                  <a:srgbClr val="FF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'Donc travail taux reussite bac'!$D$1:$D$2312</c:f>
            </c:numRef>
          </c:xVal>
          <c:yVal>
            <c:numRef>
              <c:f>'Donc travail taux reussite bac'!$B$1:$B$2312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6642012"/>
        <c:axId val="166063038"/>
      </c:scatterChart>
      <c:valAx>
        <c:axId val="161664201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1A1A1A"/>
                    </a:solidFill>
                    <a:latin typeface="+mn-lt"/>
                  </a:defRPr>
                </a:pPr>
                <a:r>
                  <a:rPr b="0" sz="1400">
                    <a:solidFill>
                      <a:srgbClr val="1A1A1A"/>
                    </a:solidFill>
                    <a:latin typeface="+mn-lt"/>
                  </a:rPr>
                  <a:t>IPS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1A1A1A"/>
                </a:solidFill>
                <a:latin typeface="+mn-lt"/>
              </a:defRPr>
            </a:pPr>
          </a:p>
        </c:txPr>
        <c:crossAx val="166063038"/>
      </c:valAx>
      <c:valAx>
        <c:axId val="166063038"/>
        <c:scaling>
          <c:orientation val="minMax"/>
          <c:min val="6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1A1A1A"/>
                    </a:solidFill>
                    <a:latin typeface="+mn-lt"/>
                  </a:defRPr>
                </a:pPr>
                <a:r>
                  <a:rPr b="0" sz="1400">
                    <a:solidFill>
                      <a:srgbClr val="1A1A1A"/>
                    </a:solidFill>
                    <a:latin typeface="+mn-lt"/>
                  </a:rPr>
                  <a:t>Taux de réussite au bac (%)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1A1A1A"/>
                </a:solidFill>
                <a:latin typeface="+mn-lt"/>
              </a:defRPr>
            </a:pPr>
          </a:p>
        </c:txPr>
        <c:crossAx val="1616642012"/>
      </c:valAx>
    </c:plotArea>
    <c:plotVisOnly val="1"/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838383"/>
                </a:solidFill>
                <a:latin typeface="+mn-lt"/>
              </a:defRPr>
            </a:pPr>
            <a:r>
              <a:rPr b="0">
                <a:solidFill>
                  <a:srgbClr val="838383"/>
                </a:solidFill>
                <a:latin typeface="+mn-lt"/>
              </a:rPr>
              <a:t>IPS moyen suivant le type d'établissement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'IPS par académie'!$J$4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'IPS par académie'!$K$3:$N$3</c:f>
            </c:strRef>
          </c:cat>
          <c:val>
            <c:numRef>
              <c:f>'IPS par académie'!$K$4:$N$4</c:f>
              <c:numCache/>
            </c:numRef>
          </c:val>
        </c:ser>
        <c:axId val="103268913"/>
        <c:axId val="595372026"/>
      </c:barChart>
      <c:catAx>
        <c:axId val="1032689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1A1A1A"/>
                    </a:solidFill>
                    <a:latin typeface="+mn-lt"/>
                  </a:defRPr>
                </a:pPr>
                <a:r>
                  <a:rPr b="0">
                    <a:solidFill>
                      <a:srgbClr val="1A1A1A"/>
                    </a:solidFill>
                    <a:latin typeface="+mn-lt"/>
                  </a:rPr>
                  <a:t>Type d'établissement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1A1A1A"/>
                </a:solidFill>
                <a:latin typeface="+mn-lt"/>
              </a:defRPr>
            </a:pPr>
          </a:p>
        </c:txPr>
        <c:crossAx val="595372026"/>
      </c:catAx>
      <c:valAx>
        <c:axId val="5953720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1A1A1A"/>
                    </a:solidFill>
                    <a:latin typeface="+mn-lt"/>
                  </a:defRPr>
                </a:pPr>
                <a:r>
                  <a:rPr b="0">
                    <a:solidFill>
                      <a:srgbClr val="1A1A1A"/>
                    </a:solidFill>
                    <a:latin typeface="+mn-lt"/>
                  </a:rPr>
                  <a:t>IPS moyen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1A1A1A"/>
                </a:solidFill>
                <a:latin typeface="+mn-lt"/>
              </a:defRPr>
            </a:pPr>
          </a:p>
        </c:txPr>
        <c:crossAx val="1032689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313131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838383"/>
                </a:solidFill>
                <a:latin typeface="+mn-lt"/>
              </a:defRPr>
            </a:pPr>
            <a:r>
              <a:rPr b="0">
                <a:solidFill>
                  <a:srgbClr val="838383"/>
                </a:solidFill>
                <a:latin typeface="+mn-lt"/>
              </a:rPr>
              <a:t>IPS moyen suivant le secteur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'IPS par académie'!$J$7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'IPS par académie'!$K$6:$M$6</c:f>
            </c:strRef>
          </c:cat>
          <c:val>
            <c:numRef>
              <c:f>'IPS par académie'!$K$7:$M$7</c:f>
              <c:numCache/>
            </c:numRef>
          </c:val>
        </c:ser>
        <c:axId val="1995835144"/>
        <c:axId val="1968035522"/>
      </c:barChart>
      <c:catAx>
        <c:axId val="1995835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1A1A1A"/>
                    </a:solidFill>
                    <a:latin typeface="+mn-lt"/>
                  </a:defRPr>
                </a:pPr>
                <a:r>
                  <a:rPr b="0">
                    <a:solidFill>
                      <a:srgbClr val="1A1A1A"/>
                    </a:solidFill>
                    <a:latin typeface="+mn-lt"/>
                  </a:rPr>
                  <a:t>Secteur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1A1A1A"/>
                </a:solidFill>
                <a:latin typeface="+mn-lt"/>
              </a:defRPr>
            </a:pPr>
          </a:p>
        </c:txPr>
        <c:crossAx val="1968035522"/>
      </c:catAx>
      <c:valAx>
        <c:axId val="19680355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1A1A1A"/>
                    </a:solidFill>
                    <a:latin typeface="+mn-lt"/>
                  </a:defRPr>
                </a:pPr>
                <a:r>
                  <a:rPr b="0">
                    <a:solidFill>
                      <a:srgbClr val="1A1A1A"/>
                    </a:solidFill>
                    <a:latin typeface="+mn-lt"/>
                  </a:rPr>
                  <a:t>IPS moyen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1A1A1A"/>
                </a:solidFill>
                <a:latin typeface="+mn-lt"/>
              </a:defRPr>
            </a:pPr>
          </a:p>
        </c:txPr>
        <c:crossAx val="19958351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313131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666666"/>
                </a:solidFill>
                <a:latin typeface="+mn-lt"/>
              </a:defRPr>
            </a:pPr>
            <a:r>
              <a:rPr b="0">
                <a:solidFill>
                  <a:srgbClr val="666666"/>
                </a:solidFill>
                <a:latin typeface="+mn-lt"/>
              </a:rPr>
              <a:t>Taux de réussite au bac des lycées en fonction de l'IPS (séries GT)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2"/>
            <c:spPr>
              <a:solidFill>
                <a:srgbClr val="1A9988"/>
              </a:solidFill>
              <a:ln cmpd="sng">
                <a:solidFill>
                  <a:srgbClr val="1A9988"/>
                </a:solidFill>
              </a:ln>
            </c:spPr>
          </c:marker>
          <c:trendline>
            <c:name>Droite de régression linéaire</c:name>
            <c:spPr>
              <a:ln w="19050">
                <a:solidFill>
                  <a:srgbClr val="FF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'Donc travail taux reussite bac'!$D$1:$D$2312</c:f>
            </c:numRef>
          </c:xVal>
          <c:yVal>
            <c:numRef>
              <c:f>'Donc travail taux reussite bac'!$B$1:$B$2312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2494740"/>
        <c:axId val="707288665"/>
      </c:scatterChart>
      <c:valAx>
        <c:axId val="184249474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1A1A1A"/>
                    </a:solidFill>
                    <a:latin typeface="+mn-lt"/>
                  </a:defRPr>
                </a:pPr>
                <a:r>
                  <a:rPr b="0" sz="1400">
                    <a:solidFill>
                      <a:srgbClr val="1A1A1A"/>
                    </a:solidFill>
                    <a:latin typeface="+mn-lt"/>
                  </a:rPr>
                  <a:t>IPS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1A1A1A"/>
                </a:solidFill>
                <a:latin typeface="+mn-lt"/>
              </a:defRPr>
            </a:pPr>
          </a:p>
        </c:txPr>
        <c:crossAx val="707288665"/>
      </c:valAx>
      <c:valAx>
        <c:axId val="707288665"/>
        <c:scaling>
          <c:orientation val="minMax"/>
          <c:min val="6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1A1A1A"/>
                    </a:solidFill>
                    <a:latin typeface="+mn-lt"/>
                  </a:defRPr>
                </a:pPr>
                <a:r>
                  <a:rPr b="0" sz="1400">
                    <a:solidFill>
                      <a:srgbClr val="1A1A1A"/>
                    </a:solidFill>
                    <a:latin typeface="+mn-lt"/>
                  </a:rPr>
                  <a:t>Taux de réussite au bac (%)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1A1A1A"/>
                </a:solidFill>
                <a:latin typeface="+mn-lt"/>
              </a:defRPr>
            </a:pPr>
          </a:p>
        </c:txPr>
        <c:crossAx val="1842494740"/>
      </c:valAx>
    </c:plotArea>
    <c:plotVisOnly val="1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942975</xdr:colOff>
      <xdr:row>19</xdr:row>
      <xdr:rowOff>133350</xdr:rowOff>
    </xdr:from>
    <xdr:ext cx="4362450" cy="2162175"/>
    <xdr:graphicFrame>
      <xdr:nvGraphicFramePr>
        <xdr:cNvPr id="1" name="Chart 1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942975</xdr:colOff>
      <xdr:row>7</xdr:row>
      <xdr:rowOff>190500</xdr:rowOff>
    </xdr:from>
    <xdr:ext cx="3867150" cy="2990850"/>
    <xdr:graphicFrame>
      <xdr:nvGraphicFramePr>
        <xdr:cNvPr id="2" name="Chart 2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28575</xdr:colOff>
      <xdr:row>1</xdr:row>
      <xdr:rowOff>171450</xdr:rowOff>
    </xdr:from>
    <xdr:ext cx="5286375" cy="3162300"/>
    <xdr:graphicFrame>
      <xdr:nvGraphicFramePr>
        <xdr:cNvPr id="3" name="Chart 3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352425</xdr:colOff>
      <xdr:row>7</xdr:row>
      <xdr:rowOff>161925</xdr:rowOff>
    </xdr:from>
    <xdr:ext cx="3905250" cy="2419350"/>
    <xdr:graphicFrame>
      <xdr:nvGraphicFramePr>
        <xdr:cNvPr id="4" name="Chart 4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12</xdr:col>
      <xdr:colOff>619125</xdr:colOff>
      <xdr:row>7</xdr:row>
      <xdr:rowOff>161925</xdr:rowOff>
    </xdr:from>
    <xdr:ext cx="3857625" cy="2419350"/>
    <xdr:graphicFrame>
      <xdr:nvGraphicFramePr>
        <xdr:cNvPr id="5" name="Chart 5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1533525</xdr:colOff>
      <xdr:row>14</xdr:row>
      <xdr:rowOff>47625</xdr:rowOff>
    </xdr:from>
    <xdr:ext cx="5715000" cy="3533775"/>
    <xdr:graphicFrame>
      <xdr:nvGraphicFramePr>
        <xdr:cNvPr id="6" name="Chart 6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4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5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J1:M3608" sheet="données"/>
  </cacheSource>
  <cacheFields>
    <cacheField name="type_de_lycee" numFmtId="0">
      <sharedItems>
        <s v="LPO"/>
        <s v="LEGT"/>
        <s v="LP"/>
      </sharedItems>
    </cacheField>
    <cacheField name="ips_voie_gt" numFmtId="4">
      <sharedItems containsString="0" containsBlank="1" containsNumber="1">
        <n v="107.2"/>
        <n v="123.8"/>
        <n v="128.5"/>
        <m/>
        <n v="120.1"/>
        <n v="102.2"/>
        <n v="109.8"/>
        <n v="110.2"/>
        <n v="108.9"/>
        <n v="111.9"/>
        <n v="98.3"/>
        <n v="113.2"/>
        <n v="123.2"/>
        <n v="102.4"/>
        <n v="131.6"/>
        <n v="127.2"/>
        <n v="114.4"/>
        <n v="109.6"/>
        <n v="110.5"/>
        <n v="120.4"/>
        <n v="111.3"/>
        <n v="104.3"/>
        <n v="114.2"/>
        <n v="106.7"/>
        <n v="121.9"/>
        <n v="94.1"/>
        <n v="81.9"/>
        <n v="82.8"/>
        <n v="101.7"/>
        <n v="146.8"/>
        <n v="137.7"/>
        <n v="131.9"/>
        <n v="137.2"/>
        <n v="100.6"/>
        <n v="121.5"/>
        <n v="130.8"/>
        <n v="96.8"/>
        <n v="109.0"/>
        <n v="131.7"/>
        <n v="98.9"/>
        <n v="105.4"/>
        <n v="115.6"/>
        <n v="107.9"/>
        <n v="128.9"/>
        <n v="116.1"/>
        <n v="109.7"/>
        <n v="121.2"/>
        <n v="122.7"/>
        <n v="125.1"/>
        <n v="102.8"/>
        <n v="106.8"/>
        <n v="121.4"/>
        <n v="119.3"/>
        <n v="108.3"/>
        <n v="114.0"/>
        <n v="111.6"/>
        <n v="129.9"/>
        <n v="119.7"/>
        <n v="136.5"/>
        <n v="125.6"/>
        <n v="97.1"/>
        <n v="109.1"/>
        <n v="107.0"/>
        <n v="124.5"/>
        <n v="106.3"/>
        <n v="118.5"/>
        <n v="125.9"/>
        <n v="100.5"/>
        <n v="104.8"/>
        <n v="111.1"/>
        <n v="120.7"/>
        <n v="132.7"/>
        <n v="99.3"/>
        <n v="128.0"/>
        <n v="133.3"/>
        <n v="123.7"/>
        <n v="126.3"/>
        <n v="107.8"/>
        <n v="110.8"/>
        <n v="101.6"/>
        <n v="111.8"/>
        <n v="109.9"/>
        <n v="101.2"/>
        <n v="110.1"/>
        <n v="118.3"/>
        <n v="112.8"/>
        <n v="107.6"/>
        <n v="101.4"/>
        <n v="139.4"/>
        <n v="130.6"/>
        <n v="92.3"/>
        <n v="138.1"/>
        <n v="111.4"/>
        <n v="131.5"/>
        <n v="116.0"/>
        <n v="121.8"/>
        <n v="134.6"/>
        <n v="116.2"/>
        <n v="111.7"/>
        <n v="117.8"/>
        <n v="140.9"/>
        <n v="144.7"/>
        <n v="114.9"/>
        <n v="129.4"/>
        <n v="97.7"/>
        <n v="115.3"/>
        <n v="105.8"/>
        <n v="134.2"/>
        <n v="117.5"/>
        <n v="111.5"/>
        <n v="116.3"/>
        <n v="92.6"/>
        <n v="116.4"/>
        <n v="124.3"/>
        <n v="135.7"/>
        <n v="128.6"/>
        <n v="112.7"/>
        <n v="125.2"/>
        <n v="119.1"/>
        <n v="107.7"/>
        <n v="114.5"/>
        <n v="138.7"/>
        <n v="136.3"/>
        <n v="115.9"/>
        <n v="109.5"/>
        <n v="106.2"/>
        <n v="112.1"/>
        <n v="124.8"/>
        <n v="105.5"/>
        <n v="115.7"/>
        <n v="117.9"/>
        <n v="114.1"/>
        <n v="133.8"/>
        <n v="141.1"/>
        <n v="134.1"/>
        <n v="119.4"/>
        <n v="111.2"/>
        <n v="119.6"/>
        <n v="125.0"/>
        <n v="125.5"/>
        <n v="104.0"/>
        <n v="105.3"/>
        <n v="110.0"/>
        <n v="97.0"/>
        <n v="93.9"/>
        <n v="113.4"/>
        <n v="117.2"/>
        <n v="122.4"/>
        <n v="115.0"/>
        <n v="117.1"/>
        <n v="118.1"/>
        <n v="119.2"/>
        <n v="110.4"/>
        <n v="108.4"/>
        <n v="99.0"/>
        <n v="106.9"/>
        <n v="113.9"/>
        <n v="107.4"/>
        <n v="103.5"/>
        <n v="106.6"/>
        <n v="99.8"/>
        <n v="106.5"/>
        <n v="120.6"/>
        <n v="116.9"/>
        <n v="93.8"/>
        <n v="98.7"/>
        <n v="97.3"/>
        <n v="106.1"/>
        <n v="108.5"/>
        <n v="91.8"/>
        <n v="94.6"/>
        <n v="96.1"/>
        <n v="93.2"/>
        <n v="118.7"/>
        <n v="75.1"/>
        <n v="104.9"/>
        <n v="129.0"/>
        <n v="144.5"/>
        <n v="140.4"/>
        <n v="129.2"/>
        <n v="125.7"/>
        <n v="106.4"/>
        <n v="93.0"/>
        <n v="103.6"/>
        <n v="129.5"/>
        <n v="105.7"/>
        <n v="120.8"/>
        <n v="96.3"/>
        <n v="114.3"/>
        <n v="113.3"/>
        <n v="86.8"/>
        <n v="92.8"/>
        <n v="110.6"/>
        <n v="100.7"/>
        <n v="120.2"/>
        <n v="117.6"/>
        <n v="122.2"/>
        <n v="112.0"/>
        <n v="128.3"/>
        <n v="126.4"/>
        <n v="113.7"/>
        <n v="112.2"/>
        <n v="110.9"/>
        <n v="105.0"/>
        <n v="102.0"/>
        <n v="119.5"/>
        <n v="130.3"/>
        <n v="123.9"/>
        <n v="125.3"/>
        <n v="115.1"/>
        <n v="127.4"/>
        <n v="110.7"/>
        <n v="118.8"/>
        <n v="127.0"/>
        <n v="103.4"/>
        <n v="90.5"/>
        <n v="103.3"/>
        <n v="133.5"/>
        <n v="92.2"/>
        <n v="104.4"/>
        <n v="116.5"/>
        <n v="138.0"/>
        <n v="120.9"/>
        <n v="95.6"/>
        <n v="113.8"/>
        <n v="131.3"/>
        <n v="125.8"/>
        <n v="83.8"/>
        <n v="71.0"/>
        <n v="113.0"/>
        <n v="140.6"/>
        <n v="124.2"/>
        <n v="107.3"/>
        <n v="137.0"/>
        <n v="124.0"/>
        <n v="90.9"/>
        <n v="134.4"/>
        <n v="142.3"/>
        <n v="130.5"/>
        <n v="136.1"/>
        <n v="121.0"/>
        <n v="133.4"/>
        <n v="92.4"/>
        <n v="149.8"/>
        <n v="118.9"/>
        <n v="84.8"/>
        <n v="145.8"/>
        <n v="134.5"/>
        <n v="136.0"/>
        <n v="142.9"/>
        <n v="146.1"/>
        <n v="153.0"/>
        <n v="130.2"/>
        <n v="81.2"/>
        <n v="121.6"/>
        <n v="122.0"/>
        <n v="124.4"/>
        <n v="121.3"/>
        <n v="138.8"/>
        <n v="99.5"/>
        <n v="135.5"/>
        <n v="89.6"/>
        <n v="105.6"/>
        <n v="126.2"/>
        <n v="116.7"/>
        <n v="126.8"/>
        <n v="141.5"/>
        <n v="122.3"/>
        <n v="150.5"/>
        <n v="112.6"/>
        <n v="129.6"/>
        <n v="131.4"/>
        <n v="147.3"/>
        <n v="122.9"/>
        <n v="82.9"/>
        <n v="127.6"/>
        <n v="120.0"/>
        <n v="104.5"/>
        <n v="105.1"/>
        <n v="122.8"/>
        <n v="125.4"/>
        <n v="115.8"/>
        <n v="110.3"/>
        <n v="103.0"/>
        <n v="126.0"/>
        <n v="103.8"/>
        <n v="143.0"/>
        <n v="137.8"/>
        <n v="99.6"/>
        <n v="102.7"/>
        <n v="122.6"/>
        <n v="132.8"/>
        <n v="148.4"/>
        <n v="151.3"/>
        <n v="152.1"/>
        <n v="144.0"/>
        <n v="138.3"/>
        <n v="96.6"/>
        <n v="145.4"/>
        <n v="138.5"/>
        <n v="101.9"/>
        <n v="57.1"/>
        <n v="79.8"/>
        <n v="98.0"/>
        <n v="135.9"/>
        <n v="66.3"/>
        <n v="99.2"/>
        <n v="78.3"/>
        <n v="140.1"/>
        <n v="95.4"/>
        <n v="90.1"/>
        <n v="113.6"/>
        <n v="93.5"/>
        <n v="96.9"/>
        <n v="149.2"/>
        <n v="108.8"/>
        <n v="84.5"/>
        <n v="100.8"/>
        <n v="86.3"/>
        <n v="141.0"/>
        <n v="140.7"/>
        <n v="82.7"/>
        <n v="143.2"/>
        <n v="70.9"/>
        <n v="102.1"/>
        <n v="89.3"/>
        <n v="117.4"/>
        <n v="80.6"/>
        <n v="78.1"/>
        <n v="95.7"/>
        <n v="87.1"/>
        <n v="85.3"/>
        <n v="102.3"/>
        <n v="88.2"/>
        <n v="66.4"/>
        <n v="130.0"/>
        <n v="113.5"/>
        <n v="86.4"/>
        <n v="81.7"/>
        <n v="77.3"/>
        <n v="94.8"/>
        <n v="83.2"/>
        <n v="83.3"/>
        <n v="115.4"/>
        <n v="101.1"/>
        <n v="102.5"/>
        <n v="91.9"/>
        <n v="114.6"/>
        <n v="111.0"/>
        <n v="123.5"/>
        <n v="117.7"/>
        <n v="116.8"/>
        <n v="100.3"/>
        <n v="117.3"/>
        <n v="126.7"/>
        <n v="127.5"/>
        <n v="128.2"/>
        <n v="103.9"/>
        <n v="93.7"/>
        <n v="93.1"/>
        <n v="100.4"/>
        <n v="74.5"/>
        <n v="87.4"/>
        <n v="127.3"/>
        <n v="117.0"/>
        <n v="105.2"/>
        <n v="119.0"/>
        <n v="123.1"/>
        <n v="100.9"/>
        <n v="128.7"/>
        <n v="108.6"/>
        <n v="104.2"/>
        <n v="128.4"/>
        <n v="108.7"/>
        <n v="123.4"/>
        <n v="97.4"/>
        <n v="118.0"/>
        <n v="123.0"/>
        <n v="138.6"/>
        <n v="144.8"/>
        <n v="130.7"/>
        <n v="127.9"/>
        <n v="134.7"/>
        <n v="135.4"/>
        <n v="109.3"/>
        <n v="114.7"/>
        <n v="124.1"/>
        <n v="132.5"/>
        <n v="112.9"/>
        <n v="137.4"/>
        <n v="129.1"/>
        <n v="114.8"/>
        <n v="132.0"/>
        <n v="118.6"/>
        <n v="128.1"/>
        <n v="130.4"/>
        <n v="118.2"/>
        <n v="94.0"/>
        <n v="116.6"/>
        <n v="127.8"/>
        <n v="103.7"/>
        <n v="122.1"/>
        <n v="129.3"/>
        <n v="108.0"/>
        <n v="129.8"/>
        <n v="141.9"/>
        <n v="108.2"/>
        <n v="115.5"/>
        <n v="107.1"/>
        <n v="131.0"/>
        <n v="89.5"/>
        <n v="102.9"/>
        <n v="115.2"/>
        <n v="102.6"/>
        <n v="94.9"/>
        <n v="133.0"/>
        <n v="101.0"/>
        <n v="126.9"/>
        <n v="148.8"/>
        <n v="130.1"/>
        <n v="155.3"/>
        <n v="85.5"/>
        <n v="100.0"/>
        <n v="105.9"/>
        <n v="126.6"/>
        <n v="112.3"/>
        <n v="123.6"/>
        <n v="108.1"/>
        <n v="131.8"/>
        <n v="90.2"/>
        <n v="90.6"/>
        <n v="145.2"/>
        <n v="119.8"/>
        <n v="119.9"/>
        <n v="120.3"/>
        <n v="145.9"/>
        <n v="141.3"/>
        <n v="90.4"/>
        <n v="101.3"/>
        <n v="95.5"/>
        <n v="98.4"/>
        <n v="153.2"/>
        <n v="147.8"/>
        <n v="138.4"/>
        <n v="149.5"/>
        <n v="146.0"/>
        <n v="92.9"/>
        <n v="122.5"/>
        <n v="112.4"/>
        <n v="118.4"/>
        <n v="142.1"/>
        <n v="143.1"/>
        <n v="145.7"/>
        <n v="141.2"/>
        <n v="146.3"/>
        <n v="149.3"/>
        <n v="93.6"/>
        <n v="96.7"/>
        <n v="113.1"/>
        <n v="103.2"/>
        <n v="133.2"/>
        <n v="146.2"/>
        <n v="121.7"/>
        <n v="154.0"/>
        <n v="127.1"/>
        <n v="81.3"/>
        <n v="52.5"/>
        <n v="53.8"/>
        <n v="78.9"/>
        <n v="84.4"/>
        <n v="143.6"/>
        <n v="97.9"/>
        <n v="78.2"/>
        <n v="136.6"/>
        <n v="87.8"/>
        <n v="57.0"/>
        <n v="148.2"/>
        <n v="132.1"/>
        <n v="143.5"/>
        <n v="139.7"/>
        <n v="86.9"/>
        <n v="134.9"/>
        <n v="98.1"/>
        <n v="91.4"/>
        <n v="88.9"/>
        <n v="104.1"/>
        <n v="71.3"/>
        <n v="136.9"/>
        <n v="97.8"/>
        <n v="72.2"/>
        <n v="88.6"/>
        <n v="92.0"/>
        <n v="131.2"/>
        <n v="143.8"/>
        <n v="145.6"/>
        <n v="90.7"/>
        <n v="72.6"/>
        <n v="151.5"/>
        <n v="70.8"/>
        <n v="96.4"/>
        <n v="104.7"/>
        <n v="99.4"/>
        <n v="103.1"/>
        <n v="124.9"/>
        <n v="138.2"/>
        <n v="133.9"/>
        <n v="140.2"/>
        <n v="84.0"/>
        <n v="120.5"/>
        <n v="135.2"/>
        <n v="139.9"/>
        <n v="136.8"/>
        <n v="133.7"/>
        <n v="101.8"/>
        <n v="99.1"/>
        <n v="130.9"/>
        <n v="144.6"/>
        <n v="129.7"/>
        <n v="126.5"/>
        <n v="109.4"/>
        <n v="107.5"/>
        <n v="88.5"/>
        <n v="67.1"/>
        <n v="94.4"/>
        <n v="149.0"/>
        <n v="84.1"/>
        <n v="82.4"/>
        <n v="109.2"/>
        <n v="90.3"/>
        <n v="124.7"/>
        <n v="112.5"/>
        <n v="142.0"/>
        <n v="99.9"/>
        <n v="135.1"/>
        <n v="148.9"/>
        <n v="121.1"/>
        <n v="94.7"/>
        <n v="104.6"/>
        <n v="78.8"/>
        <n v="144.2"/>
        <n v="126.1"/>
        <n v="87.7"/>
        <n v="143.7"/>
        <n v="147.4"/>
        <n v="142.8"/>
        <n v="137.9"/>
        <n v="67.0"/>
        <n v="149.7"/>
        <n v="150.9"/>
        <n v="91.5"/>
        <n v="151.2"/>
        <n v="148.1"/>
        <n v="139.0"/>
        <n v="81.4"/>
        <n v="97.2"/>
        <n v="77.5"/>
        <n v="64.8"/>
        <n v="94.5"/>
        <n v="78.5"/>
        <n v="100.2"/>
        <n v="66.2"/>
        <n v="97.6"/>
        <n v="90.8"/>
        <n v="78.7"/>
        <n v="97.5"/>
        <n v="106.0"/>
        <n v="76.3"/>
        <n v="78.6"/>
        <n v="83.7"/>
        <n v="70.5"/>
        <n v="80.9"/>
        <n v="64.3"/>
        <n v="95.0"/>
        <n v="98.6"/>
        <n v="96.5"/>
        <n v="141.8"/>
        <n v="135.0"/>
        <n v="92.7"/>
        <n v="91.7"/>
        <n v="132.4"/>
        <n v="124.6"/>
        <n v="137.3"/>
        <n v="88.0"/>
        <n v="132.2"/>
        <n v="131.1"/>
        <n v="101.5"/>
        <n v="142.5"/>
        <n v="79.0"/>
        <n v="134.3"/>
        <n v="94.3"/>
        <n v="91.3"/>
        <n v="88.1"/>
        <n v="89.4"/>
        <n v="74.9"/>
        <n v="141.7"/>
        <n v="79.6"/>
        <n v="98.2"/>
        <n v="128.8"/>
        <n v="98.8"/>
        <n v="89.2"/>
        <n v="145.3"/>
        <n v="132.3"/>
        <n v="137.1"/>
        <n v="151.9"/>
        <n v="139.8"/>
        <n v="148.6"/>
        <n v="87.9"/>
        <n v="88.3"/>
        <n v="151.7"/>
        <n v="151.1"/>
        <n v="81.0"/>
        <n v="93.4"/>
        <n v="135.8"/>
        <n v="134.0"/>
        <n v="149.4"/>
        <n v="85.0"/>
        <n v="82.6"/>
        <n v="64.4"/>
        <n v="57.4"/>
        <n v="76.2"/>
        <n v="96.0"/>
        <n v="91.1"/>
        <n v="86.7"/>
        <n v="76.5"/>
        <n v="73.4"/>
        <n v="87.3"/>
        <n v="132.6"/>
        <n v="73.3"/>
        <n v="68.3"/>
        <n v="139.6"/>
        <n v="100.1"/>
        <n v="140.0"/>
        <n v="98.5"/>
        <n v="85.7"/>
        <n v="73.5"/>
        <n v="139.2"/>
        <n v="99.7"/>
        <n v="86.2"/>
        <n v="134.8"/>
        <n v="137.6"/>
        <n v="148.0"/>
        <n v="147.1"/>
        <n v="155.9"/>
        <n v="136.7"/>
        <n v="95.1"/>
        <n v="159.0"/>
        <n v="94.2"/>
        <n v="152.6"/>
        <n v="150.6"/>
        <n v="95.2"/>
        <n v="146.9"/>
        <n v="144.9"/>
        <n v="83.5"/>
        <n v="71.5"/>
        <n v="81.5"/>
        <n v="85.8"/>
        <n v="83.6"/>
        <n v="127.7"/>
        <n v="87.6"/>
        <n v="74.6"/>
        <n v="62.6"/>
        <n v="73.2"/>
        <n v="67.7"/>
      </sharedItems>
    </cacheField>
    <cacheField name="ips_voie_pro" numFmtId="4">
      <sharedItems containsString="0" containsBlank="1" containsNumber="1">
        <n v="77.8"/>
        <n v="93.7"/>
        <m/>
        <n v="83.9"/>
        <n v="80.2"/>
        <n v="96.5"/>
        <n v="72.3"/>
        <n v="73.0"/>
        <n v="91.5"/>
        <n v="94.6"/>
        <n v="77.5"/>
        <n v="84.8"/>
        <n v="83.6"/>
        <n v="92.7"/>
        <n v="91.3"/>
        <n v="108.5"/>
        <n v="121.5"/>
        <n v="95.7"/>
        <n v="88.3"/>
        <n v="78.9"/>
        <n v="92.9"/>
        <n v="74.0"/>
        <n v="78.2"/>
        <n v="79.3"/>
        <n v="96.8"/>
        <n v="90.8"/>
        <n v="78.6"/>
        <n v="84.3"/>
        <n v="87.9"/>
        <n v="95.5"/>
        <n v="87.1"/>
        <n v="67.2"/>
        <n v="77.0"/>
        <n v="70.7"/>
        <n v="86.4"/>
        <n v="81.2"/>
        <n v="86.6"/>
        <n v="73.5"/>
        <n v="91.4"/>
        <n v="92.5"/>
        <n v="72.2"/>
        <n v="83.3"/>
        <n v="81.9"/>
        <n v="91.8"/>
        <n v="89.9"/>
        <n v="96.4"/>
        <n v="106.8"/>
        <n v="90.1"/>
        <n v="89.8"/>
        <n v="91.2"/>
        <n v="86.2"/>
        <n v="90.6"/>
        <n v="103.2"/>
        <n v="82.6"/>
        <n v="112.4"/>
        <n v="95.2"/>
        <n v="96.0"/>
        <n v="86.9"/>
        <n v="95.6"/>
        <n v="84.9"/>
        <n v="82.3"/>
        <n v="89.6"/>
        <n v="85.4"/>
        <n v="88.7"/>
        <n v="92.3"/>
        <n v="81.0"/>
        <n v="80.8"/>
        <n v="88.0"/>
        <n v="81.8"/>
        <n v="86.3"/>
        <n v="85.6"/>
        <n v="82.5"/>
        <n v="85.9"/>
        <n v="94.3"/>
        <n v="83.5"/>
        <n v="107.1"/>
        <n v="99.2"/>
        <n v="93.1"/>
        <n v="69.1"/>
        <n v="88.6"/>
        <n v="83.7"/>
        <n v="84.6"/>
        <n v="86.7"/>
        <n v="103.6"/>
        <n v="110.9"/>
        <n v="87.5"/>
        <n v="85.8"/>
        <n v="91.7"/>
        <n v="100.5"/>
        <n v="88.5"/>
        <n v="88.4"/>
        <n v="100.0"/>
        <n v="83.0"/>
        <n v="97.0"/>
        <n v="93.0"/>
        <n v="81.5"/>
        <n v="79.9"/>
        <n v="90.0"/>
        <n v="95.1"/>
        <n v="100.6"/>
        <n v="102.3"/>
        <n v="93.8"/>
        <n v="88.9"/>
        <n v="83.4"/>
        <n v="87.3"/>
        <n v="80.9"/>
        <n v="87.2"/>
        <n v="98.1"/>
        <n v="83.8"/>
        <n v="69.8"/>
        <n v="81.4"/>
        <n v="121.9"/>
        <n v="93.6"/>
        <n v="96.1"/>
        <n v="91.1"/>
        <n v="95.4"/>
        <n v="87.8"/>
        <n v="85.3"/>
        <n v="98.2"/>
        <n v="93.9"/>
        <n v="99.3"/>
        <n v="83.2"/>
        <n v="80.6"/>
        <n v="95.3"/>
        <n v="91.9"/>
        <n v="97.4"/>
        <n v="85.1"/>
        <n v="78.5"/>
        <n v="102.7"/>
        <n v="107.7"/>
        <n v="87.7"/>
        <n v="95.8"/>
        <n v="79.4"/>
        <n v="81.1"/>
        <n v="74.3"/>
        <n v="78.3"/>
        <n v="93.3"/>
        <n v="89.2"/>
        <n v="75.2"/>
        <n v="82.2"/>
        <n v="97.8"/>
        <n v="70.8"/>
        <n v="75.4"/>
        <n v="85.5"/>
        <n v="73.6"/>
        <n v="90.3"/>
        <n v="100.1"/>
        <n v="76.3"/>
        <n v="75.5"/>
        <n v="82.0"/>
        <n v="69.4"/>
        <n v="79.5"/>
        <n v="63.4"/>
        <n v="63.8"/>
        <n v="78.7"/>
        <n v="68.9"/>
        <n v="70.2"/>
        <n v="74.1"/>
        <n v="83.1"/>
        <n v="82.8"/>
        <n v="114.9"/>
        <n v="93.2"/>
        <n v="73.3"/>
        <n v="84.0"/>
        <n v="87.6"/>
        <n v="77.2"/>
        <n v="78.1"/>
        <n v="69.6"/>
        <n v="73.9"/>
        <n v="75.7"/>
        <n v="80.0"/>
        <n v="104.4"/>
        <n v="105.5"/>
        <n v="75.6"/>
        <n v="85.7"/>
        <n v="94.1"/>
        <n v="102.5"/>
        <n v="95.0"/>
        <n v="104.3"/>
        <n v="93.5"/>
        <n v="73.4"/>
        <n v="77.7"/>
        <n v="86.0"/>
        <n v="76.1"/>
        <n v="94.9"/>
        <n v="113.5"/>
        <n v="77.6"/>
        <n v="106.1"/>
        <n v="92.1"/>
        <n v="75.9"/>
        <n v="92.8"/>
        <n v="82.7"/>
        <n v="120.8"/>
        <n v="97.5"/>
        <n v="89.7"/>
        <n v="77.3"/>
        <n v="94.7"/>
        <n v="103.8"/>
        <n v="76.8"/>
        <n v="61.0"/>
        <n v="87.4"/>
        <n v="99.7"/>
        <n v="113.3"/>
        <n v="73.8"/>
        <n v="100.8"/>
        <n v="94.0"/>
        <n v="89.5"/>
        <n v="90.4"/>
        <n v="108.4"/>
        <n v="90.5"/>
        <n v="131.3"/>
        <n v="87.0"/>
        <n v="90.2"/>
        <n v="82.1"/>
        <n v="102.6"/>
        <n v="88.2"/>
        <n v="98.7"/>
        <n v="97.1"/>
        <n v="105.7"/>
        <n v="105.1"/>
        <n v="105.3"/>
        <n v="84.4"/>
        <n v="78.0"/>
        <n v="92.2"/>
        <n v="89.0"/>
        <n v="95.9"/>
        <n v="117.8"/>
        <n v="123.7"/>
        <n v="120.1"/>
        <n v="72.5"/>
        <n v="108.2"/>
        <n v="71.9"/>
        <n v="80.7"/>
        <n v="85.0"/>
        <n v="84.1"/>
        <n v="110.5"/>
        <n v="80.3"/>
        <n v="125.7"/>
        <n v="71.6"/>
        <n v="85.2"/>
        <n v="79.6"/>
        <n v="71.0"/>
        <n v="74.2"/>
        <n v="66.8"/>
        <n v="67.4"/>
        <n v="54.2"/>
        <n v="74.7"/>
        <n v="68.6"/>
        <n v="65.0"/>
        <n v="62.4"/>
        <n v="64.9"/>
        <n v="66.5"/>
        <n v="67.9"/>
        <n v="65.3"/>
        <n v="66.3"/>
        <n v="98.0"/>
        <n v="100.4"/>
        <n v="81.3"/>
        <n v="96.7"/>
        <n v="99.5"/>
        <n v="106.5"/>
        <n v="97.2"/>
        <n v="89.3"/>
        <n v="96.9"/>
        <n v="73.1"/>
        <n v="79.8"/>
        <n v="98.4"/>
        <n v="109.0"/>
        <n v="103.5"/>
        <n v="101.8"/>
        <n v="64.2"/>
        <n v="71.2"/>
        <n v="68.4"/>
        <n v="71.1"/>
        <n v="81.7"/>
        <n v="60.0"/>
        <n v="84.2"/>
        <n v="92.0"/>
        <n v="88.1"/>
        <n v="79.2"/>
        <n v="88.8"/>
        <n v="96.2"/>
        <n v="104.6"/>
        <n v="97.3"/>
        <n v="77.4"/>
        <n v="86.8"/>
        <n v="90.7"/>
        <n v="80.5"/>
        <n v="106.6"/>
        <n v="103.3"/>
        <n v="114.4"/>
        <n v="91.0"/>
        <n v="101.2"/>
        <n v="107.0"/>
        <n v="101.1"/>
        <n v="73.7"/>
        <n v="89.4"/>
        <n v="99.0"/>
        <n v="101.4"/>
        <n v="89.1"/>
        <n v="101.5"/>
        <n v="109.3"/>
        <n v="110.4"/>
        <n v="104.5"/>
        <n v="84.5"/>
        <n v="103.7"/>
        <n v="100.7"/>
        <n v="94.5"/>
        <n v="79.1"/>
        <n v="94.4"/>
        <n v="96.6"/>
        <n v="79.7"/>
        <n v="92.4"/>
        <n v="98.8"/>
        <n v="82.9"/>
        <n v="68.7"/>
        <n v="69.9"/>
        <n v="112.0"/>
        <n v="72.4"/>
        <n v="71.3"/>
        <n v="76.9"/>
        <n v="77.1"/>
        <n v="114.5"/>
        <n v="68.2"/>
        <n v="70.4"/>
        <n v="66.1"/>
        <n v="68.5"/>
        <n v="70.0"/>
        <n v="90.9"/>
        <n v="80.1"/>
        <n v="98.9"/>
        <n v="86.1"/>
        <n v="111.4"/>
        <n v="100.2"/>
        <n v="100.9"/>
        <n v="82.4"/>
        <n v="75.8"/>
        <n v="78.4"/>
        <n v="107.3"/>
        <n v="118.8"/>
        <n v="76.7"/>
        <n v="134.9"/>
        <n v="119.9"/>
        <n v="111.2"/>
        <n v="84.7"/>
        <n v="77.9"/>
        <n v="104.0"/>
        <n v="86.5"/>
        <n v="108.0"/>
        <n v="80.4"/>
        <n v="98.6"/>
        <n v="97.9"/>
        <n v="106.2"/>
        <n v="100.3"/>
        <n v="76.2"/>
        <n v="112.3"/>
        <n v="109.2"/>
        <n v="108.9"/>
        <n v="112.2"/>
        <n v="108.1"/>
        <n v="108.6"/>
        <n v="71.5"/>
        <n v="72.0"/>
        <n v="113.1"/>
        <n v="49.5"/>
        <n v="75.1"/>
        <n v="66.2"/>
        <n v="55.2"/>
        <n v="64.8"/>
        <n v="72.6"/>
        <n v="60.3"/>
        <n v="59.0"/>
        <n v="74.8"/>
        <n v="71.8"/>
        <n v="92.6"/>
        <n v="63.1"/>
        <n v="94.2"/>
        <n v="70.1"/>
        <n v="75.3"/>
        <n v="103.9"/>
        <n v="99.8"/>
        <n v="99.1"/>
        <n v="81.6"/>
        <n v="101.7"/>
        <n v="97.6"/>
        <n v="94.8"/>
        <n v="79.0"/>
        <n v="93.4"/>
        <n v="115.7"/>
        <n v="105.0"/>
        <n v="91.6"/>
        <n v="107.6"/>
        <n v="118.1"/>
        <n v="66.0"/>
        <n v="121.3"/>
        <n v="105.9"/>
        <n v="98.3"/>
        <n v="107.5"/>
        <n v="103.1"/>
        <n v="99.9"/>
        <n v="71.4"/>
        <n v="64.3"/>
        <n v="70.9"/>
        <n v="112.6"/>
        <n v="67.1"/>
        <n v="70.5"/>
        <n v="76.4"/>
        <n v="103.0"/>
        <n v="76.5"/>
        <n v="114.3"/>
        <n v="118.7"/>
        <n v="78.8"/>
        <n v="76.0"/>
        <n v="122.2"/>
        <n v="74.4"/>
        <n v="120.3"/>
        <n v="108.3"/>
        <n v="101.0"/>
        <n v="113.8"/>
        <n v="118.3"/>
        <n v="110.6"/>
        <n v="73.2"/>
        <n v="111.9"/>
        <n v="102.8"/>
        <n v="128.3"/>
        <n v="107.8"/>
        <n v="106.3"/>
        <n v="74.6"/>
        <n v="125.9"/>
        <n v="101.9"/>
        <n v="127.4"/>
        <n v="111.3"/>
        <n v="70.6"/>
        <n v="62.6"/>
        <n v="68.0"/>
        <n v="67.8"/>
        <n v="61.3"/>
        <n v="106.4"/>
        <n v="98.5"/>
        <n v="67.0"/>
        <n v="110.2"/>
        <n v="102.9"/>
        <n v="97.7"/>
        <n v="102.0"/>
        <n v="74.9"/>
        <n v="74.5"/>
        <n v="101.3"/>
        <n v="75.0"/>
        <n v="69.2"/>
        <n v="68.8"/>
        <n v="71.7"/>
        <n v="67.6"/>
        <n v="109.1"/>
        <n v="111.1"/>
        <n v="70.3"/>
        <n v="135.7"/>
        <n v="113.4"/>
        <n v="127.9"/>
        <n v="124.8"/>
        <n v="56.9"/>
        <n v="65.2"/>
        <n v="62.8"/>
        <n v="62.2"/>
        <n v="65.4"/>
        <n v="72.9"/>
        <n v="58.4"/>
        <n v="102.2"/>
        <n v="72.1"/>
        <n v="61.2"/>
        <n v="69.7"/>
        <n v="76.6"/>
        <n v="111.5"/>
        <n v="109.7"/>
        <n v="105.6"/>
        <n v="109.9"/>
        <n v="109.6"/>
        <n v="96.3"/>
        <n v="102.1"/>
        <n v="110.1"/>
        <n v="106.9"/>
        <n v="64.7"/>
        <n v="102.4"/>
        <n v="106.7"/>
        <n v="107.2"/>
        <n v="67.7"/>
        <n v="122.1"/>
        <n v="113.0"/>
        <n v="114.2"/>
        <n v="110.0"/>
        <n v="125.3"/>
        <n v="119.6"/>
        <n v="104.1"/>
        <n v="110.8"/>
        <n v="72.7"/>
        <n v="120.4"/>
        <n v="55.0"/>
        <n v="53.9"/>
        <n v="66.7"/>
        <n v="65.7"/>
        <n v="61.8"/>
        <n v="60.1"/>
        <n v="62.5"/>
        <n v="61.9"/>
      </sharedItems>
    </cacheField>
    <cacheField name="ips_ensemble_gt_pro" numFmtId="4">
      <sharedItems containsSemiMixedTypes="0" containsString="0" containsNumber="1">
        <n v="102.1"/>
        <n v="121.6"/>
        <n v="128.5"/>
        <n v="83.9"/>
        <n v="120.1"/>
        <n v="80.2"/>
        <n v="102.2"/>
        <n v="96.5"/>
        <n v="72.3"/>
        <n v="73.0"/>
        <n v="91.5"/>
        <n v="109.8"/>
        <n v="110.2"/>
        <n v="94.6"/>
        <n v="77.5"/>
        <n v="99.9"/>
        <n v="111.9"/>
        <n v="83.6"/>
        <n v="98.3"/>
        <n v="113.2"/>
        <n v="92.7"/>
        <n v="123.2"/>
        <n v="91.3"/>
        <n v="102.4"/>
        <n v="131.6"/>
        <n v="127.2"/>
        <n v="108.5"/>
        <n v="121.5"/>
        <n v="95.7"/>
        <n v="88.3"/>
        <n v="101.3"/>
        <n v="106.4"/>
        <n v="74.0"/>
        <n v="99.3"/>
        <n v="79.3"/>
        <n v="114.1"/>
        <n v="108.1"/>
        <n v="97.4"/>
        <n v="114.2"/>
        <n v="84.3"/>
        <n v="87.9"/>
        <n v="106.7"/>
        <n v="121.9"/>
        <n v="84.8"/>
        <n v="111.3"/>
        <n v="95.5"/>
        <n v="87.1"/>
        <n v="94.1"/>
        <n v="78.0"/>
        <n v="82.8"/>
        <n v="70.7"/>
        <n v="105.1"/>
        <n v="81.2"/>
        <n v="146.8"/>
        <n v="137.7"/>
        <n v="131.9"/>
        <n v="137.2"/>
        <n v="86.6"/>
        <n v="73.5"/>
        <n v="108.4"/>
        <n v="100.6"/>
        <n v="118.8"/>
        <n v="130.8"/>
        <n v="95.0"/>
        <n v="109.0"/>
        <n v="131.7"/>
        <n v="93.7"/>
        <n v="85.6"/>
        <n v="81.9"/>
        <n v="105.4"/>
        <n v="115.6"/>
        <n v="102.5"/>
        <n v="128.9"/>
        <n v="91.8"/>
        <n v="116.1"/>
        <n v="121.2"/>
        <n v="116.0"/>
        <n v="113.1"/>
        <n v="90.1"/>
        <n v="96.7"/>
        <n v="106.8"/>
        <n v="121.4"/>
        <n v="115.2"/>
        <n v="104.3"/>
        <n v="108.0"/>
        <n v="103.8"/>
        <n v="123.8"/>
        <n v="119.7"/>
        <n v="95.2"/>
        <n v="136.5"/>
        <n v="125.6"/>
        <n v="100.9"/>
        <n v="97.1"/>
        <n v="86.9"/>
        <n v="95.6"/>
        <n v="107.9"/>
        <n v="103.2"/>
        <n v="82.3"/>
        <n v="92.0"/>
        <n v="104.2"/>
        <n v="108.3"/>
        <n v="92.3"/>
        <n v="115.4"/>
        <n v="99.0"/>
        <n v="118.5"/>
        <n v="125.9"/>
        <n v="95.3"/>
        <n v="104.8"/>
        <n v="107.2"/>
        <n v="120.7"/>
        <n v="132.7"/>
        <n v="86.3"/>
        <n v="128.0"/>
        <n v="82.5"/>
        <n v="133.3"/>
        <n v="123.7"/>
        <n v="126.3"/>
        <n v="98.9"/>
        <n v="110.8"/>
        <n v="112.6"/>
        <n v="119.3"/>
        <n v="101.6"/>
        <n v="83.5"/>
        <n v="111.8"/>
        <n v="107.1"/>
        <n v="101.2"/>
        <n v="78.2"/>
        <n v="110.1"/>
        <n v="93.1"/>
        <n v="113.6"/>
        <n v="69.1"/>
        <n v="111.7"/>
        <n v="107.6"/>
        <n v="103.4"/>
        <n v="139.4"/>
        <n v="122.6"/>
        <n v="84.6"/>
        <n v="82.7"/>
        <n v="86.7"/>
        <n v="103.6"/>
        <n v="111.1"/>
        <n v="110.9"/>
        <n v="88.7"/>
        <n v="87.5"/>
        <n v="124.0"/>
        <n v="111.4"/>
        <n v="108.9"/>
        <n v="100.5"/>
        <n v="88.5"/>
        <n v="131.5"/>
        <n v="121.8"/>
        <n v="88.4"/>
        <n v="124.5"/>
        <n v="134.6"/>
        <n v="116.2"/>
        <n v="100.0"/>
        <n v="91.7"/>
        <n v="112.1"/>
        <n v="140.9"/>
        <n v="144.7"/>
        <n v="114.9"/>
        <n v="83.0"/>
        <n v="97.0"/>
        <n v="93.0"/>
        <n v="129.4"/>
        <n v="97.7"/>
        <n v="115.3"/>
        <n v="105.8"/>
        <n v="134.2"/>
        <n v="81.5"/>
        <n v="117.5"/>
        <n v="111.5"/>
        <n v="116.3"/>
        <n v="79.9"/>
        <n v="90.0"/>
        <n v="102.3"/>
        <n v="93.8"/>
        <n v="88.9"/>
        <n v="83.4"/>
        <n v="102.0"/>
        <n v="87.6"/>
        <n v="109.4"/>
        <n v="117.0"/>
        <n v="135.7"/>
        <n v="83.8"/>
        <n v="117.8"/>
        <n v="128.6"/>
        <n v="97.6"/>
        <n v="119.1"/>
        <n v="125.2"/>
        <n v="104.7"/>
        <n v="114.5"/>
        <n v="131.4"/>
        <n v="136.3"/>
        <n v="112.7"/>
        <n v="109.5"/>
        <n v="109.6"/>
        <n v="96.8"/>
        <n v="106.2"/>
        <n v="91.1"/>
        <n v="124.3"/>
        <n v="95.4"/>
        <n v="124.8"/>
        <n v="80.9"/>
        <n v="87.8"/>
        <n v="92.8"/>
        <n v="115.7"/>
        <n v="117.9"/>
        <n v="92.5"/>
        <n v="133.8"/>
        <n v="88.6"/>
        <n v="141.1"/>
        <n v="134.1"/>
        <n v="119.4"/>
        <n v="96.0"/>
        <n v="83.2"/>
        <n v="119.6"/>
        <n v="125.0"/>
        <n v="125.5"/>
        <n v="104.0"/>
        <n v="80.6"/>
        <n v="101.8"/>
        <n v="107.7"/>
        <n v="89.3"/>
        <n v="116.4"/>
        <n v="91.9"/>
        <n v="101.4"/>
        <n v="104.5"/>
        <n v="78.5"/>
        <n v="102.7"/>
        <n v="117.2"/>
        <n v="122.4"/>
        <n v="117.1"/>
        <n v="118.1"/>
        <n v="87.7"/>
        <n v="95.8"/>
        <n v="119.2"/>
        <n v="109.3"/>
        <n v="94.4"/>
        <n v="104.1"/>
        <n v="105.9"/>
        <n v="74.3"/>
        <n v="78.3"/>
        <n v="93.3"/>
        <n v="98.8"/>
        <n v="75.2"/>
        <n v="97.5"/>
        <n v="109.9"/>
        <n v="107.4"/>
        <n v="106.5"/>
        <n v="120.6"/>
        <n v="97.8"/>
        <n v="116.9"/>
        <n v="70.8"/>
        <n v="75.4"/>
        <n v="85.5"/>
        <n v="97.3"/>
        <n v="106.6"/>
        <n v="90.3"/>
        <n v="100.1"/>
        <n v="95.9"/>
        <n v="75.5"/>
        <n v="86.1"/>
        <n v="96.1"/>
        <n v="69.4"/>
        <n v="112.5"/>
        <n v="63.4"/>
        <n v="63.8"/>
        <n v="105.3"/>
        <n v="75.1"/>
        <n v="104.9"/>
        <n v="68.9"/>
        <n v="70.2"/>
        <n v="74.1"/>
        <n v="129.0"/>
        <n v="144.5"/>
        <n v="140.4"/>
        <n v="101.5"/>
        <n v="83.1"/>
        <n v="125.7"/>
        <n v="73.3"/>
        <n v="129.5"/>
        <n v="100.3"/>
        <n v="129.2"/>
        <n v="120.8"/>
        <n v="85.9"/>
        <n v="80.8"/>
        <n v="96.3"/>
        <n v="77.2"/>
        <n v="114.3"/>
        <n v="86.8"/>
        <n v="88.8"/>
        <n v="69.6"/>
        <n v="106.1"/>
        <n v="73.9"/>
        <n v="75.7"/>
        <n v="80.0"/>
        <n v="114.7"/>
        <n v="124.6"/>
        <n v="102.6"/>
        <n v="100.7"/>
        <n v="120.2"/>
        <n v="85.7"/>
        <n v="115.1"/>
        <n v="117.6"/>
        <n v="112.0"/>
        <n v="128.3"/>
        <n v="126.4"/>
        <n v="107.5"/>
        <n v="125.4"/>
        <n v="105.0"/>
        <n v="94.8"/>
        <n v="119.5"/>
        <n v="130.3"/>
        <n v="127.4"/>
        <n v="110.7"/>
        <n v="77.7"/>
        <n v="98.6"/>
        <n v="127.0"/>
        <n v="86.0"/>
        <n v="94.9"/>
        <n v="133.5"/>
        <n v="92.4"/>
        <n v="104.4"/>
        <n v="77.6"/>
        <n v="109.7"/>
        <n v="138.0"/>
        <n v="120.9"/>
        <n v="119.8"/>
        <n v="85.1"/>
        <n v="75.9"/>
        <n v="105.5"/>
        <n v="113.8"/>
        <n v="131.3"/>
        <n v="71.0"/>
        <n v="112.9"/>
        <n v="107.3"/>
        <n v="100.2"/>
        <n v="77.3"/>
        <n v="94.7"/>
        <n v="140.6"/>
        <n v="123.1"/>
        <n v="113.9"/>
        <n v="137.0"/>
        <n v="79.6"/>
        <n v="134.4"/>
        <n v="142.3"/>
        <n v="130.5"/>
        <n v="136.1"/>
        <n v="89.8"/>
        <n v="121.0"/>
        <n v="133.4"/>
        <n v="87.4"/>
        <n v="99.7"/>
        <n v="113.3"/>
        <n v="78.6"/>
        <n v="149.8"/>
        <n v="118.9"/>
        <n v="145.8"/>
        <n v="134.5"/>
        <n v="136.0"/>
        <n v="142.9"/>
        <n v="146.1"/>
        <n v="153.0"/>
        <n v="130.2"/>
        <n v="109.1"/>
        <n v="79.5"/>
        <n v="76.3"/>
        <n v="108.2"/>
        <n v="94.0"/>
        <n v="124.4"/>
        <n v="121.3"/>
        <n v="138.8"/>
        <n v="106.0"/>
        <n v="135.5"/>
        <n v="85.8"/>
        <n v="110.6"/>
        <n v="101.0"/>
        <n v="126.2"/>
        <n v="123.0"/>
        <n v="90.5"/>
        <n v="126.8"/>
        <n v="141.5"/>
        <n v="122.3"/>
        <n v="150.5"/>
        <n v="125.3"/>
        <n v="129.6"/>
        <n v="147.3"/>
        <n v="82.1"/>
        <n v="122.9"/>
        <n v="82.9"/>
        <n v="127.6"/>
        <n v="120.0"/>
        <n v="90.4"/>
        <n v="101.7"/>
        <n v="88.2"/>
        <n v="113.7"/>
        <n v="95.1"/>
        <n v="115.8"/>
        <n v="103.0"/>
        <n v="126.0"/>
        <n v="110.3"/>
        <n v="99.2"/>
        <n v="83.7"/>
        <n v="91.0"/>
        <n v="102.9"/>
        <n v="84.4"/>
        <n v="98.7"/>
        <n v="87.3"/>
        <n v="143.0"/>
        <n v="130.4"/>
        <n v="99.6"/>
        <n v="132.8"/>
        <n v="148.4"/>
        <n v="151.3"/>
        <n v="152.1"/>
        <n v="140.1"/>
        <n v="138.3"/>
        <n v="145.4"/>
        <n v="138.5"/>
        <n v="101.9"/>
        <n v="72.4"/>
        <n v="79.8"/>
        <n v="98.0"/>
        <n v="129.9"/>
        <n v="135.9"/>
        <n v="71.7"/>
        <n v="114.0"/>
        <n v="96.9"/>
        <n v="85.3"/>
        <n v="149.2"/>
        <n v="108.8"/>
        <n v="100.8"/>
        <n v="84.1"/>
        <n v="141.0"/>
        <n v="81.8"/>
        <n v="71.6"/>
        <n v="106.9"/>
        <n v="117.4"/>
        <n v="78.1"/>
        <n v="85.0"/>
        <n v="74.2"/>
        <n v="76.2"/>
        <n v="92.2"/>
        <n v="89.4"/>
        <n v="92.6"/>
        <n v="68.6"/>
        <n v="78.8"/>
        <n v="60.7"/>
        <n v="130.0"/>
        <n v="65.0"/>
        <n v="62.4"/>
        <n v="86.4"/>
        <n v="64.9"/>
        <n v="81.7"/>
        <n v="74.7"/>
        <n v="78.4"/>
        <n v="79.2"/>
        <n v="100.4"/>
        <n v="71.9"/>
        <n v="89.2"/>
        <n v="84.2"/>
        <n v="118.0"/>
        <n v="114.6"/>
        <n v="111.0"/>
        <n v="107.8"/>
        <n v="103.9"/>
        <n v="117.7"/>
        <n v="73.1"/>
        <n v="72.5"/>
        <n v="84.9"/>
        <n v="98.4"/>
        <n v="103.5"/>
        <n v="117.3"/>
        <n v="64.2"/>
        <n v="71.2"/>
        <n v="68.4"/>
        <n v="71.1"/>
        <n v="127.5"/>
        <n v="128.2"/>
        <n v="130.6"/>
        <n v="86.2"/>
        <n v="97.2"/>
        <n v="98.5"/>
        <n v="61.3"/>
        <n v="115.9"/>
        <n v="127.3"/>
        <n v="85.4"/>
        <n v="116.7"/>
        <n v="110.5"/>
        <n v="82.6"/>
        <n v="90.2"/>
        <n v="93.9"/>
        <n v="111.6"/>
        <n v="105.2"/>
        <n v="119.0"/>
        <n v="113.5"/>
        <n v="110.4"/>
        <n v="114.4"/>
        <n v="80.7"/>
        <n v="128.7"/>
        <n v="122.8"/>
        <n v="96.2"/>
        <n v="104.6"/>
        <n v="128.4"/>
        <n v="93.2"/>
        <n v="108.7"/>
        <n v="123.4"/>
        <n v="77.4"/>
        <n v="138.6"/>
        <n v="144.8"/>
        <n v="73.6"/>
        <n v="127.7"/>
        <n v="130.7"/>
        <n v="127.9"/>
        <n v="134.7"/>
        <n v="84.0"/>
        <n v="80.5"/>
        <n v="112.8"/>
        <n v="101.1"/>
        <n v="135.4"/>
        <n v="89.6"/>
        <n v="103.3"/>
        <n v="132.5"/>
        <n v="112.4"/>
        <n v="137.4"/>
        <n v="129.1"/>
        <n v="123.6"/>
        <n v="105.6"/>
        <n v="93.5"/>
        <n v="73.7"/>
        <n v="82.0"/>
        <n v="89.7"/>
        <n v="113.0"/>
        <n v="103.7"/>
        <n v="122.1"/>
        <n v="81.4"/>
        <n v="123.9"/>
        <n v="79.4"/>
        <n v="129.3"/>
        <n v="112.2"/>
        <n v="118.6"/>
        <n v="129.8"/>
        <n v="141.9"/>
        <n v="132.0"/>
        <n v="96.6"/>
        <n v="97.9"/>
        <n v="115.5"/>
        <n v="79.7"/>
        <n v="116.5"/>
        <n v="131.0"/>
        <n v="99.8"/>
        <n v="89.5"/>
        <n v="68.7"/>
        <n v="69.9"/>
        <n v="76.1"/>
        <n v="133.0"/>
        <n v="91.6"/>
        <n v="126.9"/>
        <n v="148.8"/>
        <n v="130.1"/>
        <n v="67.4"/>
        <n v="99.5"/>
        <n v="71.3"/>
        <n v="155.3"/>
        <n v="76.9"/>
        <n v="77.1"/>
        <n v="105.7"/>
        <n v="69.8"/>
        <n v="70.4"/>
        <n v="66.1"/>
        <n v="68.5"/>
        <n v="70.0"/>
        <n v="90.9"/>
        <n v="80.1"/>
        <n v="126.6"/>
        <n v="78.9"/>
        <n v="116.8"/>
        <n v="99.1"/>
        <n v="82.4"/>
        <n v="81.0"/>
        <n v="131.8"/>
        <n v="75.8"/>
        <n v="89.0"/>
        <n v="145.2"/>
        <n v="81.3"/>
        <n v="112.3"/>
        <n v="92.1"/>
        <n v="87.0"/>
        <n v="120.3"/>
        <n v="145.9"/>
        <n v="93.6"/>
        <n v="153.2"/>
        <n v="147.8"/>
        <n v="138.7"/>
        <n v="138.4"/>
        <n v="149.5"/>
        <n v="102.8"/>
        <n v="146.0"/>
        <n v="122.5"/>
        <n v="84.7"/>
        <n v="92.9"/>
        <n v="77.9"/>
        <n v="137.8"/>
        <n v="94.2"/>
        <n v="91.2"/>
        <n v="118.4"/>
        <n v="142.1"/>
        <n v="143.1"/>
        <n v="145.7"/>
        <n v="141.2"/>
        <n v="146.3"/>
        <n v="149.3"/>
        <n v="80.4"/>
        <n v="75.6"/>
        <n v="120.4"/>
        <n v="121.1"/>
        <n v="125.1"/>
        <n v="108.6"/>
        <n v="111.2"/>
        <n v="115.0"/>
        <n v="133.2"/>
        <n v="127.1"/>
        <n v="146.2"/>
        <n v="98.1"/>
        <n v="154.0"/>
        <n v="72.0"/>
        <n v="143.6"/>
        <n v="136.6"/>
        <n v="76.7"/>
        <n v="148.2"/>
        <n v="132.1"/>
        <n v="143.5"/>
        <n v="139.7"/>
        <n v="123.5"/>
        <n v="134.9"/>
        <n v="49.5"/>
        <n v="66.2"/>
        <n v="58.0"/>
        <n v="66.8"/>
        <n v="136.9"/>
        <n v="60.3"/>
        <n v="69.5"/>
        <n v="121.7"/>
        <n v="126.7"/>
        <n v="74.8"/>
        <n v="74.5"/>
        <n v="131.2"/>
        <n v="143.8"/>
        <n v="145.6"/>
        <n v="90.7"/>
        <n v="72.6"/>
        <n v="63.1"/>
        <n v="151.5"/>
        <n v="70.1"/>
        <n v="118.2"/>
        <n v="99.4"/>
        <n v="124.2"/>
        <n v="88.1"/>
        <n v="83.3"/>
        <n v="124.9"/>
        <n v="88.0"/>
        <n v="89.1"/>
        <n v="116.6"/>
        <n v="85.2"/>
        <n v="84.5"/>
        <n v="89.9"/>
        <n v="138.2"/>
        <n v="106.3"/>
        <n v="133.9"/>
        <n v="135.2"/>
        <n v="140.2"/>
        <n v="139.9"/>
        <n v="73.4"/>
        <n v="110.0"/>
        <n v="79.0"/>
        <n v="93.4"/>
        <n v="128.8"/>
        <n v="136.8"/>
        <n v="133.7"/>
        <n v="130.9"/>
        <n v="113.4"/>
        <n v="122.7"/>
        <n v="66.0"/>
        <n v="126.5"/>
        <n v="118.3"/>
        <n v="98.2"/>
        <n v="71.4"/>
        <n v="68.2"/>
        <n v="64.3"/>
        <n v="70.9"/>
        <n v="149.0"/>
        <n v="76.4"/>
        <n v="70.5"/>
        <n v="118.7"/>
        <n v="109.2"/>
        <n v="128.1"/>
        <n v="124.7"/>
        <n v="103.1"/>
        <n v="87.2"/>
        <n v="142.0"/>
        <n v="76.5"/>
        <n v="135.1"/>
        <n v="148.9"/>
        <n v="144.2"/>
        <n v="126.1"/>
        <n v="76.0"/>
        <n v="122.2"/>
        <n v="74.4"/>
        <n v="82.2"/>
        <n v="143.7"/>
        <n v="147.4"/>
        <n v="140.7"/>
        <n v="142.8"/>
        <n v="75.3"/>
        <n v="137.9"/>
        <n v="150.9"/>
        <n v="127.8"/>
        <n v="90.6"/>
        <n v="151.2"/>
        <n v="148.1"/>
        <n v="139.0"/>
        <n v="79.1"/>
        <n v="114.8"/>
        <n v="76.6"/>
        <n v="86.5"/>
        <n v="78.7"/>
        <n v="70.6"/>
        <n v="68.0"/>
        <n v="67.8"/>
        <n v="63.6"/>
        <n v="91.4"/>
        <n v="62.6"/>
        <n v="67.0"/>
        <n v="141.8"/>
        <n v="135.0"/>
        <n v="132.4"/>
        <n v="119.9"/>
        <n v="124.1"/>
        <n v="90.8"/>
        <n v="137.3"/>
        <n v="131.1"/>
        <n v="81.1"/>
        <n v="142.5"/>
        <n v="94.5"/>
        <n v="122.0"/>
        <n v="74.9"/>
        <n v="134.3"/>
        <n v="67.7"/>
        <n v="75.0"/>
        <n v="69.2"/>
        <n v="141.7"/>
        <n v="76.8"/>
        <n v="67.6"/>
        <n v="80.3"/>
        <n v="145.3"/>
        <n v="132.3"/>
        <n v="70.3"/>
        <n v="137.1"/>
        <n v="81.6"/>
        <n v="151.9"/>
        <n v="139.8"/>
        <n v="148.6"/>
        <n v="96.4"/>
        <n v="107.0"/>
        <n v="141.3"/>
        <n v="151.7"/>
        <n v="151.1"/>
        <n v="135.8"/>
        <n v="134.0"/>
        <n v="149.4"/>
        <n v="77.8"/>
        <n v="74.6"/>
        <n v="77.0"/>
        <n v="125.8"/>
        <n v="71.8"/>
        <n v="63.5"/>
        <n v="67.9"/>
        <n v="62.8"/>
        <n v="62.2"/>
        <n v="65.4"/>
        <n v="61.5"/>
        <n v="68.3"/>
        <n v="61.2"/>
        <n v="73.8"/>
        <n v="69.7"/>
        <n v="67.2"/>
        <n v="139.2"/>
        <n v="140.0"/>
        <n v="64.7"/>
        <n v="120.5"/>
        <n v="134.8"/>
        <n v="137.6"/>
        <n v="139.6"/>
        <n v="148.0"/>
        <n v="147.1"/>
        <n v="155.9"/>
        <n v="136.7"/>
        <n v="143.2"/>
        <n v="159.0"/>
        <n v="152.6"/>
        <n v="150.6"/>
        <n v="146.9"/>
        <n v="144.9"/>
        <n v="66.7"/>
        <n v="65.6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I1:K3608" sheet="données"/>
  </cacheSource>
  <cacheFields>
    <cacheField name="secteur" numFmtId="0">
      <sharedItems>
        <s v="public"/>
        <s v="privé sous contrat"/>
      </sharedItems>
    </cacheField>
    <cacheField name="type_de_lycee" numFmtId="0">
      <sharedItems>
        <s v="LPO"/>
        <s v="LEGT"/>
        <s v="LP"/>
      </sharedItems>
    </cacheField>
    <cacheField name="ips_voie_gt" numFmtId="4">
      <sharedItems containsString="0" containsBlank="1" containsNumber="1">
        <n v="107.2"/>
        <n v="123.8"/>
        <n v="128.5"/>
        <m/>
        <n v="120.1"/>
        <n v="102.2"/>
        <n v="109.8"/>
        <n v="110.2"/>
        <n v="108.9"/>
        <n v="111.9"/>
        <n v="98.3"/>
        <n v="113.2"/>
        <n v="123.2"/>
        <n v="102.4"/>
        <n v="131.6"/>
        <n v="127.2"/>
        <n v="114.4"/>
        <n v="109.6"/>
        <n v="110.5"/>
        <n v="120.4"/>
        <n v="111.3"/>
        <n v="104.3"/>
        <n v="114.2"/>
        <n v="106.7"/>
        <n v="121.9"/>
        <n v="94.1"/>
        <n v="81.9"/>
        <n v="82.8"/>
        <n v="101.7"/>
        <n v="146.8"/>
        <n v="137.7"/>
        <n v="131.9"/>
        <n v="137.2"/>
        <n v="100.6"/>
        <n v="121.5"/>
        <n v="130.8"/>
        <n v="96.8"/>
        <n v="109.0"/>
        <n v="131.7"/>
        <n v="98.9"/>
        <n v="105.4"/>
        <n v="115.6"/>
        <n v="107.9"/>
        <n v="128.9"/>
        <n v="116.1"/>
        <n v="109.7"/>
        <n v="121.2"/>
        <n v="122.7"/>
        <n v="125.1"/>
        <n v="102.8"/>
        <n v="106.8"/>
        <n v="121.4"/>
        <n v="119.3"/>
        <n v="108.3"/>
        <n v="114.0"/>
        <n v="111.6"/>
        <n v="129.9"/>
        <n v="119.7"/>
        <n v="136.5"/>
        <n v="125.6"/>
        <n v="97.1"/>
        <n v="109.1"/>
        <n v="107.0"/>
        <n v="124.5"/>
        <n v="106.3"/>
        <n v="118.5"/>
        <n v="125.9"/>
        <n v="100.5"/>
        <n v="104.8"/>
        <n v="111.1"/>
        <n v="120.7"/>
        <n v="132.7"/>
        <n v="99.3"/>
        <n v="128.0"/>
        <n v="133.3"/>
        <n v="123.7"/>
        <n v="126.3"/>
        <n v="107.8"/>
        <n v="110.8"/>
        <n v="101.6"/>
        <n v="111.8"/>
        <n v="109.9"/>
        <n v="101.2"/>
        <n v="110.1"/>
        <n v="118.3"/>
        <n v="112.8"/>
        <n v="107.6"/>
        <n v="101.4"/>
        <n v="139.4"/>
        <n v="130.6"/>
        <n v="92.3"/>
        <n v="138.1"/>
        <n v="111.4"/>
        <n v="131.5"/>
        <n v="116.0"/>
        <n v="121.8"/>
        <n v="134.6"/>
        <n v="116.2"/>
        <n v="111.7"/>
        <n v="117.8"/>
        <n v="140.9"/>
        <n v="144.7"/>
        <n v="114.9"/>
        <n v="129.4"/>
        <n v="97.7"/>
        <n v="115.3"/>
        <n v="105.8"/>
        <n v="134.2"/>
        <n v="117.5"/>
        <n v="111.5"/>
        <n v="116.3"/>
        <n v="92.6"/>
        <n v="116.4"/>
        <n v="124.3"/>
        <n v="135.7"/>
        <n v="128.6"/>
        <n v="112.7"/>
        <n v="125.2"/>
        <n v="119.1"/>
        <n v="107.7"/>
        <n v="114.5"/>
        <n v="138.7"/>
        <n v="136.3"/>
        <n v="115.9"/>
        <n v="109.5"/>
        <n v="106.2"/>
        <n v="112.1"/>
        <n v="124.8"/>
        <n v="105.5"/>
        <n v="115.7"/>
        <n v="117.9"/>
        <n v="114.1"/>
        <n v="133.8"/>
        <n v="141.1"/>
        <n v="134.1"/>
        <n v="119.4"/>
        <n v="111.2"/>
        <n v="119.6"/>
        <n v="125.0"/>
        <n v="125.5"/>
        <n v="104.0"/>
        <n v="105.3"/>
        <n v="110.0"/>
        <n v="97.0"/>
        <n v="93.9"/>
        <n v="113.4"/>
        <n v="117.2"/>
        <n v="122.4"/>
        <n v="115.0"/>
        <n v="117.1"/>
        <n v="118.1"/>
        <n v="119.2"/>
        <n v="110.4"/>
        <n v="108.4"/>
        <n v="99.0"/>
        <n v="106.9"/>
        <n v="113.9"/>
        <n v="107.4"/>
        <n v="103.5"/>
        <n v="106.6"/>
        <n v="99.8"/>
        <n v="106.5"/>
        <n v="120.6"/>
        <n v="116.9"/>
        <n v="93.8"/>
        <n v="98.7"/>
        <n v="97.3"/>
        <n v="106.1"/>
        <n v="108.5"/>
        <n v="91.8"/>
        <n v="94.6"/>
        <n v="96.1"/>
        <n v="93.2"/>
        <n v="118.7"/>
        <n v="75.1"/>
        <n v="104.9"/>
        <n v="129.0"/>
        <n v="144.5"/>
        <n v="140.4"/>
        <n v="129.2"/>
        <n v="125.7"/>
        <n v="106.4"/>
        <n v="93.0"/>
        <n v="103.6"/>
        <n v="129.5"/>
        <n v="105.7"/>
        <n v="120.8"/>
        <n v="96.3"/>
        <n v="114.3"/>
        <n v="113.3"/>
        <n v="86.8"/>
        <n v="92.8"/>
        <n v="110.6"/>
        <n v="100.7"/>
        <n v="120.2"/>
        <n v="117.6"/>
        <n v="122.2"/>
        <n v="112.0"/>
        <n v="128.3"/>
        <n v="126.4"/>
        <n v="113.7"/>
        <n v="112.2"/>
        <n v="110.9"/>
        <n v="105.0"/>
        <n v="102.0"/>
        <n v="119.5"/>
        <n v="130.3"/>
        <n v="123.9"/>
        <n v="125.3"/>
        <n v="115.1"/>
        <n v="127.4"/>
        <n v="110.7"/>
        <n v="118.8"/>
        <n v="127.0"/>
        <n v="103.4"/>
        <n v="90.5"/>
        <n v="103.3"/>
        <n v="133.5"/>
        <n v="92.2"/>
        <n v="104.4"/>
        <n v="116.5"/>
        <n v="138.0"/>
        <n v="120.9"/>
        <n v="95.6"/>
        <n v="113.8"/>
        <n v="131.3"/>
        <n v="125.8"/>
        <n v="83.8"/>
        <n v="71.0"/>
        <n v="113.0"/>
        <n v="140.6"/>
        <n v="124.2"/>
        <n v="107.3"/>
        <n v="137.0"/>
        <n v="124.0"/>
        <n v="90.9"/>
        <n v="134.4"/>
        <n v="142.3"/>
        <n v="130.5"/>
        <n v="136.1"/>
        <n v="121.0"/>
        <n v="133.4"/>
        <n v="92.4"/>
        <n v="149.8"/>
        <n v="118.9"/>
        <n v="84.8"/>
        <n v="145.8"/>
        <n v="134.5"/>
        <n v="136.0"/>
        <n v="142.9"/>
        <n v="146.1"/>
        <n v="153.0"/>
        <n v="130.2"/>
        <n v="81.2"/>
        <n v="121.6"/>
        <n v="122.0"/>
        <n v="124.4"/>
        <n v="121.3"/>
        <n v="138.8"/>
        <n v="99.5"/>
        <n v="135.5"/>
        <n v="89.6"/>
        <n v="105.6"/>
        <n v="126.2"/>
        <n v="116.7"/>
        <n v="126.8"/>
        <n v="141.5"/>
        <n v="122.3"/>
        <n v="150.5"/>
        <n v="112.6"/>
        <n v="129.6"/>
        <n v="131.4"/>
        <n v="147.3"/>
        <n v="122.9"/>
        <n v="82.9"/>
        <n v="127.6"/>
        <n v="120.0"/>
        <n v="104.5"/>
        <n v="105.1"/>
        <n v="122.8"/>
        <n v="125.4"/>
        <n v="115.8"/>
        <n v="110.3"/>
        <n v="103.0"/>
        <n v="126.0"/>
        <n v="103.8"/>
        <n v="143.0"/>
        <n v="137.8"/>
        <n v="99.6"/>
        <n v="102.7"/>
        <n v="122.6"/>
        <n v="132.8"/>
        <n v="148.4"/>
        <n v="151.3"/>
        <n v="152.1"/>
        <n v="144.0"/>
        <n v="138.3"/>
        <n v="96.6"/>
        <n v="145.4"/>
        <n v="138.5"/>
        <n v="101.9"/>
        <n v="57.1"/>
        <n v="79.8"/>
        <n v="98.0"/>
        <n v="135.9"/>
        <n v="66.3"/>
        <n v="99.2"/>
        <n v="78.3"/>
        <n v="140.1"/>
        <n v="95.4"/>
        <n v="90.1"/>
        <n v="113.6"/>
        <n v="93.5"/>
        <n v="96.9"/>
        <n v="149.2"/>
        <n v="108.8"/>
        <n v="84.5"/>
        <n v="100.8"/>
        <n v="86.3"/>
        <n v="141.0"/>
        <n v="140.7"/>
        <n v="82.7"/>
        <n v="143.2"/>
        <n v="70.9"/>
        <n v="102.1"/>
        <n v="89.3"/>
        <n v="117.4"/>
        <n v="80.6"/>
        <n v="78.1"/>
        <n v="95.7"/>
        <n v="87.1"/>
        <n v="85.3"/>
        <n v="102.3"/>
        <n v="88.2"/>
        <n v="66.4"/>
        <n v="130.0"/>
        <n v="113.5"/>
        <n v="86.4"/>
        <n v="81.7"/>
        <n v="77.3"/>
        <n v="94.8"/>
        <n v="83.2"/>
        <n v="83.3"/>
        <n v="115.4"/>
        <n v="101.1"/>
        <n v="102.5"/>
        <n v="91.9"/>
        <n v="114.6"/>
        <n v="111.0"/>
        <n v="123.5"/>
        <n v="117.7"/>
        <n v="116.8"/>
        <n v="100.3"/>
        <n v="117.3"/>
        <n v="126.7"/>
        <n v="127.5"/>
        <n v="128.2"/>
        <n v="103.9"/>
        <n v="93.7"/>
        <n v="93.1"/>
        <n v="100.4"/>
        <n v="74.5"/>
        <n v="87.4"/>
        <n v="127.3"/>
        <n v="117.0"/>
        <n v="105.2"/>
        <n v="119.0"/>
        <n v="123.1"/>
        <n v="100.9"/>
        <n v="128.7"/>
        <n v="108.6"/>
        <n v="104.2"/>
        <n v="128.4"/>
        <n v="108.7"/>
        <n v="123.4"/>
        <n v="97.4"/>
        <n v="118.0"/>
        <n v="123.0"/>
        <n v="138.6"/>
        <n v="144.8"/>
        <n v="130.7"/>
        <n v="127.9"/>
        <n v="134.7"/>
        <n v="135.4"/>
        <n v="109.3"/>
        <n v="114.7"/>
        <n v="124.1"/>
        <n v="132.5"/>
        <n v="112.9"/>
        <n v="137.4"/>
        <n v="129.1"/>
        <n v="114.8"/>
        <n v="132.0"/>
        <n v="118.6"/>
        <n v="128.1"/>
        <n v="130.4"/>
        <n v="118.2"/>
        <n v="94.0"/>
        <n v="116.6"/>
        <n v="127.8"/>
        <n v="103.7"/>
        <n v="122.1"/>
        <n v="129.3"/>
        <n v="108.0"/>
        <n v="129.8"/>
        <n v="141.9"/>
        <n v="108.2"/>
        <n v="115.5"/>
        <n v="107.1"/>
        <n v="131.0"/>
        <n v="89.5"/>
        <n v="102.9"/>
        <n v="115.2"/>
        <n v="102.6"/>
        <n v="94.9"/>
        <n v="133.0"/>
        <n v="101.0"/>
        <n v="126.9"/>
        <n v="148.8"/>
        <n v="130.1"/>
        <n v="155.3"/>
        <n v="85.5"/>
        <n v="100.0"/>
        <n v="105.9"/>
        <n v="126.6"/>
        <n v="112.3"/>
        <n v="123.6"/>
        <n v="108.1"/>
        <n v="131.8"/>
        <n v="90.2"/>
        <n v="90.6"/>
        <n v="145.2"/>
        <n v="119.8"/>
        <n v="119.9"/>
        <n v="120.3"/>
        <n v="145.9"/>
        <n v="141.3"/>
        <n v="90.4"/>
        <n v="101.3"/>
        <n v="95.5"/>
        <n v="98.4"/>
        <n v="153.2"/>
        <n v="147.8"/>
        <n v="138.4"/>
        <n v="149.5"/>
        <n v="146.0"/>
        <n v="92.9"/>
        <n v="122.5"/>
        <n v="112.4"/>
        <n v="118.4"/>
        <n v="142.1"/>
        <n v="143.1"/>
        <n v="145.7"/>
        <n v="141.2"/>
        <n v="146.3"/>
        <n v="149.3"/>
        <n v="93.6"/>
        <n v="96.7"/>
        <n v="113.1"/>
        <n v="103.2"/>
        <n v="133.2"/>
        <n v="146.2"/>
        <n v="121.7"/>
        <n v="154.0"/>
        <n v="127.1"/>
        <n v="81.3"/>
        <n v="52.5"/>
        <n v="53.8"/>
        <n v="78.9"/>
        <n v="84.4"/>
        <n v="143.6"/>
        <n v="97.9"/>
        <n v="78.2"/>
        <n v="136.6"/>
        <n v="87.8"/>
        <n v="57.0"/>
        <n v="148.2"/>
        <n v="132.1"/>
        <n v="143.5"/>
        <n v="139.7"/>
        <n v="86.9"/>
        <n v="134.9"/>
        <n v="98.1"/>
        <n v="91.4"/>
        <n v="88.9"/>
        <n v="104.1"/>
        <n v="71.3"/>
        <n v="136.9"/>
        <n v="97.8"/>
        <n v="72.2"/>
        <n v="88.6"/>
        <n v="92.0"/>
        <n v="131.2"/>
        <n v="143.8"/>
        <n v="145.6"/>
        <n v="90.7"/>
        <n v="72.6"/>
        <n v="151.5"/>
        <n v="70.8"/>
        <n v="96.4"/>
        <n v="104.7"/>
        <n v="99.4"/>
        <n v="103.1"/>
        <n v="124.9"/>
        <n v="138.2"/>
        <n v="133.9"/>
        <n v="140.2"/>
        <n v="84.0"/>
        <n v="120.5"/>
        <n v="135.2"/>
        <n v="139.9"/>
        <n v="136.8"/>
        <n v="133.7"/>
        <n v="101.8"/>
        <n v="99.1"/>
        <n v="130.9"/>
        <n v="144.6"/>
        <n v="129.7"/>
        <n v="126.5"/>
        <n v="109.4"/>
        <n v="107.5"/>
        <n v="88.5"/>
        <n v="67.1"/>
        <n v="94.4"/>
        <n v="149.0"/>
        <n v="84.1"/>
        <n v="82.4"/>
        <n v="109.2"/>
        <n v="90.3"/>
        <n v="124.7"/>
        <n v="112.5"/>
        <n v="142.0"/>
        <n v="99.9"/>
        <n v="135.1"/>
        <n v="148.9"/>
        <n v="121.1"/>
        <n v="94.7"/>
        <n v="104.6"/>
        <n v="78.8"/>
        <n v="144.2"/>
        <n v="126.1"/>
        <n v="87.7"/>
        <n v="143.7"/>
        <n v="147.4"/>
        <n v="142.8"/>
        <n v="137.9"/>
        <n v="67.0"/>
        <n v="149.7"/>
        <n v="150.9"/>
        <n v="91.5"/>
        <n v="151.2"/>
        <n v="148.1"/>
        <n v="139.0"/>
        <n v="81.4"/>
        <n v="97.2"/>
        <n v="77.5"/>
        <n v="64.8"/>
        <n v="94.5"/>
        <n v="78.5"/>
        <n v="100.2"/>
        <n v="66.2"/>
        <n v="97.6"/>
        <n v="90.8"/>
        <n v="78.7"/>
        <n v="97.5"/>
        <n v="106.0"/>
        <n v="76.3"/>
        <n v="78.6"/>
        <n v="83.7"/>
        <n v="70.5"/>
        <n v="80.9"/>
        <n v="64.3"/>
        <n v="95.0"/>
        <n v="98.6"/>
        <n v="96.5"/>
        <n v="141.8"/>
        <n v="135.0"/>
        <n v="92.7"/>
        <n v="91.7"/>
        <n v="132.4"/>
        <n v="124.6"/>
        <n v="137.3"/>
        <n v="88.0"/>
        <n v="132.2"/>
        <n v="131.1"/>
        <n v="101.5"/>
        <n v="142.5"/>
        <n v="79.0"/>
        <n v="134.3"/>
        <n v="94.3"/>
        <n v="91.3"/>
        <n v="88.1"/>
        <n v="89.4"/>
        <n v="74.9"/>
        <n v="141.7"/>
        <n v="79.6"/>
        <n v="98.2"/>
        <n v="128.8"/>
        <n v="98.8"/>
        <n v="89.2"/>
        <n v="145.3"/>
        <n v="132.3"/>
        <n v="137.1"/>
        <n v="151.9"/>
        <n v="139.8"/>
        <n v="148.6"/>
        <n v="87.9"/>
        <n v="88.3"/>
        <n v="151.7"/>
        <n v="151.1"/>
        <n v="81.0"/>
        <n v="93.4"/>
        <n v="135.8"/>
        <n v="134.0"/>
        <n v="149.4"/>
        <n v="85.0"/>
        <n v="82.6"/>
        <n v="64.4"/>
        <n v="57.4"/>
        <n v="76.2"/>
        <n v="96.0"/>
        <n v="91.1"/>
        <n v="86.7"/>
        <n v="76.5"/>
        <n v="73.4"/>
        <n v="87.3"/>
        <n v="132.6"/>
        <n v="73.3"/>
        <n v="68.3"/>
        <n v="139.6"/>
        <n v="100.1"/>
        <n v="140.0"/>
        <n v="98.5"/>
        <n v="85.7"/>
        <n v="73.5"/>
        <n v="139.2"/>
        <n v="99.7"/>
        <n v="86.2"/>
        <n v="134.8"/>
        <n v="137.6"/>
        <n v="148.0"/>
        <n v="147.1"/>
        <n v="155.9"/>
        <n v="136.7"/>
        <n v="95.1"/>
        <n v="159.0"/>
        <n v="94.2"/>
        <n v="152.6"/>
        <n v="150.6"/>
        <n v="95.2"/>
        <n v="146.9"/>
        <n v="144.9"/>
        <n v="83.5"/>
        <n v="71.5"/>
        <n v="81.5"/>
        <n v="85.8"/>
        <n v="83.6"/>
        <n v="127.7"/>
        <n v="87.6"/>
        <n v="74.6"/>
        <n v="62.6"/>
        <n v="73.2"/>
        <n v="67.7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I1:L3608" sheet="données"/>
  </cacheSource>
  <cacheFields>
    <cacheField name="secteur" numFmtId="0">
      <sharedItems>
        <s v="public"/>
        <s v="privé sous contrat"/>
      </sharedItems>
    </cacheField>
    <cacheField name="type_de_lycee" numFmtId="0">
      <sharedItems>
        <s v="LPO"/>
        <s v="LEGT"/>
        <s v="LP"/>
      </sharedItems>
    </cacheField>
    <cacheField name="ips_voie_gt" numFmtId="4">
      <sharedItems containsString="0" containsBlank="1" containsNumber="1">
        <n v="107.2"/>
        <n v="123.8"/>
        <n v="128.5"/>
        <m/>
        <n v="120.1"/>
        <n v="102.2"/>
        <n v="109.8"/>
        <n v="110.2"/>
        <n v="108.9"/>
        <n v="111.9"/>
        <n v="98.3"/>
        <n v="113.2"/>
        <n v="123.2"/>
        <n v="102.4"/>
        <n v="131.6"/>
        <n v="127.2"/>
        <n v="114.4"/>
        <n v="109.6"/>
        <n v="110.5"/>
        <n v="120.4"/>
        <n v="111.3"/>
        <n v="104.3"/>
        <n v="114.2"/>
        <n v="106.7"/>
        <n v="121.9"/>
        <n v="94.1"/>
        <n v="81.9"/>
        <n v="82.8"/>
        <n v="101.7"/>
        <n v="146.8"/>
        <n v="137.7"/>
        <n v="131.9"/>
        <n v="137.2"/>
        <n v="100.6"/>
        <n v="121.5"/>
        <n v="130.8"/>
        <n v="96.8"/>
        <n v="109.0"/>
        <n v="131.7"/>
        <n v="98.9"/>
        <n v="105.4"/>
        <n v="115.6"/>
        <n v="107.9"/>
        <n v="128.9"/>
        <n v="116.1"/>
        <n v="109.7"/>
        <n v="121.2"/>
        <n v="122.7"/>
        <n v="125.1"/>
        <n v="102.8"/>
        <n v="106.8"/>
        <n v="121.4"/>
        <n v="119.3"/>
        <n v="108.3"/>
        <n v="114.0"/>
        <n v="111.6"/>
        <n v="129.9"/>
        <n v="119.7"/>
        <n v="136.5"/>
        <n v="125.6"/>
        <n v="97.1"/>
        <n v="109.1"/>
        <n v="107.0"/>
        <n v="124.5"/>
        <n v="106.3"/>
        <n v="118.5"/>
        <n v="125.9"/>
        <n v="100.5"/>
        <n v="104.8"/>
        <n v="111.1"/>
        <n v="120.7"/>
        <n v="132.7"/>
        <n v="99.3"/>
        <n v="128.0"/>
        <n v="133.3"/>
        <n v="123.7"/>
        <n v="126.3"/>
        <n v="107.8"/>
        <n v="110.8"/>
        <n v="101.6"/>
        <n v="111.8"/>
        <n v="109.9"/>
        <n v="101.2"/>
        <n v="110.1"/>
        <n v="118.3"/>
        <n v="112.8"/>
        <n v="107.6"/>
        <n v="101.4"/>
        <n v="139.4"/>
        <n v="130.6"/>
        <n v="92.3"/>
        <n v="138.1"/>
        <n v="111.4"/>
        <n v="131.5"/>
        <n v="116.0"/>
        <n v="121.8"/>
        <n v="134.6"/>
        <n v="116.2"/>
        <n v="111.7"/>
        <n v="117.8"/>
        <n v="140.9"/>
        <n v="144.7"/>
        <n v="114.9"/>
        <n v="129.4"/>
        <n v="97.7"/>
        <n v="115.3"/>
        <n v="105.8"/>
        <n v="134.2"/>
        <n v="117.5"/>
        <n v="111.5"/>
        <n v="116.3"/>
        <n v="92.6"/>
        <n v="116.4"/>
        <n v="124.3"/>
        <n v="135.7"/>
        <n v="128.6"/>
        <n v="112.7"/>
        <n v="125.2"/>
        <n v="119.1"/>
        <n v="107.7"/>
        <n v="114.5"/>
        <n v="138.7"/>
        <n v="136.3"/>
        <n v="115.9"/>
        <n v="109.5"/>
        <n v="106.2"/>
        <n v="112.1"/>
        <n v="124.8"/>
        <n v="105.5"/>
        <n v="115.7"/>
        <n v="117.9"/>
        <n v="114.1"/>
        <n v="133.8"/>
        <n v="141.1"/>
        <n v="134.1"/>
        <n v="119.4"/>
        <n v="111.2"/>
        <n v="119.6"/>
        <n v="125.0"/>
        <n v="125.5"/>
        <n v="104.0"/>
        <n v="105.3"/>
        <n v="110.0"/>
        <n v="97.0"/>
        <n v="93.9"/>
        <n v="113.4"/>
        <n v="117.2"/>
        <n v="122.4"/>
        <n v="115.0"/>
        <n v="117.1"/>
        <n v="118.1"/>
        <n v="119.2"/>
        <n v="110.4"/>
        <n v="108.4"/>
        <n v="99.0"/>
        <n v="106.9"/>
        <n v="113.9"/>
        <n v="107.4"/>
        <n v="103.5"/>
        <n v="106.6"/>
        <n v="99.8"/>
        <n v="106.5"/>
        <n v="120.6"/>
        <n v="116.9"/>
        <n v="93.8"/>
        <n v="98.7"/>
        <n v="97.3"/>
        <n v="106.1"/>
        <n v="108.5"/>
        <n v="91.8"/>
        <n v="94.6"/>
        <n v="96.1"/>
        <n v="93.2"/>
        <n v="118.7"/>
        <n v="75.1"/>
        <n v="104.9"/>
        <n v="129.0"/>
        <n v="144.5"/>
        <n v="140.4"/>
        <n v="129.2"/>
        <n v="125.7"/>
        <n v="106.4"/>
        <n v="93.0"/>
        <n v="103.6"/>
        <n v="129.5"/>
        <n v="105.7"/>
        <n v="120.8"/>
        <n v="96.3"/>
        <n v="114.3"/>
        <n v="113.3"/>
        <n v="86.8"/>
        <n v="92.8"/>
        <n v="110.6"/>
        <n v="100.7"/>
        <n v="120.2"/>
        <n v="117.6"/>
        <n v="122.2"/>
        <n v="112.0"/>
        <n v="128.3"/>
        <n v="126.4"/>
        <n v="113.7"/>
        <n v="112.2"/>
        <n v="110.9"/>
        <n v="105.0"/>
        <n v="102.0"/>
        <n v="119.5"/>
        <n v="130.3"/>
        <n v="123.9"/>
        <n v="125.3"/>
        <n v="115.1"/>
        <n v="127.4"/>
        <n v="110.7"/>
        <n v="118.8"/>
        <n v="127.0"/>
        <n v="103.4"/>
        <n v="90.5"/>
        <n v="103.3"/>
        <n v="133.5"/>
        <n v="92.2"/>
        <n v="104.4"/>
        <n v="116.5"/>
        <n v="138.0"/>
        <n v="120.9"/>
        <n v="95.6"/>
        <n v="113.8"/>
        <n v="131.3"/>
        <n v="125.8"/>
        <n v="83.8"/>
        <n v="71.0"/>
        <n v="113.0"/>
        <n v="140.6"/>
        <n v="124.2"/>
        <n v="107.3"/>
        <n v="137.0"/>
        <n v="124.0"/>
        <n v="90.9"/>
        <n v="134.4"/>
        <n v="142.3"/>
        <n v="130.5"/>
        <n v="136.1"/>
        <n v="121.0"/>
        <n v="133.4"/>
        <n v="92.4"/>
        <n v="149.8"/>
        <n v="118.9"/>
        <n v="84.8"/>
        <n v="145.8"/>
        <n v="134.5"/>
        <n v="136.0"/>
        <n v="142.9"/>
        <n v="146.1"/>
        <n v="153.0"/>
        <n v="130.2"/>
        <n v="81.2"/>
        <n v="121.6"/>
        <n v="122.0"/>
        <n v="124.4"/>
        <n v="121.3"/>
        <n v="138.8"/>
        <n v="99.5"/>
        <n v="135.5"/>
        <n v="89.6"/>
        <n v="105.6"/>
        <n v="126.2"/>
        <n v="116.7"/>
        <n v="126.8"/>
        <n v="141.5"/>
        <n v="122.3"/>
        <n v="150.5"/>
        <n v="112.6"/>
        <n v="129.6"/>
        <n v="131.4"/>
        <n v="147.3"/>
        <n v="122.9"/>
        <n v="82.9"/>
        <n v="127.6"/>
        <n v="120.0"/>
        <n v="104.5"/>
        <n v="105.1"/>
        <n v="122.8"/>
        <n v="125.4"/>
        <n v="115.8"/>
        <n v="110.3"/>
        <n v="103.0"/>
        <n v="126.0"/>
        <n v="103.8"/>
        <n v="143.0"/>
        <n v="137.8"/>
        <n v="99.6"/>
        <n v="102.7"/>
        <n v="122.6"/>
        <n v="132.8"/>
        <n v="148.4"/>
        <n v="151.3"/>
        <n v="152.1"/>
        <n v="144.0"/>
        <n v="138.3"/>
        <n v="96.6"/>
        <n v="145.4"/>
        <n v="138.5"/>
        <n v="101.9"/>
        <n v="57.1"/>
        <n v="79.8"/>
        <n v="98.0"/>
        <n v="135.9"/>
        <n v="66.3"/>
        <n v="99.2"/>
        <n v="78.3"/>
        <n v="140.1"/>
        <n v="95.4"/>
        <n v="90.1"/>
        <n v="113.6"/>
        <n v="93.5"/>
        <n v="96.9"/>
        <n v="149.2"/>
        <n v="108.8"/>
        <n v="84.5"/>
        <n v="100.8"/>
        <n v="86.3"/>
        <n v="141.0"/>
        <n v="140.7"/>
        <n v="82.7"/>
        <n v="143.2"/>
        <n v="70.9"/>
        <n v="102.1"/>
        <n v="89.3"/>
        <n v="117.4"/>
        <n v="80.6"/>
        <n v="78.1"/>
        <n v="95.7"/>
        <n v="87.1"/>
        <n v="85.3"/>
        <n v="102.3"/>
        <n v="88.2"/>
        <n v="66.4"/>
        <n v="130.0"/>
        <n v="113.5"/>
        <n v="86.4"/>
        <n v="81.7"/>
        <n v="77.3"/>
        <n v="94.8"/>
        <n v="83.2"/>
        <n v="83.3"/>
        <n v="115.4"/>
        <n v="101.1"/>
        <n v="102.5"/>
        <n v="91.9"/>
        <n v="114.6"/>
        <n v="111.0"/>
        <n v="123.5"/>
        <n v="117.7"/>
        <n v="116.8"/>
        <n v="100.3"/>
        <n v="117.3"/>
        <n v="126.7"/>
        <n v="127.5"/>
        <n v="128.2"/>
        <n v="103.9"/>
        <n v="93.7"/>
        <n v="93.1"/>
        <n v="100.4"/>
        <n v="74.5"/>
        <n v="87.4"/>
        <n v="127.3"/>
        <n v="117.0"/>
        <n v="105.2"/>
        <n v="119.0"/>
        <n v="123.1"/>
        <n v="100.9"/>
        <n v="128.7"/>
        <n v="108.6"/>
        <n v="104.2"/>
        <n v="128.4"/>
        <n v="108.7"/>
        <n v="123.4"/>
        <n v="97.4"/>
        <n v="118.0"/>
        <n v="123.0"/>
        <n v="138.6"/>
        <n v="144.8"/>
        <n v="130.7"/>
        <n v="127.9"/>
        <n v="134.7"/>
        <n v="135.4"/>
        <n v="109.3"/>
        <n v="114.7"/>
        <n v="124.1"/>
        <n v="132.5"/>
        <n v="112.9"/>
        <n v="137.4"/>
        <n v="129.1"/>
        <n v="114.8"/>
        <n v="132.0"/>
        <n v="118.6"/>
        <n v="128.1"/>
        <n v="130.4"/>
        <n v="118.2"/>
        <n v="94.0"/>
        <n v="116.6"/>
        <n v="127.8"/>
        <n v="103.7"/>
        <n v="122.1"/>
        <n v="129.3"/>
        <n v="108.0"/>
        <n v="129.8"/>
        <n v="141.9"/>
        <n v="108.2"/>
        <n v="115.5"/>
        <n v="107.1"/>
        <n v="131.0"/>
        <n v="89.5"/>
        <n v="102.9"/>
        <n v="115.2"/>
        <n v="102.6"/>
        <n v="94.9"/>
        <n v="133.0"/>
        <n v="101.0"/>
        <n v="126.9"/>
        <n v="148.8"/>
        <n v="130.1"/>
        <n v="155.3"/>
        <n v="85.5"/>
        <n v="100.0"/>
        <n v="105.9"/>
        <n v="126.6"/>
        <n v="112.3"/>
        <n v="123.6"/>
        <n v="108.1"/>
        <n v="131.8"/>
        <n v="90.2"/>
        <n v="90.6"/>
        <n v="145.2"/>
        <n v="119.8"/>
        <n v="119.9"/>
        <n v="120.3"/>
        <n v="145.9"/>
        <n v="141.3"/>
        <n v="90.4"/>
        <n v="101.3"/>
        <n v="95.5"/>
        <n v="98.4"/>
        <n v="153.2"/>
        <n v="147.8"/>
        <n v="138.4"/>
        <n v="149.5"/>
        <n v="146.0"/>
        <n v="92.9"/>
        <n v="122.5"/>
        <n v="112.4"/>
        <n v="118.4"/>
        <n v="142.1"/>
        <n v="143.1"/>
        <n v="145.7"/>
        <n v="141.2"/>
        <n v="146.3"/>
        <n v="149.3"/>
        <n v="93.6"/>
        <n v="96.7"/>
        <n v="113.1"/>
        <n v="103.2"/>
        <n v="133.2"/>
        <n v="146.2"/>
        <n v="121.7"/>
        <n v="154.0"/>
        <n v="127.1"/>
        <n v="81.3"/>
        <n v="52.5"/>
        <n v="53.8"/>
        <n v="78.9"/>
        <n v="84.4"/>
        <n v="143.6"/>
        <n v="97.9"/>
        <n v="78.2"/>
        <n v="136.6"/>
        <n v="87.8"/>
        <n v="57.0"/>
        <n v="148.2"/>
        <n v="132.1"/>
        <n v="143.5"/>
        <n v="139.7"/>
        <n v="86.9"/>
        <n v="134.9"/>
        <n v="98.1"/>
        <n v="91.4"/>
        <n v="88.9"/>
        <n v="104.1"/>
        <n v="71.3"/>
        <n v="136.9"/>
        <n v="97.8"/>
        <n v="72.2"/>
        <n v="88.6"/>
        <n v="92.0"/>
        <n v="131.2"/>
        <n v="143.8"/>
        <n v="145.6"/>
        <n v="90.7"/>
        <n v="72.6"/>
        <n v="151.5"/>
        <n v="70.8"/>
        <n v="96.4"/>
        <n v="104.7"/>
        <n v="99.4"/>
        <n v="103.1"/>
        <n v="124.9"/>
        <n v="138.2"/>
        <n v="133.9"/>
        <n v="140.2"/>
        <n v="84.0"/>
        <n v="120.5"/>
        <n v="135.2"/>
        <n v="139.9"/>
        <n v="136.8"/>
        <n v="133.7"/>
        <n v="101.8"/>
        <n v="99.1"/>
        <n v="130.9"/>
        <n v="144.6"/>
        <n v="129.7"/>
        <n v="126.5"/>
        <n v="109.4"/>
        <n v="107.5"/>
        <n v="88.5"/>
        <n v="67.1"/>
        <n v="94.4"/>
        <n v="149.0"/>
        <n v="84.1"/>
        <n v="82.4"/>
        <n v="109.2"/>
        <n v="90.3"/>
        <n v="124.7"/>
        <n v="112.5"/>
        <n v="142.0"/>
        <n v="99.9"/>
        <n v="135.1"/>
        <n v="148.9"/>
        <n v="121.1"/>
        <n v="94.7"/>
        <n v="104.6"/>
        <n v="78.8"/>
        <n v="144.2"/>
        <n v="126.1"/>
        <n v="87.7"/>
        <n v="143.7"/>
        <n v="147.4"/>
        <n v="142.8"/>
        <n v="137.9"/>
        <n v="67.0"/>
        <n v="149.7"/>
        <n v="150.9"/>
        <n v="91.5"/>
        <n v="151.2"/>
        <n v="148.1"/>
        <n v="139.0"/>
        <n v="81.4"/>
        <n v="97.2"/>
        <n v="77.5"/>
        <n v="64.8"/>
        <n v="94.5"/>
        <n v="78.5"/>
        <n v="100.2"/>
        <n v="66.2"/>
        <n v="97.6"/>
        <n v="90.8"/>
        <n v="78.7"/>
        <n v="97.5"/>
        <n v="106.0"/>
        <n v="76.3"/>
        <n v="78.6"/>
        <n v="83.7"/>
        <n v="70.5"/>
        <n v="80.9"/>
        <n v="64.3"/>
        <n v="95.0"/>
        <n v="98.6"/>
        <n v="96.5"/>
        <n v="141.8"/>
        <n v="135.0"/>
        <n v="92.7"/>
        <n v="91.7"/>
        <n v="132.4"/>
        <n v="124.6"/>
        <n v="137.3"/>
        <n v="88.0"/>
        <n v="132.2"/>
        <n v="131.1"/>
        <n v="101.5"/>
        <n v="142.5"/>
        <n v="79.0"/>
        <n v="134.3"/>
        <n v="94.3"/>
        <n v="91.3"/>
        <n v="88.1"/>
        <n v="89.4"/>
        <n v="74.9"/>
        <n v="141.7"/>
        <n v="79.6"/>
        <n v="98.2"/>
        <n v="128.8"/>
        <n v="98.8"/>
        <n v="89.2"/>
        <n v="145.3"/>
        <n v="132.3"/>
        <n v="137.1"/>
        <n v="151.9"/>
        <n v="139.8"/>
        <n v="148.6"/>
        <n v="87.9"/>
        <n v="88.3"/>
        <n v="151.7"/>
        <n v="151.1"/>
        <n v="81.0"/>
        <n v="93.4"/>
        <n v="135.8"/>
        <n v="134.0"/>
        <n v="149.4"/>
        <n v="85.0"/>
        <n v="82.6"/>
        <n v="64.4"/>
        <n v="57.4"/>
        <n v="76.2"/>
        <n v="96.0"/>
        <n v="91.1"/>
        <n v="86.7"/>
        <n v="76.5"/>
        <n v="73.4"/>
        <n v="87.3"/>
        <n v="132.6"/>
        <n v="73.3"/>
        <n v="68.3"/>
        <n v="139.6"/>
        <n v="100.1"/>
        <n v="140.0"/>
        <n v="98.5"/>
        <n v="85.7"/>
        <n v="73.5"/>
        <n v="139.2"/>
        <n v="99.7"/>
        <n v="86.2"/>
        <n v="134.8"/>
        <n v="137.6"/>
        <n v="148.0"/>
        <n v="147.1"/>
        <n v="155.9"/>
        <n v="136.7"/>
        <n v="95.1"/>
        <n v="159.0"/>
        <n v="94.2"/>
        <n v="152.6"/>
        <n v="150.6"/>
        <n v="95.2"/>
        <n v="146.9"/>
        <n v="144.9"/>
        <n v="83.5"/>
        <n v="71.5"/>
        <n v="81.5"/>
        <n v="85.8"/>
        <n v="83.6"/>
        <n v="127.7"/>
        <n v="87.6"/>
        <n v="74.6"/>
        <n v="62.6"/>
        <n v="73.2"/>
        <n v="67.7"/>
      </sharedItems>
    </cacheField>
    <cacheField name="ips_voie_pro" numFmtId="4">
      <sharedItems containsString="0" containsBlank="1" containsNumber="1">
        <n v="77.8"/>
        <n v="93.7"/>
        <m/>
        <n v="83.9"/>
        <n v="80.2"/>
        <n v="96.5"/>
        <n v="72.3"/>
        <n v="73.0"/>
        <n v="91.5"/>
        <n v="94.6"/>
        <n v="77.5"/>
        <n v="84.8"/>
        <n v="83.6"/>
        <n v="92.7"/>
        <n v="91.3"/>
        <n v="108.5"/>
        <n v="121.5"/>
        <n v="95.7"/>
        <n v="88.3"/>
        <n v="78.9"/>
        <n v="92.9"/>
        <n v="74.0"/>
        <n v="78.2"/>
        <n v="79.3"/>
        <n v="96.8"/>
        <n v="90.8"/>
        <n v="78.6"/>
        <n v="84.3"/>
        <n v="87.9"/>
        <n v="95.5"/>
        <n v="87.1"/>
        <n v="67.2"/>
        <n v="77.0"/>
        <n v="70.7"/>
        <n v="86.4"/>
        <n v="81.2"/>
        <n v="86.6"/>
        <n v="73.5"/>
        <n v="91.4"/>
        <n v="92.5"/>
        <n v="72.2"/>
        <n v="83.3"/>
        <n v="81.9"/>
        <n v="91.8"/>
        <n v="89.9"/>
        <n v="96.4"/>
        <n v="106.8"/>
        <n v="90.1"/>
        <n v="89.8"/>
        <n v="91.2"/>
        <n v="86.2"/>
        <n v="90.6"/>
        <n v="103.2"/>
        <n v="82.6"/>
        <n v="112.4"/>
        <n v="95.2"/>
        <n v="96.0"/>
        <n v="86.9"/>
        <n v="95.6"/>
        <n v="84.9"/>
        <n v="82.3"/>
        <n v="89.6"/>
        <n v="85.4"/>
        <n v="88.7"/>
        <n v="92.3"/>
        <n v="81.0"/>
        <n v="80.8"/>
        <n v="88.0"/>
        <n v="81.8"/>
        <n v="86.3"/>
        <n v="85.6"/>
        <n v="82.5"/>
        <n v="85.9"/>
        <n v="94.3"/>
        <n v="83.5"/>
        <n v="107.1"/>
        <n v="99.2"/>
        <n v="93.1"/>
        <n v="69.1"/>
        <n v="88.6"/>
        <n v="83.7"/>
        <n v="84.6"/>
        <n v="86.7"/>
        <n v="103.6"/>
        <n v="110.9"/>
        <n v="87.5"/>
        <n v="85.8"/>
        <n v="91.7"/>
        <n v="100.5"/>
        <n v="88.5"/>
        <n v="88.4"/>
        <n v="100.0"/>
        <n v="83.0"/>
        <n v="97.0"/>
        <n v="93.0"/>
        <n v="81.5"/>
        <n v="79.9"/>
        <n v="90.0"/>
        <n v="95.1"/>
        <n v="100.6"/>
        <n v="102.3"/>
        <n v="93.8"/>
        <n v="88.9"/>
        <n v="83.4"/>
        <n v="87.3"/>
        <n v="80.9"/>
        <n v="87.2"/>
        <n v="98.1"/>
        <n v="83.8"/>
        <n v="69.8"/>
        <n v="81.4"/>
        <n v="121.9"/>
        <n v="93.6"/>
        <n v="96.1"/>
        <n v="91.1"/>
        <n v="95.4"/>
        <n v="87.8"/>
        <n v="85.3"/>
        <n v="98.2"/>
        <n v="93.9"/>
        <n v="99.3"/>
        <n v="83.2"/>
        <n v="80.6"/>
        <n v="95.3"/>
        <n v="91.9"/>
        <n v="97.4"/>
        <n v="85.1"/>
        <n v="78.5"/>
        <n v="102.7"/>
        <n v="107.7"/>
        <n v="87.7"/>
        <n v="95.8"/>
        <n v="79.4"/>
        <n v="81.1"/>
        <n v="74.3"/>
        <n v="78.3"/>
        <n v="93.3"/>
        <n v="89.2"/>
        <n v="75.2"/>
        <n v="82.2"/>
        <n v="97.8"/>
        <n v="70.8"/>
        <n v="75.4"/>
        <n v="85.5"/>
        <n v="73.6"/>
        <n v="90.3"/>
        <n v="100.1"/>
        <n v="76.3"/>
        <n v="75.5"/>
        <n v="82.0"/>
        <n v="69.4"/>
        <n v="79.5"/>
        <n v="63.4"/>
        <n v="63.8"/>
        <n v="78.7"/>
        <n v="68.9"/>
        <n v="70.2"/>
        <n v="74.1"/>
        <n v="83.1"/>
        <n v="82.8"/>
        <n v="114.9"/>
        <n v="93.2"/>
        <n v="73.3"/>
        <n v="84.0"/>
        <n v="87.6"/>
        <n v="77.2"/>
        <n v="78.1"/>
        <n v="69.6"/>
        <n v="73.9"/>
        <n v="75.7"/>
        <n v="80.0"/>
        <n v="104.4"/>
        <n v="105.5"/>
        <n v="75.6"/>
        <n v="85.7"/>
        <n v="94.1"/>
        <n v="102.5"/>
        <n v="95.0"/>
        <n v="104.3"/>
        <n v="93.5"/>
        <n v="73.4"/>
        <n v="77.7"/>
        <n v="86.0"/>
        <n v="76.1"/>
        <n v="94.9"/>
        <n v="113.5"/>
        <n v="77.6"/>
        <n v="106.1"/>
        <n v="92.1"/>
        <n v="75.9"/>
        <n v="92.8"/>
        <n v="82.7"/>
        <n v="120.8"/>
        <n v="97.5"/>
        <n v="89.7"/>
        <n v="77.3"/>
        <n v="94.7"/>
        <n v="103.8"/>
        <n v="76.8"/>
        <n v="61.0"/>
        <n v="87.4"/>
        <n v="99.7"/>
        <n v="113.3"/>
        <n v="73.8"/>
        <n v="100.8"/>
        <n v="94.0"/>
        <n v="89.5"/>
        <n v="90.4"/>
        <n v="108.4"/>
        <n v="90.5"/>
        <n v="131.3"/>
        <n v="87.0"/>
        <n v="90.2"/>
        <n v="82.1"/>
        <n v="102.6"/>
        <n v="88.2"/>
        <n v="98.7"/>
        <n v="97.1"/>
        <n v="105.7"/>
        <n v="105.1"/>
        <n v="105.3"/>
        <n v="84.4"/>
        <n v="78.0"/>
        <n v="92.2"/>
        <n v="89.0"/>
        <n v="95.9"/>
        <n v="117.8"/>
        <n v="123.7"/>
        <n v="120.1"/>
        <n v="72.5"/>
        <n v="108.2"/>
        <n v="71.9"/>
        <n v="80.7"/>
        <n v="85.0"/>
        <n v="84.1"/>
        <n v="110.5"/>
        <n v="80.3"/>
        <n v="125.7"/>
        <n v="71.6"/>
        <n v="85.2"/>
        <n v="79.6"/>
        <n v="71.0"/>
        <n v="74.2"/>
        <n v="66.8"/>
        <n v="67.4"/>
        <n v="54.2"/>
        <n v="74.7"/>
        <n v="68.6"/>
        <n v="65.0"/>
        <n v="62.4"/>
        <n v="64.9"/>
        <n v="66.5"/>
        <n v="67.9"/>
        <n v="65.3"/>
        <n v="66.3"/>
        <n v="98.0"/>
        <n v="100.4"/>
        <n v="81.3"/>
        <n v="96.7"/>
        <n v="99.5"/>
        <n v="106.5"/>
        <n v="97.2"/>
        <n v="89.3"/>
        <n v="96.9"/>
        <n v="73.1"/>
        <n v="79.8"/>
        <n v="98.4"/>
        <n v="109.0"/>
        <n v="103.5"/>
        <n v="101.8"/>
        <n v="64.2"/>
        <n v="71.2"/>
        <n v="68.4"/>
        <n v="71.1"/>
        <n v="81.7"/>
        <n v="60.0"/>
        <n v="84.2"/>
        <n v="92.0"/>
        <n v="88.1"/>
        <n v="79.2"/>
        <n v="88.8"/>
        <n v="96.2"/>
        <n v="104.6"/>
        <n v="97.3"/>
        <n v="77.4"/>
        <n v="86.8"/>
        <n v="90.7"/>
        <n v="80.5"/>
        <n v="106.6"/>
        <n v="103.3"/>
        <n v="114.4"/>
        <n v="91.0"/>
        <n v="101.2"/>
        <n v="107.0"/>
        <n v="101.1"/>
        <n v="73.7"/>
        <n v="89.4"/>
        <n v="99.0"/>
        <n v="101.4"/>
        <n v="89.1"/>
        <n v="101.5"/>
        <n v="109.3"/>
        <n v="110.4"/>
        <n v="104.5"/>
        <n v="84.5"/>
        <n v="103.7"/>
        <n v="100.7"/>
        <n v="94.5"/>
        <n v="79.1"/>
        <n v="94.4"/>
        <n v="96.6"/>
        <n v="79.7"/>
        <n v="92.4"/>
        <n v="98.8"/>
        <n v="82.9"/>
        <n v="68.7"/>
        <n v="69.9"/>
        <n v="112.0"/>
        <n v="72.4"/>
        <n v="71.3"/>
        <n v="76.9"/>
        <n v="77.1"/>
        <n v="114.5"/>
        <n v="68.2"/>
        <n v="70.4"/>
        <n v="66.1"/>
        <n v="68.5"/>
        <n v="70.0"/>
        <n v="90.9"/>
        <n v="80.1"/>
        <n v="98.9"/>
        <n v="86.1"/>
        <n v="111.4"/>
        <n v="100.2"/>
        <n v="100.9"/>
        <n v="82.4"/>
        <n v="75.8"/>
        <n v="78.4"/>
        <n v="107.3"/>
        <n v="118.8"/>
        <n v="76.7"/>
        <n v="134.9"/>
        <n v="119.9"/>
        <n v="111.2"/>
        <n v="84.7"/>
        <n v="77.9"/>
        <n v="104.0"/>
        <n v="86.5"/>
        <n v="108.0"/>
        <n v="80.4"/>
        <n v="98.6"/>
        <n v="97.9"/>
        <n v="106.2"/>
        <n v="100.3"/>
        <n v="76.2"/>
        <n v="112.3"/>
        <n v="109.2"/>
        <n v="108.9"/>
        <n v="112.2"/>
        <n v="108.1"/>
        <n v="108.6"/>
        <n v="71.5"/>
        <n v="72.0"/>
        <n v="113.1"/>
        <n v="49.5"/>
        <n v="75.1"/>
        <n v="66.2"/>
        <n v="55.2"/>
        <n v="64.8"/>
        <n v="72.6"/>
        <n v="60.3"/>
        <n v="59.0"/>
        <n v="74.8"/>
        <n v="71.8"/>
        <n v="92.6"/>
        <n v="63.1"/>
        <n v="94.2"/>
        <n v="70.1"/>
        <n v="75.3"/>
        <n v="103.9"/>
        <n v="99.8"/>
        <n v="99.1"/>
        <n v="81.6"/>
        <n v="101.7"/>
        <n v="97.6"/>
        <n v="94.8"/>
        <n v="79.0"/>
        <n v="93.4"/>
        <n v="115.7"/>
        <n v="105.0"/>
        <n v="91.6"/>
        <n v="107.6"/>
        <n v="118.1"/>
        <n v="66.0"/>
        <n v="121.3"/>
        <n v="105.9"/>
        <n v="98.3"/>
        <n v="107.5"/>
        <n v="103.1"/>
        <n v="99.9"/>
        <n v="71.4"/>
        <n v="64.3"/>
        <n v="70.9"/>
        <n v="112.6"/>
        <n v="67.1"/>
        <n v="70.5"/>
        <n v="76.4"/>
        <n v="103.0"/>
        <n v="76.5"/>
        <n v="114.3"/>
        <n v="118.7"/>
        <n v="78.8"/>
        <n v="76.0"/>
        <n v="122.2"/>
        <n v="74.4"/>
        <n v="120.3"/>
        <n v="108.3"/>
        <n v="101.0"/>
        <n v="113.8"/>
        <n v="118.3"/>
        <n v="110.6"/>
        <n v="73.2"/>
        <n v="111.9"/>
        <n v="102.8"/>
        <n v="128.3"/>
        <n v="107.8"/>
        <n v="106.3"/>
        <n v="74.6"/>
        <n v="125.9"/>
        <n v="101.9"/>
        <n v="127.4"/>
        <n v="111.3"/>
        <n v="70.6"/>
        <n v="62.6"/>
        <n v="68.0"/>
        <n v="67.8"/>
        <n v="61.3"/>
        <n v="106.4"/>
        <n v="98.5"/>
        <n v="67.0"/>
        <n v="110.2"/>
        <n v="102.9"/>
        <n v="97.7"/>
        <n v="102.0"/>
        <n v="74.9"/>
        <n v="74.5"/>
        <n v="101.3"/>
        <n v="75.0"/>
        <n v="69.2"/>
        <n v="68.8"/>
        <n v="71.7"/>
        <n v="67.6"/>
        <n v="109.1"/>
        <n v="111.1"/>
        <n v="70.3"/>
        <n v="135.7"/>
        <n v="113.4"/>
        <n v="127.9"/>
        <n v="124.8"/>
        <n v="56.9"/>
        <n v="65.2"/>
        <n v="62.8"/>
        <n v="62.2"/>
        <n v="65.4"/>
        <n v="72.9"/>
        <n v="58.4"/>
        <n v="102.2"/>
        <n v="72.1"/>
        <n v="61.2"/>
        <n v="69.7"/>
        <n v="76.6"/>
        <n v="111.5"/>
        <n v="109.7"/>
        <n v="105.6"/>
        <n v="109.9"/>
        <n v="109.6"/>
        <n v="96.3"/>
        <n v="102.1"/>
        <n v="110.1"/>
        <n v="106.9"/>
        <n v="64.7"/>
        <n v="102.4"/>
        <n v="106.7"/>
        <n v="107.2"/>
        <n v="67.7"/>
        <n v="122.1"/>
        <n v="113.0"/>
        <n v="114.2"/>
        <n v="110.0"/>
        <n v="125.3"/>
        <n v="119.6"/>
        <n v="104.1"/>
        <n v="110.8"/>
        <n v="72.7"/>
        <n v="120.4"/>
        <n v="55.0"/>
        <n v="53.9"/>
        <n v="66.7"/>
        <n v="65.7"/>
        <n v="61.8"/>
        <n v="60.1"/>
        <n v="62.5"/>
        <n v="61.9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J1:M3610" sheet="données"/>
  </cacheSource>
  <cacheFields>
    <cacheField name="type_de_lycee" numFmtId="0">
      <sharedItems containsBlank="1">
        <s v="LPO"/>
        <s v="LEGT"/>
        <s v="LP"/>
        <m/>
      </sharedItems>
    </cacheField>
    <cacheField name="ips_voie_gt" numFmtId="4">
      <sharedItems containsString="0" containsBlank="1" containsNumber="1">
        <n v="107.2"/>
        <n v="123.8"/>
        <n v="128.5"/>
        <m/>
        <n v="120.1"/>
        <n v="102.2"/>
        <n v="109.8"/>
        <n v="110.2"/>
        <n v="108.9"/>
        <n v="111.9"/>
        <n v="98.3"/>
        <n v="113.2"/>
        <n v="123.2"/>
        <n v="102.4"/>
        <n v="131.6"/>
        <n v="127.2"/>
        <n v="114.4"/>
        <n v="109.6"/>
        <n v="110.5"/>
        <n v="120.4"/>
        <n v="111.3"/>
        <n v="104.3"/>
        <n v="114.2"/>
        <n v="106.7"/>
        <n v="121.9"/>
        <n v="94.1"/>
        <n v="81.9"/>
        <n v="82.8"/>
        <n v="101.7"/>
        <n v="146.8"/>
        <n v="137.7"/>
        <n v="131.9"/>
        <n v="137.2"/>
        <n v="100.6"/>
        <n v="121.5"/>
        <n v="130.8"/>
        <n v="96.8"/>
        <n v="109.0"/>
        <n v="131.7"/>
        <n v="98.9"/>
        <n v="105.4"/>
        <n v="115.6"/>
        <n v="107.9"/>
        <n v="128.9"/>
        <n v="116.1"/>
        <n v="109.7"/>
        <n v="121.2"/>
        <n v="122.7"/>
        <n v="125.1"/>
        <n v="102.8"/>
        <n v="106.8"/>
        <n v="121.4"/>
        <n v="119.3"/>
        <n v="108.3"/>
        <n v="114.0"/>
        <n v="111.6"/>
        <n v="129.9"/>
        <n v="119.7"/>
        <n v="136.5"/>
        <n v="125.6"/>
        <n v="97.1"/>
        <n v="109.1"/>
        <n v="107.0"/>
        <n v="124.5"/>
        <n v="106.3"/>
        <n v="118.5"/>
        <n v="125.9"/>
        <n v="100.5"/>
        <n v="104.8"/>
        <n v="111.1"/>
        <n v="120.7"/>
        <n v="132.7"/>
        <n v="99.3"/>
        <n v="128.0"/>
        <n v="133.3"/>
        <n v="123.7"/>
        <n v="126.3"/>
        <n v="107.8"/>
        <n v="110.8"/>
        <n v="101.6"/>
        <n v="111.8"/>
        <n v="109.9"/>
        <n v="101.2"/>
        <n v="110.1"/>
        <n v="118.3"/>
        <n v="112.8"/>
        <n v="107.6"/>
        <n v="101.4"/>
        <n v="139.4"/>
        <n v="130.6"/>
        <n v="92.3"/>
        <n v="138.1"/>
        <n v="111.4"/>
        <n v="131.5"/>
        <n v="116.0"/>
        <n v="121.8"/>
        <n v="134.6"/>
        <n v="116.2"/>
        <n v="111.7"/>
        <n v="117.8"/>
        <n v="140.9"/>
        <n v="144.7"/>
        <n v="114.9"/>
        <n v="129.4"/>
        <n v="97.7"/>
        <n v="115.3"/>
        <n v="105.8"/>
        <n v="134.2"/>
        <n v="117.5"/>
        <n v="111.5"/>
        <n v="116.3"/>
        <n v="92.6"/>
        <n v="116.4"/>
        <n v="124.3"/>
        <n v="135.7"/>
        <n v="128.6"/>
        <n v="112.7"/>
        <n v="125.2"/>
        <n v="119.1"/>
        <n v="107.7"/>
        <n v="114.5"/>
        <n v="138.7"/>
        <n v="136.3"/>
        <n v="115.9"/>
        <n v="109.5"/>
        <n v="106.2"/>
        <n v="112.1"/>
        <n v="124.8"/>
        <n v="105.5"/>
        <n v="115.7"/>
        <n v="117.9"/>
        <n v="114.1"/>
        <n v="133.8"/>
        <n v="141.1"/>
        <n v="134.1"/>
        <n v="119.4"/>
        <n v="111.2"/>
        <n v="119.6"/>
        <n v="125.0"/>
        <n v="125.5"/>
        <n v="104.0"/>
        <n v="105.3"/>
        <n v="110.0"/>
        <n v="97.0"/>
        <n v="93.9"/>
        <n v="113.4"/>
        <n v="117.2"/>
        <n v="122.4"/>
        <n v="115.0"/>
        <n v="117.1"/>
        <n v="118.1"/>
        <n v="119.2"/>
        <n v="110.4"/>
        <n v="108.4"/>
        <n v="99.0"/>
        <n v="106.9"/>
        <n v="113.9"/>
        <n v="107.4"/>
        <n v="103.5"/>
        <n v="106.6"/>
        <n v="99.8"/>
        <n v="106.5"/>
        <n v="120.6"/>
        <n v="116.9"/>
        <n v="93.8"/>
        <n v="98.7"/>
        <n v="97.3"/>
        <n v="106.1"/>
        <n v="108.5"/>
        <n v="91.8"/>
        <n v="94.6"/>
        <n v="96.1"/>
        <n v="93.2"/>
        <n v="118.7"/>
        <n v="75.1"/>
        <n v="104.9"/>
        <n v="129.0"/>
        <n v="144.5"/>
        <n v="140.4"/>
        <n v="129.2"/>
        <n v="125.7"/>
        <n v="106.4"/>
        <n v="93.0"/>
        <n v="103.6"/>
        <n v="129.5"/>
        <n v="105.7"/>
        <n v="120.8"/>
        <n v="96.3"/>
        <n v="114.3"/>
        <n v="113.3"/>
        <n v="86.8"/>
        <n v="92.8"/>
        <n v="110.6"/>
        <n v="100.7"/>
        <n v="120.2"/>
        <n v="117.6"/>
        <n v="122.2"/>
        <n v="112.0"/>
        <n v="128.3"/>
        <n v="126.4"/>
        <n v="113.7"/>
        <n v="112.2"/>
        <n v="110.9"/>
        <n v="105.0"/>
        <n v="102.0"/>
        <n v="119.5"/>
        <n v="130.3"/>
        <n v="123.9"/>
        <n v="125.3"/>
        <n v="115.1"/>
        <n v="127.4"/>
        <n v="110.7"/>
        <n v="118.8"/>
        <n v="127.0"/>
        <n v="103.4"/>
        <n v="90.5"/>
        <n v="103.3"/>
        <n v="133.5"/>
        <n v="92.2"/>
        <n v="104.4"/>
        <n v="116.5"/>
        <n v="138.0"/>
        <n v="120.9"/>
        <n v="95.6"/>
        <n v="113.8"/>
        <n v="131.3"/>
        <n v="125.8"/>
        <n v="83.8"/>
        <n v="71.0"/>
        <n v="113.0"/>
        <n v="140.6"/>
        <n v="124.2"/>
        <n v="107.3"/>
        <n v="137.0"/>
        <n v="124.0"/>
        <n v="90.9"/>
        <n v="134.4"/>
        <n v="142.3"/>
        <n v="130.5"/>
        <n v="136.1"/>
        <n v="121.0"/>
        <n v="133.4"/>
        <n v="92.4"/>
        <n v="149.8"/>
        <n v="118.9"/>
        <n v="84.8"/>
        <n v="145.8"/>
        <n v="134.5"/>
        <n v="136.0"/>
        <n v="142.9"/>
        <n v="146.1"/>
        <n v="153.0"/>
        <n v="130.2"/>
        <n v="81.2"/>
        <n v="121.6"/>
        <n v="122.0"/>
        <n v="124.4"/>
        <n v="121.3"/>
        <n v="138.8"/>
        <n v="99.5"/>
        <n v="135.5"/>
        <n v="89.6"/>
        <n v="105.6"/>
        <n v="126.2"/>
        <n v="116.7"/>
        <n v="126.8"/>
        <n v="141.5"/>
        <n v="122.3"/>
        <n v="150.5"/>
        <n v="112.6"/>
        <n v="129.6"/>
        <n v="131.4"/>
        <n v="147.3"/>
        <n v="122.9"/>
        <n v="82.9"/>
        <n v="127.6"/>
        <n v="120.0"/>
        <n v="104.5"/>
        <n v="105.1"/>
        <n v="122.8"/>
        <n v="125.4"/>
        <n v="115.8"/>
        <n v="110.3"/>
        <n v="103.0"/>
        <n v="126.0"/>
        <n v="103.8"/>
        <n v="143.0"/>
        <n v="137.8"/>
        <n v="99.6"/>
        <n v="102.7"/>
        <n v="122.6"/>
        <n v="132.8"/>
        <n v="148.4"/>
        <n v="151.3"/>
        <n v="152.1"/>
        <n v="144.0"/>
        <n v="138.3"/>
        <n v="96.6"/>
        <n v="145.4"/>
        <n v="138.5"/>
        <n v="101.9"/>
        <n v="57.1"/>
        <n v="79.8"/>
        <n v="98.0"/>
        <n v="135.9"/>
        <n v="66.3"/>
        <n v="99.2"/>
        <n v="78.3"/>
        <n v="140.1"/>
        <n v="95.4"/>
        <n v="90.1"/>
        <n v="113.6"/>
        <n v="93.5"/>
        <n v="96.9"/>
        <n v="149.2"/>
        <n v="108.8"/>
        <n v="84.5"/>
        <n v="100.8"/>
        <n v="86.3"/>
        <n v="141.0"/>
        <n v="140.7"/>
        <n v="82.7"/>
        <n v="143.2"/>
        <n v="70.9"/>
        <n v="102.1"/>
        <n v="89.3"/>
        <n v="117.4"/>
        <n v="80.6"/>
        <n v="78.1"/>
        <n v="95.7"/>
        <n v="87.1"/>
        <n v="85.3"/>
        <n v="102.3"/>
        <n v="88.2"/>
        <n v="66.4"/>
        <n v="130.0"/>
        <n v="113.5"/>
        <n v="86.4"/>
        <n v="81.7"/>
        <n v="77.3"/>
        <n v="94.8"/>
        <n v="83.2"/>
        <n v="83.3"/>
        <n v="115.4"/>
        <n v="101.1"/>
        <n v="102.5"/>
        <n v="91.9"/>
        <n v="114.6"/>
        <n v="111.0"/>
        <n v="123.5"/>
        <n v="117.7"/>
        <n v="116.8"/>
        <n v="100.3"/>
        <n v="117.3"/>
        <n v="126.7"/>
        <n v="127.5"/>
        <n v="128.2"/>
        <n v="103.9"/>
        <n v="93.7"/>
        <n v="93.1"/>
        <n v="100.4"/>
        <n v="74.5"/>
        <n v="87.4"/>
        <n v="127.3"/>
        <n v="117.0"/>
        <n v="105.2"/>
        <n v="119.0"/>
        <n v="123.1"/>
        <n v="100.9"/>
        <n v="128.7"/>
        <n v="108.6"/>
        <n v="104.2"/>
        <n v="128.4"/>
        <n v="108.7"/>
        <n v="123.4"/>
        <n v="97.4"/>
        <n v="118.0"/>
        <n v="123.0"/>
        <n v="138.6"/>
        <n v="144.8"/>
        <n v="130.7"/>
        <n v="127.9"/>
        <n v="134.7"/>
        <n v="135.4"/>
        <n v="109.3"/>
        <n v="114.7"/>
        <n v="124.1"/>
        <n v="132.5"/>
        <n v="112.9"/>
        <n v="137.4"/>
        <n v="129.1"/>
        <n v="114.8"/>
        <n v="132.0"/>
        <n v="118.6"/>
        <n v="128.1"/>
        <n v="130.4"/>
        <n v="118.2"/>
        <n v="94.0"/>
        <n v="116.6"/>
        <n v="127.8"/>
        <n v="103.7"/>
        <n v="122.1"/>
        <n v="129.3"/>
        <n v="108.0"/>
        <n v="129.8"/>
        <n v="141.9"/>
        <n v="108.2"/>
        <n v="115.5"/>
        <n v="107.1"/>
        <n v="131.0"/>
        <n v="89.5"/>
        <n v="102.9"/>
        <n v="115.2"/>
        <n v="102.6"/>
        <n v="94.9"/>
        <n v="133.0"/>
        <n v="101.0"/>
        <n v="126.9"/>
        <n v="148.8"/>
        <n v="130.1"/>
        <n v="155.3"/>
        <n v="85.5"/>
        <n v="100.0"/>
        <n v="105.9"/>
        <n v="126.6"/>
        <n v="112.3"/>
        <n v="123.6"/>
        <n v="108.1"/>
        <n v="131.8"/>
        <n v="90.2"/>
        <n v="90.6"/>
        <n v="145.2"/>
        <n v="119.8"/>
        <n v="119.9"/>
        <n v="120.3"/>
        <n v="145.9"/>
        <n v="141.3"/>
        <n v="90.4"/>
        <n v="101.3"/>
        <n v="95.5"/>
        <n v="98.4"/>
        <n v="153.2"/>
        <n v="147.8"/>
        <n v="138.4"/>
        <n v="149.5"/>
        <n v="146.0"/>
        <n v="92.9"/>
        <n v="122.5"/>
        <n v="112.4"/>
        <n v="118.4"/>
        <n v="142.1"/>
        <n v="143.1"/>
        <n v="145.7"/>
        <n v="141.2"/>
        <n v="146.3"/>
        <n v="149.3"/>
        <n v="93.6"/>
        <n v="96.7"/>
        <n v="113.1"/>
        <n v="103.2"/>
        <n v="133.2"/>
        <n v="146.2"/>
        <n v="121.7"/>
        <n v="154.0"/>
        <n v="127.1"/>
        <n v="81.3"/>
        <n v="52.5"/>
        <n v="53.8"/>
        <n v="78.9"/>
        <n v="84.4"/>
        <n v="143.6"/>
        <n v="97.9"/>
        <n v="78.2"/>
        <n v="136.6"/>
        <n v="87.8"/>
        <n v="57.0"/>
        <n v="148.2"/>
        <n v="132.1"/>
        <n v="143.5"/>
        <n v="139.7"/>
        <n v="86.9"/>
        <n v="134.9"/>
        <n v="98.1"/>
        <n v="91.4"/>
        <n v="88.9"/>
        <n v="104.1"/>
        <n v="71.3"/>
        <n v="136.9"/>
        <n v="97.8"/>
        <n v="72.2"/>
        <n v="88.6"/>
        <n v="92.0"/>
        <n v="131.2"/>
        <n v="143.8"/>
        <n v="145.6"/>
        <n v="90.7"/>
        <n v="72.6"/>
        <n v="151.5"/>
        <n v="70.8"/>
        <n v="96.4"/>
        <n v="104.7"/>
        <n v="99.4"/>
        <n v="103.1"/>
        <n v="124.9"/>
        <n v="138.2"/>
        <n v="133.9"/>
        <n v="140.2"/>
        <n v="84.0"/>
        <n v="120.5"/>
        <n v="135.2"/>
        <n v="139.9"/>
        <n v="136.8"/>
        <n v="133.7"/>
        <n v="101.8"/>
        <n v="99.1"/>
        <n v="130.9"/>
        <n v="144.6"/>
        <n v="129.7"/>
        <n v="126.5"/>
        <n v="109.4"/>
        <n v="107.5"/>
        <n v="88.5"/>
        <n v="67.1"/>
        <n v="94.4"/>
        <n v="149.0"/>
        <n v="84.1"/>
        <n v="82.4"/>
        <n v="109.2"/>
        <n v="90.3"/>
        <n v="124.7"/>
        <n v="112.5"/>
        <n v="142.0"/>
        <n v="99.9"/>
        <n v="135.1"/>
        <n v="148.9"/>
        <n v="121.1"/>
        <n v="94.7"/>
        <n v="104.6"/>
        <n v="78.8"/>
        <n v="144.2"/>
        <n v="126.1"/>
        <n v="87.7"/>
        <n v="143.7"/>
        <n v="147.4"/>
        <n v="142.8"/>
        <n v="137.9"/>
        <n v="67.0"/>
        <n v="149.7"/>
        <n v="150.9"/>
        <n v="91.5"/>
        <n v="151.2"/>
        <n v="148.1"/>
        <n v="139.0"/>
        <n v="81.4"/>
        <n v="97.2"/>
        <n v="77.5"/>
        <n v="64.8"/>
        <n v="94.5"/>
        <n v="78.5"/>
        <n v="100.2"/>
        <n v="66.2"/>
        <n v="97.6"/>
        <n v="90.8"/>
        <n v="78.7"/>
        <n v="97.5"/>
        <n v="106.0"/>
        <n v="76.3"/>
        <n v="78.6"/>
        <n v="83.7"/>
        <n v="70.5"/>
        <n v="80.9"/>
        <n v="64.3"/>
        <n v="95.0"/>
        <n v="98.6"/>
        <n v="96.5"/>
        <n v="141.8"/>
        <n v="135.0"/>
        <n v="92.7"/>
        <n v="91.7"/>
        <n v="132.4"/>
        <n v="124.6"/>
        <n v="137.3"/>
        <n v="88.0"/>
        <n v="132.2"/>
        <n v="131.1"/>
        <n v="101.5"/>
        <n v="142.5"/>
        <n v="79.0"/>
        <n v="134.3"/>
        <n v="94.3"/>
        <n v="91.3"/>
        <n v="88.1"/>
        <n v="89.4"/>
        <n v="74.9"/>
        <n v="141.7"/>
        <n v="79.6"/>
        <n v="98.2"/>
        <n v="128.8"/>
        <n v="98.8"/>
        <n v="89.2"/>
        <n v="145.3"/>
        <n v="132.3"/>
        <n v="137.1"/>
        <n v="151.9"/>
        <n v="139.8"/>
        <n v="148.6"/>
        <n v="87.9"/>
        <n v="88.3"/>
        <n v="151.7"/>
        <n v="151.1"/>
        <n v="81.0"/>
        <n v="93.4"/>
        <n v="135.8"/>
        <n v="134.0"/>
        <n v="149.4"/>
        <n v="85.0"/>
        <n v="82.6"/>
        <n v="64.4"/>
        <n v="57.4"/>
        <n v="76.2"/>
        <n v="96.0"/>
        <n v="91.1"/>
        <n v="86.7"/>
        <n v="76.5"/>
        <n v="73.4"/>
        <n v="87.3"/>
        <n v="132.6"/>
        <n v="73.3"/>
        <n v="68.3"/>
        <n v="139.6"/>
        <n v="100.1"/>
        <n v="140.0"/>
        <n v="98.5"/>
        <n v="85.7"/>
        <n v="73.5"/>
        <n v="139.2"/>
        <n v="99.7"/>
        <n v="86.2"/>
        <n v="134.8"/>
        <n v="137.6"/>
        <n v="148.0"/>
        <n v="147.1"/>
        <n v="155.9"/>
        <n v="136.7"/>
        <n v="95.1"/>
        <n v="159.0"/>
        <n v="94.2"/>
        <n v="152.6"/>
        <n v="150.6"/>
        <n v="95.2"/>
        <n v="146.9"/>
        <n v="144.9"/>
        <n v="83.5"/>
        <n v="71.5"/>
        <n v="81.5"/>
        <n v="85.8"/>
        <n v="83.6"/>
        <n v="127.7"/>
        <n v="87.6"/>
        <n v="74.6"/>
        <n v="62.6"/>
        <n v="73.2"/>
        <n v="67.7"/>
      </sharedItems>
    </cacheField>
    <cacheField name="ips_voie_pro" numFmtId="4">
      <sharedItems containsString="0" containsBlank="1" containsNumber="1">
        <n v="77.8"/>
        <n v="93.7"/>
        <m/>
        <n v="83.9"/>
        <n v="80.2"/>
        <n v="96.5"/>
        <n v="72.3"/>
        <n v="73.0"/>
        <n v="91.5"/>
        <n v="94.6"/>
        <n v="77.5"/>
        <n v="84.8"/>
        <n v="83.6"/>
        <n v="92.7"/>
        <n v="91.3"/>
        <n v="108.5"/>
        <n v="121.5"/>
        <n v="95.7"/>
        <n v="88.3"/>
        <n v="78.9"/>
        <n v="92.9"/>
        <n v="74.0"/>
        <n v="78.2"/>
        <n v="79.3"/>
        <n v="96.8"/>
        <n v="90.8"/>
        <n v="78.6"/>
        <n v="84.3"/>
        <n v="87.9"/>
        <n v="95.5"/>
        <n v="87.1"/>
        <n v="67.2"/>
        <n v="77.0"/>
        <n v="70.7"/>
        <n v="86.4"/>
        <n v="81.2"/>
        <n v="86.6"/>
        <n v="73.5"/>
        <n v="91.4"/>
        <n v="92.5"/>
        <n v="72.2"/>
        <n v="83.3"/>
        <n v="81.9"/>
        <n v="91.8"/>
        <n v="89.9"/>
        <n v="96.4"/>
        <n v="106.8"/>
        <n v="90.1"/>
        <n v="89.8"/>
        <n v="91.2"/>
        <n v="86.2"/>
        <n v="90.6"/>
        <n v="103.2"/>
        <n v="82.6"/>
        <n v="112.4"/>
        <n v="95.2"/>
        <n v="96.0"/>
        <n v="86.9"/>
        <n v="95.6"/>
        <n v="84.9"/>
        <n v="82.3"/>
        <n v="89.6"/>
        <n v="85.4"/>
        <n v="88.7"/>
        <n v="92.3"/>
        <n v="81.0"/>
        <n v="80.8"/>
        <n v="88.0"/>
        <n v="81.8"/>
        <n v="86.3"/>
        <n v="85.6"/>
        <n v="82.5"/>
        <n v="85.9"/>
        <n v="94.3"/>
        <n v="83.5"/>
        <n v="107.1"/>
        <n v="99.2"/>
        <n v="93.1"/>
        <n v="69.1"/>
        <n v="88.6"/>
        <n v="83.7"/>
        <n v="84.6"/>
        <n v="86.7"/>
        <n v="103.6"/>
        <n v="110.9"/>
        <n v="87.5"/>
        <n v="85.8"/>
        <n v="91.7"/>
        <n v="100.5"/>
        <n v="88.5"/>
        <n v="88.4"/>
        <n v="100.0"/>
        <n v="83.0"/>
        <n v="97.0"/>
        <n v="93.0"/>
        <n v="81.5"/>
        <n v="79.9"/>
        <n v="90.0"/>
        <n v="95.1"/>
        <n v="100.6"/>
        <n v="102.3"/>
        <n v="93.8"/>
        <n v="88.9"/>
        <n v="83.4"/>
        <n v="87.3"/>
        <n v="80.9"/>
        <n v="87.2"/>
        <n v="98.1"/>
        <n v="83.8"/>
        <n v="69.8"/>
        <n v="81.4"/>
        <n v="121.9"/>
        <n v="93.6"/>
        <n v="96.1"/>
        <n v="91.1"/>
        <n v="95.4"/>
        <n v="87.8"/>
        <n v="85.3"/>
        <n v="98.2"/>
        <n v="93.9"/>
        <n v="99.3"/>
        <n v="83.2"/>
        <n v="80.6"/>
        <n v="95.3"/>
        <n v="91.9"/>
        <n v="97.4"/>
        <n v="85.1"/>
        <n v="78.5"/>
        <n v="102.7"/>
        <n v="107.7"/>
        <n v="87.7"/>
        <n v="95.8"/>
        <n v="79.4"/>
        <n v="81.1"/>
        <n v="74.3"/>
        <n v="78.3"/>
        <n v="93.3"/>
        <n v="89.2"/>
        <n v="75.2"/>
        <n v="82.2"/>
        <n v="97.8"/>
        <n v="70.8"/>
        <n v="75.4"/>
        <n v="85.5"/>
        <n v="73.6"/>
        <n v="90.3"/>
        <n v="100.1"/>
        <n v="76.3"/>
        <n v="75.5"/>
        <n v="82.0"/>
        <n v="69.4"/>
        <n v="79.5"/>
        <n v="63.4"/>
        <n v="63.8"/>
        <n v="78.7"/>
        <n v="68.9"/>
        <n v="70.2"/>
        <n v="74.1"/>
        <n v="83.1"/>
        <n v="82.8"/>
        <n v="114.9"/>
        <n v="93.2"/>
        <n v="73.3"/>
        <n v="84.0"/>
        <n v="87.6"/>
        <n v="77.2"/>
        <n v="78.1"/>
        <n v="69.6"/>
        <n v="73.9"/>
        <n v="75.7"/>
        <n v="80.0"/>
        <n v="104.4"/>
        <n v="105.5"/>
        <n v="75.6"/>
        <n v="85.7"/>
        <n v="94.1"/>
        <n v="102.5"/>
        <n v="95.0"/>
        <n v="104.3"/>
        <n v="93.5"/>
        <n v="73.4"/>
        <n v="77.7"/>
        <n v="86.0"/>
        <n v="76.1"/>
        <n v="94.9"/>
        <n v="113.5"/>
        <n v="77.6"/>
        <n v="106.1"/>
        <n v="92.1"/>
        <n v="75.9"/>
        <n v="92.8"/>
        <n v="82.7"/>
        <n v="120.8"/>
        <n v="97.5"/>
        <n v="89.7"/>
        <n v="77.3"/>
        <n v="94.7"/>
        <n v="103.8"/>
        <n v="76.8"/>
        <n v="61.0"/>
        <n v="87.4"/>
        <n v="99.7"/>
        <n v="113.3"/>
        <n v="73.8"/>
        <n v="100.8"/>
        <n v="94.0"/>
        <n v="89.5"/>
        <n v="90.4"/>
        <n v="108.4"/>
        <n v="90.5"/>
        <n v="131.3"/>
        <n v="87.0"/>
        <n v="90.2"/>
        <n v="82.1"/>
        <n v="102.6"/>
        <n v="88.2"/>
        <n v="98.7"/>
        <n v="97.1"/>
        <n v="105.7"/>
        <n v="105.1"/>
        <n v="105.3"/>
        <n v="84.4"/>
        <n v="78.0"/>
        <n v="92.2"/>
        <n v="89.0"/>
        <n v="95.9"/>
        <n v="117.8"/>
        <n v="123.7"/>
        <n v="120.1"/>
        <n v="72.5"/>
        <n v="108.2"/>
        <n v="71.9"/>
        <n v="80.7"/>
        <n v="85.0"/>
        <n v="84.1"/>
        <n v="110.5"/>
        <n v="80.3"/>
        <n v="125.7"/>
        <n v="71.6"/>
        <n v="85.2"/>
        <n v="79.6"/>
        <n v="71.0"/>
        <n v="74.2"/>
        <n v="66.8"/>
        <n v="67.4"/>
        <n v="54.2"/>
        <n v="74.7"/>
        <n v="68.6"/>
        <n v="65.0"/>
        <n v="62.4"/>
        <n v="64.9"/>
        <n v="66.5"/>
        <n v="67.9"/>
        <n v="65.3"/>
        <n v="66.3"/>
        <n v="98.0"/>
        <n v="100.4"/>
        <n v="81.3"/>
        <n v="96.7"/>
        <n v="99.5"/>
        <n v="106.5"/>
        <n v="97.2"/>
        <n v="89.3"/>
        <n v="96.9"/>
        <n v="73.1"/>
        <n v="79.8"/>
        <n v="98.4"/>
        <n v="109.0"/>
        <n v="103.5"/>
        <n v="101.8"/>
        <n v="64.2"/>
        <n v="71.2"/>
        <n v="68.4"/>
        <n v="71.1"/>
        <n v="81.7"/>
        <n v="60.0"/>
        <n v="84.2"/>
        <n v="92.0"/>
        <n v="88.1"/>
        <n v="79.2"/>
        <n v="88.8"/>
        <n v="96.2"/>
        <n v="104.6"/>
        <n v="97.3"/>
        <n v="77.4"/>
        <n v="86.8"/>
        <n v="90.7"/>
        <n v="80.5"/>
        <n v="106.6"/>
        <n v="103.3"/>
        <n v="114.4"/>
        <n v="91.0"/>
        <n v="101.2"/>
        <n v="107.0"/>
        <n v="101.1"/>
        <n v="73.7"/>
        <n v="89.4"/>
        <n v="99.0"/>
        <n v="101.4"/>
        <n v="89.1"/>
        <n v="101.5"/>
        <n v="109.3"/>
        <n v="110.4"/>
        <n v="104.5"/>
        <n v="84.5"/>
        <n v="103.7"/>
        <n v="100.7"/>
        <n v="94.5"/>
        <n v="79.1"/>
        <n v="94.4"/>
        <n v="96.6"/>
        <n v="79.7"/>
        <n v="92.4"/>
        <n v="98.8"/>
        <n v="82.9"/>
        <n v="68.7"/>
        <n v="69.9"/>
        <n v="112.0"/>
        <n v="72.4"/>
        <n v="71.3"/>
        <n v="76.9"/>
        <n v="77.1"/>
        <n v="114.5"/>
        <n v="68.2"/>
        <n v="70.4"/>
        <n v="66.1"/>
        <n v="68.5"/>
        <n v="70.0"/>
        <n v="90.9"/>
        <n v="80.1"/>
        <n v="98.9"/>
        <n v="86.1"/>
        <n v="111.4"/>
        <n v="100.2"/>
        <n v="100.9"/>
        <n v="82.4"/>
        <n v="75.8"/>
        <n v="78.4"/>
        <n v="107.3"/>
        <n v="118.8"/>
        <n v="76.7"/>
        <n v="134.9"/>
        <n v="119.9"/>
        <n v="111.2"/>
        <n v="84.7"/>
        <n v="77.9"/>
        <n v="104.0"/>
        <n v="86.5"/>
        <n v="108.0"/>
        <n v="80.4"/>
        <n v="98.6"/>
        <n v="97.9"/>
        <n v="106.2"/>
        <n v="100.3"/>
        <n v="76.2"/>
        <n v="112.3"/>
        <n v="109.2"/>
        <n v="108.9"/>
        <n v="112.2"/>
        <n v="108.1"/>
        <n v="108.6"/>
        <n v="71.5"/>
        <n v="72.0"/>
        <n v="113.1"/>
        <n v="49.5"/>
        <n v="75.1"/>
        <n v="66.2"/>
        <n v="55.2"/>
        <n v="64.8"/>
        <n v="72.6"/>
        <n v="60.3"/>
        <n v="59.0"/>
        <n v="74.8"/>
        <n v="71.8"/>
        <n v="92.6"/>
        <n v="63.1"/>
        <n v="94.2"/>
        <n v="70.1"/>
        <n v="75.3"/>
        <n v="103.9"/>
        <n v="99.8"/>
        <n v="99.1"/>
        <n v="81.6"/>
        <n v="101.7"/>
        <n v="97.6"/>
        <n v="94.8"/>
        <n v="79.0"/>
        <n v="93.4"/>
        <n v="115.7"/>
        <n v="105.0"/>
        <n v="91.6"/>
        <n v="107.6"/>
        <n v="118.1"/>
        <n v="66.0"/>
        <n v="121.3"/>
        <n v="105.9"/>
        <n v="98.3"/>
        <n v="107.5"/>
        <n v="103.1"/>
        <n v="99.9"/>
        <n v="71.4"/>
        <n v="64.3"/>
        <n v="70.9"/>
        <n v="112.6"/>
        <n v="67.1"/>
        <n v="70.5"/>
        <n v="76.4"/>
        <n v="103.0"/>
        <n v="76.5"/>
        <n v="114.3"/>
        <n v="118.7"/>
        <n v="78.8"/>
        <n v="76.0"/>
        <n v="122.2"/>
        <n v="74.4"/>
        <n v="120.3"/>
        <n v="108.3"/>
        <n v="101.0"/>
        <n v="113.8"/>
        <n v="118.3"/>
        <n v="110.6"/>
        <n v="73.2"/>
        <n v="111.9"/>
        <n v="102.8"/>
        <n v="128.3"/>
        <n v="107.8"/>
        <n v="106.3"/>
        <n v="74.6"/>
        <n v="125.9"/>
        <n v="101.9"/>
        <n v="127.4"/>
        <n v="111.3"/>
        <n v="70.6"/>
        <n v="62.6"/>
        <n v="68.0"/>
        <n v="67.8"/>
        <n v="61.3"/>
        <n v="106.4"/>
        <n v="98.5"/>
        <n v="67.0"/>
        <n v="110.2"/>
        <n v="102.9"/>
        <n v="97.7"/>
        <n v="102.0"/>
        <n v="74.9"/>
        <n v="74.5"/>
        <n v="101.3"/>
        <n v="75.0"/>
        <n v="69.2"/>
        <n v="68.8"/>
        <n v="71.7"/>
        <n v="67.6"/>
        <n v="109.1"/>
        <n v="111.1"/>
        <n v="70.3"/>
        <n v="135.7"/>
        <n v="113.4"/>
        <n v="127.9"/>
        <n v="124.8"/>
        <n v="56.9"/>
        <n v="65.2"/>
        <n v="62.8"/>
        <n v="62.2"/>
        <n v="65.4"/>
        <n v="72.9"/>
        <n v="58.4"/>
        <n v="102.2"/>
        <n v="72.1"/>
        <n v="61.2"/>
        <n v="69.7"/>
        <n v="76.6"/>
        <n v="111.5"/>
        <n v="109.7"/>
        <n v="105.6"/>
        <n v="109.9"/>
        <n v="109.6"/>
        <n v="96.3"/>
        <n v="102.1"/>
        <n v="110.1"/>
        <n v="106.9"/>
        <n v="64.7"/>
        <n v="102.4"/>
        <n v="106.7"/>
        <n v="107.2"/>
        <n v="67.7"/>
        <n v="122.1"/>
        <n v="113.0"/>
        <n v="114.2"/>
        <n v="110.0"/>
        <n v="125.3"/>
        <n v="119.6"/>
        <n v="104.1"/>
        <n v="110.8"/>
        <n v="72.7"/>
        <n v="120.4"/>
        <n v="55.0"/>
        <n v="53.9"/>
        <n v="66.7"/>
        <n v="65.7"/>
        <n v="61.8"/>
        <n v="60.1"/>
        <n v="62.5"/>
        <n v="61.9"/>
      </sharedItems>
    </cacheField>
    <cacheField name="ips_ensemble_gt_pro" numFmtId="4">
      <sharedItems containsString="0" containsBlank="1" containsNumber="1">
        <n v="102.1"/>
        <n v="121.6"/>
        <n v="128.5"/>
        <n v="83.9"/>
        <n v="120.1"/>
        <n v="80.2"/>
        <n v="102.2"/>
        <n v="96.5"/>
        <n v="72.3"/>
        <n v="73.0"/>
        <n v="91.5"/>
        <n v="109.8"/>
        <n v="110.2"/>
        <n v="94.6"/>
        <n v="77.5"/>
        <n v="99.9"/>
        <n v="111.9"/>
        <n v="83.6"/>
        <n v="98.3"/>
        <n v="113.2"/>
        <n v="92.7"/>
        <n v="123.2"/>
        <n v="91.3"/>
        <n v="102.4"/>
        <n v="131.6"/>
        <n v="127.2"/>
        <n v="108.5"/>
        <n v="121.5"/>
        <n v="95.7"/>
        <n v="88.3"/>
        <n v="101.3"/>
        <n v="106.4"/>
        <n v="74.0"/>
        <n v="99.3"/>
        <n v="79.3"/>
        <n v="114.1"/>
        <n v="108.1"/>
        <n v="97.4"/>
        <n v="114.2"/>
        <n v="84.3"/>
        <n v="87.9"/>
        <n v="106.7"/>
        <n v="121.9"/>
        <n v="84.8"/>
        <n v="111.3"/>
        <n v="95.5"/>
        <n v="87.1"/>
        <n v="94.1"/>
        <n v="78.0"/>
        <n v="82.8"/>
        <n v="70.7"/>
        <n v="105.1"/>
        <n v="81.2"/>
        <n v="146.8"/>
        <n v="137.7"/>
        <n v="131.9"/>
        <n v="137.2"/>
        <n v="86.6"/>
        <n v="73.5"/>
        <n v="108.4"/>
        <n v="100.6"/>
        <n v="118.8"/>
        <n v="130.8"/>
        <n v="95.0"/>
        <n v="109.0"/>
        <n v="131.7"/>
        <n v="93.7"/>
        <n v="85.6"/>
        <n v="81.9"/>
        <n v="105.4"/>
        <n v="115.6"/>
        <n v="102.5"/>
        <n v="128.9"/>
        <n v="91.8"/>
        <n v="116.1"/>
        <n v="121.2"/>
        <n v="116.0"/>
        <n v="113.1"/>
        <n v="90.1"/>
        <n v="96.7"/>
        <n v="106.8"/>
        <n v="121.4"/>
        <n v="115.2"/>
        <n v="104.3"/>
        <n v="108.0"/>
        <n v="103.8"/>
        <n v="123.8"/>
        <n v="119.7"/>
        <n v="95.2"/>
        <n v="136.5"/>
        <n v="125.6"/>
        <n v="100.9"/>
        <n v="97.1"/>
        <n v="86.9"/>
        <n v="95.6"/>
        <n v="107.9"/>
        <n v="103.2"/>
        <n v="82.3"/>
        <n v="92.0"/>
        <n v="104.2"/>
        <n v="108.3"/>
        <n v="92.3"/>
        <n v="115.4"/>
        <n v="99.0"/>
        <n v="118.5"/>
        <n v="125.9"/>
        <n v="95.3"/>
        <n v="104.8"/>
        <n v="107.2"/>
        <n v="120.7"/>
        <n v="132.7"/>
        <n v="86.3"/>
        <n v="128.0"/>
        <n v="82.5"/>
        <n v="133.3"/>
        <n v="123.7"/>
        <n v="126.3"/>
        <n v="98.9"/>
        <n v="110.8"/>
        <n v="112.6"/>
        <n v="119.3"/>
        <n v="101.6"/>
        <n v="83.5"/>
        <n v="111.8"/>
        <n v="107.1"/>
        <n v="101.2"/>
        <n v="78.2"/>
        <n v="110.1"/>
        <n v="93.1"/>
        <n v="113.6"/>
        <n v="69.1"/>
        <n v="111.7"/>
        <n v="107.6"/>
        <n v="103.4"/>
        <n v="139.4"/>
        <n v="122.6"/>
        <n v="84.6"/>
        <n v="82.7"/>
        <n v="86.7"/>
        <n v="103.6"/>
        <n v="111.1"/>
        <n v="110.9"/>
        <n v="88.7"/>
        <n v="87.5"/>
        <n v="124.0"/>
        <n v="111.4"/>
        <n v="108.9"/>
        <n v="100.5"/>
        <n v="88.5"/>
        <n v="131.5"/>
        <n v="121.8"/>
        <n v="88.4"/>
        <n v="124.5"/>
        <n v="134.6"/>
        <n v="116.2"/>
        <n v="100.0"/>
        <n v="91.7"/>
        <n v="112.1"/>
        <n v="140.9"/>
        <n v="144.7"/>
        <n v="114.9"/>
        <n v="83.0"/>
        <n v="97.0"/>
        <n v="93.0"/>
        <n v="129.4"/>
        <n v="97.7"/>
        <n v="115.3"/>
        <n v="105.8"/>
        <n v="134.2"/>
        <n v="81.5"/>
        <n v="117.5"/>
        <n v="111.5"/>
        <n v="116.3"/>
        <n v="79.9"/>
        <n v="90.0"/>
        <n v="102.3"/>
        <n v="93.8"/>
        <n v="88.9"/>
        <n v="83.4"/>
        <n v="102.0"/>
        <n v="87.6"/>
        <n v="109.4"/>
        <n v="117.0"/>
        <n v="135.7"/>
        <n v="83.8"/>
        <n v="117.8"/>
        <n v="128.6"/>
        <n v="97.6"/>
        <n v="119.1"/>
        <n v="125.2"/>
        <n v="104.7"/>
        <n v="114.5"/>
        <n v="131.4"/>
        <n v="136.3"/>
        <n v="112.7"/>
        <n v="109.5"/>
        <n v="109.6"/>
        <n v="96.8"/>
        <n v="106.2"/>
        <n v="91.1"/>
        <n v="124.3"/>
        <n v="95.4"/>
        <n v="124.8"/>
        <n v="80.9"/>
        <n v="87.8"/>
        <n v="92.8"/>
        <n v="115.7"/>
        <n v="117.9"/>
        <n v="92.5"/>
        <n v="133.8"/>
        <n v="88.6"/>
        <n v="141.1"/>
        <n v="134.1"/>
        <n v="119.4"/>
        <n v="96.0"/>
        <n v="83.2"/>
        <n v="119.6"/>
        <n v="125.0"/>
        <n v="125.5"/>
        <n v="104.0"/>
        <n v="80.6"/>
        <n v="101.8"/>
        <n v="107.7"/>
        <n v="89.3"/>
        <n v="116.4"/>
        <n v="91.9"/>
        <n v="101.4"/>
        <n v="104.5"/>
        <n v="78.5"/>
        <n v="102.7"/>
        <n v="117.2"/>
        <n v="122.4"/>
        <n v="117.1"/>
        <n v="118.1"/>
        <n v="87.7"/>
        <n v="95.8"/>
        <n v="119.2"/>
        <n v="109.3"/>
        <n v="94.4"/>
        <n v="104.1"/>
        <n v="105.9"/>
        <n v="74.3"/>
        <n v="78.3"/>
        <n v="93.3"/>
        <n v="98.8"/>
        <n v="75.2"/>
        <n v="97.5"/>
        <n v="109.9"/>
        <n v="107.4"/>
        <n v="106.5"/>
        <n v="120.6"/>
        <n v="97.8"/>
        <n v="116.9"/>
        <n v="70.8"/>
        <n v="75.4"/>
        <n v="85.5"/>
        <n v="97.3"/>
        <n v="106.6"/>
        <n v="90.3"/>
        <n v="100.1"/>
        <n v="95.9"/>
        <n v="75.5"/>
        <n v="86.1"/>
        <n v="96.1"/>
        <n v="69.4"/>
        <n v="112.5"/>
        <n v="63.4"/>
        <n v="63.8"/>
        <n v="105.3"/>
        <n v="75.1"/>
        <n v="104.9"/>
        <n v="68.9"/>
        <n v="70.2"/>
        <n v="74.1"/>
        <n v="129.0"/>
        <n v="144.5"/>
        <n v="140.4"/>
        <n v="101.5"/>
        <n v="83.1"/>
        <n v="125.7"/>
        <n v="73.3"/>
        <n v="129.5"/>
        <n v="100.3"/>
        <n v="129.2"/>
        <n v="120.8"/>
        <n v="85.9"/>
        <n v="80.8"/>
        <n v="96.3"/>
        <n v="77.2"/>
        <n v="114.3"/>
        <n v="86.8"/>
        <n v="88.8"/>
        <n v="69.6"/>
        <n v="106.1"/>
        <n v="73.9"/>
        <n v="75.7"/>
        <n v="80.0"/>
        <n v="114.7"/>
        <n v="124.6"/>
        <n v="102.6"/>
        <n v="100.7"/>
        <n v="120.2"/>
        <n v="85.7"/>
        <n v="115.1"/>
        <n v="117.6"/>
        <n v="112.0"/>
        <n v="128.3"/>
        <n v="126.4"/>
        <n v="107.5"/>
        <n v="125.4"/>
        <n v="105.0"/>
        <n v="94.8"/>
        <n v="119.5"/>
        <n v="130.3"/>
        <n v="127.4"/>
        <n v="110.7"/>
        <n v="77.7"/>
        <n v="98.6"/>
        <n v="127.0"/>
        <n v="86.0"/>
        <n v="94.9"/>
        <n v="133.5"/>
        <n v="92.4"/>
        <n v="104.4"/>
        <n v="77.6"/>
        <n v="109.7"/>
        <n v="138.0"/>
        <n v="120.9"/>
        <n v="119.8"/>
        <n v="85.1"/>
        <n v="75.9"/>
        <n v="105.5"/>
        <n v="113.8"/>
        <n v="131.3"/>
        <n v="71.0"/>
        <n v="112.9"/>
        <n v="107.3"/>
        <n v="100.2"/>
        <n v="77.3"/>
        <n v="94.7"/>
        <n v="140.6"/>
        <n v="123.1"/>
        <n v="113.9"/>
        <n v="137.0"/>
        <n v="79.6"/>
        <n v="134.4"/>
        <n v="142.3"/>
        <n v="130.5"/>
        <n v="136.1"/>
        <n v="89.8"/>
        <n v="121.0"/>
        <n v="133.4"/>
        <n v="87.4"/>
        <n v="99.7"/>
        <n v="113.3"/>
        <n v="78.6"/>
        <n v="149.8"/>
        <n v="118.9"/>
        <n v="145.8"/>
        <n v="134.5"/>
        <n v="136.0"/>
        <n v="142.9"/>
        <n v="146.1"/>
        <n v="153.0"/>
        <n v="130.2"/>
        <n v="109.1"/>
        <n v="79.5"/>
        <n v="76.3"/>
        <n v="108.2"/>
        <n v="94.0"/>
        <n v="124.4"/>
        <n v="121.3"/>
        <n v="138.8"/>
        <n v="106.0"/>
        <n v="135.5"/>
        <n v="85.8"/>
        <n v="110.6"/>
        <n v="101.0"/>
        <n v="126.2"/>
        <n v="123.0"/>
        <n v="90.5"/>
        <n v="126.8"/>
        <n v="141.5"/>
        <n v="122.3"/>
        <n v="150.5"/>
        <n v="125.3"/>
        <n v="129.6"/>
        <n v="147.3"/>
        <n v="82.1"/>
        <n v="122.9"/>
        <n v="82.9"/>
        <n v="127.6"/>
        <n v="120.0"/>
        <n v="90.4"/>
        <n v="101.7"/>
        <n v="88.2"/>
        <n v="113.7"/>
        <n v="95.1"/>
        <n v="115.8"/>
        <n v="103.0"/>
        <n v="126.0"/>
        <n v="110.3"/>
        <n v="99.2"/>
        <n v="83.7"/>
        <n v="91.0"/>
        <n v="102.9"/>
        <n v="84.4"/>
        <n v="98.7"/>
        <n v="87.3"/>
        <n v="143.0"/>
        <n v="130.4"/>
        <n v="99.6"/>
        <n v="132.8"/>
        <n v="148.4"/>
        <n v="151.3"/>
        <n v="152.1"/>
        <n v="140.1"/>
        <n v="138.3"/>
        <n v="145.4"/>
        <n v="138.5"/>
        <n v="101.9"/>
        <n v="72.4"/>
        <n v="79.8"/>
        <n v="98.0"/>
        <n v="129.9"/>
        <n v="135.9"/>
        <n v="71.7"/>
        <n v="114.0"/>
        <n v="96.9"/>
        <n v="85.3"/>
        <n v="149.2"/>
        <n v="108.8"/>
        <n v="100.8"/>
        <n v="84.1"/>
        <n v="141.0"/>
        <n v="81.8"/>
        <n v="71.6"/>
        <n v="106.9"/>
        <n v="117.4"/>
        <n v="78.1"/>
        <n v="85.0"/>
        <n v="74.2"/>
        <n v="76.2"/>
        <n v="92.2"/>
        <n v="89.4"/>
        <n v="92.6"/>
        <n v="68.6"/>
        <n v="78.8"/>
        <n v="60.7"/>
        <n v="130.0"/>
        <n v="65.0"/>
        <n v="62.4"/>
        <n v="86.4"/>
        <n v="64.9"/>
        <n v="81.7"/>
        <n v="74.7"/>
        <n v="78.4"/>
        <n v="79.2"/>
        <n v="100.4"/>
        <n v="71.9"/>
        <n v="89.2"/>
        <n v="84.2"/>
        <n v="118.0"/>
        <n v="114.6"/>
        <n v="111.0"/>
        <n v="107.8"/>
        <n v="103.9"/>
        <n v="117.7"/>
        <n v="73.1"/>
        <n v="72.5"/>
        <n v="84.9"/>
        <n v="98.4"/>
        <n v="103.5"/>
        <n v="117.3"/>
        <n v="64.2"/>
        <n v="71.2"/>
        <n v="68.4"/>
        <n v="71.1"/>
        <n v="127.5"/>
        <n v="128.2"/>
        <n v="130.6"/>
        <n v="86.2"/>
        <n v="97.2"/>
        <n v="98.5"/>
        <n v="61.3"/>
        <n v="115.9"/>
        <n v="127.3"/>
        <n v="85.4"/>
        <n v="116.7"/>
        <n v="110.5"/>
        <n v="82.6"/>
        <n v="90.2"/>
        <n v="93.9"/>
        <n v="111.6"/>
        <n v="105.2"/>
        <n v="119.0"/>
        <n v="113.5"/>
        <n v="110.4"/>
        <n v="114.4"/>
        <n v="80.7"/>
        <n v="128.7"/>
        <n v="122.8"/>
        <n v="96.2"/>
        <n v="104.6"/>
        <n v="128.4"/>
        <n v="93.2"/>
        <n v="108.7"/>
        <n v="123.4"/>
        <n v="77.4"/>
        <n v="138.6"/>
        <n v="144.8"/>
        <n v="73.6"/>
        <n v="127.7"/>
        <n v="130.7"/>
        <n v="127.9"/>
        <n v="134.7"/>
        <n v="84.0"/>
        <n v="80.5"/>
        <n v="112.8"/>
        <n v="101.1"/>
        <n v="135.4"/>
        <n v="89.6"/>
        <n v="103.3"/>
        <n v="132.5"/>
        <n v="112.4"/>
        <n v="137.4"/>
        <n v="129.1"/>
        <n v="123.6"/>
        <n v="105.6"/>
        <n v="93.5"/>
        <n v="73.7"/>
        <n v="82.0"/>
        <n v="89.7"/>
        <n v="113.0"/>
        <n v="103.7"/>
        <n v="122.1"/>
        <n v="81.4"/>
        <n v="123.9"/>
        <n v="79.4"/>
        <n v="129.3"/>
        <n v="112.2"/>
        <n v="118.6"/>
        <n v="129.8"/>
        <n v="141.9"/>
        <n v="132.0"/>
        <n v="96.6"/>
        <n v="97.9"/>
        <n v="115.5"/>
        <n v="79.7"/>
        <n v="116.5"/>
        <n v="131.0"/>
        <n v="99.8"/>
        <n v="89.5"/>
        <n v="68.7"/>
        <n v="69.9"/>
        <n v="76.1"/>
        <n v="133.0"/>
        <n v="91.6"/>
        <n v="126.9"/>
        <n v="148.8"/>
        <n v="130.1"/>
        <n v="67.4"/>
        <n v="99.5"/>
        <n v="71.3"/>
        <n v="155.3"/>
        <n v="76.9"/>
        <n v="77.1"/>
        <n v="105.7"/>
        <n v="69.8"/>
        <n v="70.4"/>
        <n v="66.1"/>
        <n v="68.5"/>
        <n v="70.0"/>
        <n v="90.9"/>
        <n v="80.1"/>
        <n v="126.6"/>
        <n v="78.9"/>
        <n v="116.8"/>
        <n v="99.1"/>
        <n v="82.4"/>
        <n v="81.0"/>
        <n v="131.8"/>
        <n v="75.8"/>
        <n v="89.0"/>
        <n v="145.2"/>
        <n v="81.3"/>
        <n v="112.3"/>
        <n v="92.1"/>
        <n v="87.0"/>
        <n v="120.3"/>
        <n v="145.9"/>
        <n v="93.6"/>
        <n v="153.2"/>
        <n v="147.8"/>
        <n v="138.7"/>
        <n v="138.4"/>
        <n v="149.5"/>
        <n v="102.8"/>
        <n v="146.0"/>
        <n v="122.5"/>
        <n v="84.7"/>
        <n v="92.9"/>
        <n v="77.9"/>
        <n v="137.8"/>
        <n v="94.2"/>
        <n v="91.2"/>
        <n v="118.4"/>
        <n v="142.1"/>
        <n v="143.1"/>
        <n v="145.7"/>
        <n v="141.2"/>
        <n v="146.3"/>
        <n v="149.3"/>
        <n v="80.4"/>
        <n v="75.6"/>
        <n v="120.4"/>
        <n v="121.1"/>
        <n v="125.1"/>
        <n v="108.6"/>
        <n v="111.2"/>
        <n v="115.0"/>
        <n v="133.2"/>
        <n v="127.1"/>
        <n v="146.2"/>
        <n v="98.1"/>
        <n v="154.0"/>
        <n v="72.0"/>
        <n v="143.6"/>
        <n v="136.6"/>
        <n v="76.7"/>
        <n v="148.2"/>
        <n v="132.1"/>
        <n v="143.5"/>
        <n v="139.7"/>
        <n v="123.5"/>
        <n v="134.9"/>
        <n v="49.5"/>
        <n v="66.2"/>
        <n v="58.0"/>
        <n v="66.8"/>
        <n v="136.9"/>
        <n v="60.3"/>
        <n v="69.5"/>
        <n v="121.7"/>
        <n v="126.7"/>
        <n v="74.8"/>
        <n v="74.5"/>
        <n v="131.2"/>
        <n v="143.8"/>
        <n v="145.6"/>
        <n v="90.7"/>
        <n v="72.6"/>
        <n v="63.1"/>
        <n v="151.5"/>
        <n v="70.1"/>
        <n v="118.2"/>
        <n v="99.4"/>
        <n v="124.2"/>
        <n v="88.1"/>
        <n v="83.3"/>
        <n v="124.9"/>
        <n v="88.0"/>
        <n v="89.1"/>
        <n v="116.6"/>
        <n v="85.2"/>
        <n v="84.5"/>
        <n v="89.9"/>
        <n v="138.2"/>
        <n v="106.3"/>
        <n v="133.9"/>
        <n v="135.2"/>
        <n v="140.2"/>
        <n v="139.9"/>
        <n v="73.4"/>
        <n v="110.0"/>
        <n v="79.0"/>
        <n v="93.4"/>
        <n v="128.8"/>
        <n v="136.8"/>
        <n v="133.7"/>
        <n v="130.9"/>
        <n v="113.4"/>
        <n v="122.7"/>
        <n v="66.0"/>
        <n v="126.5"/>
        <n v="118.3"/>
        <n v="98.2"/>
        <n v="71.4"/>
        <n v="68.2"/>
        <n v="64.3"/>
        <n v="70.9"/>
        <n v="149.0"/>
        <n v="76.4"/>
        <n v="70.5"/>
        <n v="118.7"/>
        <n v="109.2"/>
        <n v="128.1"/>
        <n v="124.7"/>
        <n v="103.1"/>
        <n v="87.2"/>
        <n v="142.0"/>
        <n v="76.5"/>
        <n v="135.1"/>
        <n v="148.9"/>
        <n v="144.2"/>
        <n v="126.1"/>
        <n v="76.0"/>
        <n v="122.2"/>
        <n v="74.4"/>
        <n v="82.2"/>
        <n v="143.7"/>
        <n v="147.4"/>
        <n v="140.7"/>
        <n v="142.8"/>
        <n v="75.3"/>
        <n v="137.9"/>
        <n v="150.9"/>
        <n v="127.8"/>
        <n v="90.6"/>
        <n v="151.2"/>
        <n v="148.1"/>
        <n v="139.0"/>
        <n v="79.1"/>
        <n v="114.8"/>
        <n v="76.6"/>
        <n v="86.5"/>
        <n v="78.7"/>
        <n v="70.6"/>
        <n v="68.0"/>
        <n v="67.8"/>
        <n v="63.6"/>
        <n v="91.4"/>
        <n v="62.6"/>
        <n v="67.0"/>
        <n v="141.8"/>
        <n v="135.0"/>
        <n v="132.4"/>
        <n v="119.9"/>
        <n v="124.1"/>
        <n v="90.8"/>
        <n v="137.3"/>
        <n v="131.1"/>
        <n v="81.1"/>
        <n v="142.5"/>
        <n v="94.5"/>
        <n v="122.0"/>
        <n v="74.9"/>
        <n v="134.3"/>
        <n v="67.7"/>
        <n v="75.0"/>
        <n v="69.2"/>
        <n v="141.7"/>
        <n v="76.8"/>
        <n v="67.6"/>
        <n v="80.3"/>
        <n v="145.3"/>
        <n v="132.3"/>
        <n v="70.3"/>
        <n v="137.1"/>
        <n v="81.6"/>
        <n v="151.9"/>
        <n v="139.8"/>
        <n v="148.6"/>
        <n v="96.4"/>
        <n v="107.0"/>
        <n v="141.3"/>
        <n v="151.7"/>
        <n v="151.1"/>
        <n v="135.8"/>
        <n v="134.0"/>
        <n v="149.4"/>
        <n v="77.8"/>
        <n v="74.6"/>
        <n v="77.0"/>
        <n v="125.8"/>
        <n v="71.8"/>
        <n v="63.5"/>
        <n v="67.9"/>
        <n v="62.8"/>
        <n v="62.2"/>
        <n v="65.4"/>
        <n v="61.5"/>
        <n v="68.3"/>
        <n v="61.2"/>
        <n v="73.8"/>
        <n v="69.7"/>
        <n v="67.2"/>
        <n v="139.2"/>
        <n v="140.0"/>
        <n v="64.7"/>
        <n v="120.5"/>
        <n v="134.8"/>
        <n v="137.6"/>
        <n v="139.6"/>
        <n v="148.0"/>
        <n v="147.1"/>
        <n v="155.9"/>
        <n v="136.7"/>
        <n v="143.2"/>
        <n v="159.0"/>
        <n v="152.6"/>
        <n v="150.6"/>
        <n v="146.9"/>
        <n v="144.9"/>
        <n v="66.7"/>
        <n v="65.6"/>
        <m/>
        <n v="103.91156085389518"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I1:M3608" sheet="données"/>
  </cacheSource>
  <cacheFields>
    <cacheField name="secteur" numFmtId="0">
      <sharedItems>
        <s v="public"/>
        <s v="privé sous contrat"/>
      </sharedItems>
    </cacheField>
    <cacheField name="type_de_lycee" numFmtId="0">
      <sharedItems>
        <s v="LPO"/>
        <s v="LEGT"/>
        <s v="LP"/>
      </sharedItems>
    </cacheField>
    <cacheField name="ips_voie_gt" numFmtId="4">
      <sharedItems containsString="0" containsBlank="1" containsNumber="1">
        <n v="107.2"/>
        <n v="123.8"/>
        <n v="128.5"/>
        <m/>
        <n v="120.1"/>
        <n v="102.2"/>
        <n v="109.8"/>
        <n v="110.2"/>
        <n v="108.9"/>
        <n v="111.9"/>
        <n v="98.3"/>
        <n v="113.2"/>
        <n v="123.2"/>
        <n v="102.4"/>
        <n v="131.6"/>
        <n v="127.2"/>
        <n v="114.4"/>
        <n v="109.6"/>
        <n v="110.5"/>
        <n v="120.4"/>
        <n v="111.3"/>
        <n v="104.3"/>
        <n v="114.2"/>
        <n v="106.7"/>
        <n v="121.9"/>
        <n v="94.1"/>
        <n v="81.9"/>
        <n v="82.8"/>
        <n v="101.7"/>
        <n v="146.8"/>
        <n v="137.7"/>
        <n v="131.9"/>
        <n v="137.2"/>
        <n v="100.6"/>
        <n v="121.5"/>
        <n v="130.8"/>
        <n v="96.8"/>
        <n v="109.0"/>
        <n v="131.7"/>
        <n v="98.9"/>
        <n v="105.4"/>
        <n v="115.6"/>
        <n v="107.9"/>
        <n v="128.9"/>
        <n v="116.1"/>
        <n v="109.7"/>
        <n v="121.2"/>
        <n v="122.7"/>
        <n v="125.1"/>
        <n v="102.8"/>
        <n v="106.8"/>
        <n v="121.4"/>
        <n v="119.3"/>
        <n v="108.3"/>
        <n v="114.0"/>
        <n v="111.6"/>
        <n v="129.9"/>
        <n v="119.7"/>
        <n v="136.5"/>
        <n v="125.6"/>
        <n v="97.1"/>
        <n v="109.1"/>
        <n v="107.0"/>
        <n v="124.5"/>
        <n v="106.3"/>
        <n v="118.5"/>
        <n v="125.9"/>
        <n v="100.5"/>
        <n v="104.8"/>
        <n v="111.1"/>
        <n v="120.7"/>
        <n v="132.7"/>
        <n v="99.3"/>
        <n v="128.0"/>
        <n v="133.3"/>
        <n v="123.7"/>
        <n v="126.3"/>
        <n v="107.8"/>
        <n v="110.8"/>
        <n v="101.6"/>
        <n v="111.8"/>
        <n v="109.9"/>
        <n v="101.2"/>
        <n v="110.1"/>
        <n v="118.3"/>
        <n v="112.8"/>
        <n v="107.6"/>
        <n v="101.4"/>
        <n v="139.4"/>
        <n v="130.6"/>
        <n v="92.3"/>
        <n v="138.1"/>
        <n v="111.4"/>
        <n v="131.5"/>
        <n v="116.0"/>
        <n v="121.8"/>
        <n v="134.6"/>
        <n v="116.2"/>
        <n v="111.7"/>
        <n v="117.8"/>
        <n v="140.9"/>
        <n v="144.7"/>
        <n v="114.9"/>
        <n v="129.4"/>
        <n v="97.7"/>
        <n v="115.3"/>
        <n v="105.8"/>
        <n v="134.2"/>
        <n v="117.5"/>
        <n v="111.5"/>
        <n v="116.3"/>
        <n v="92.6"/>
        <n v="116.4"/>
        <n v="124.3"/>
        <n v="135.7"/>
        <n v="128.6"/>
        <n v="112.7"/>
        <n v="125.2"/>
        <n v="119.1"/>
        <n v="107.7"/>
        <n v="114.5"/>
        <n v="138.7"/>
        <n v="136.3"/>
        <n v="115.9"/>
        <n v="109.5"/>
        <n v="106.2"/>
        <n v="112.1"/>
        <n v="124.8"/>
        <n v="105.5"/>
        <n v="115.7"/>
        <n v="117.9"/>
        <n v="114.1"/>
        <n v="133.8"/>
        <n v="141.1"/>
        <n v="134.1"/>
        <n v="119.4"/>
        <n v="111.2"/>
        <n v="119.6"/>
        <n v="125.0"/>
        <n v="125.5"/>
        <n v="104.0"/>
        <n v="105.3"/>
        <n v="110.0"/>
        <n v="97.0"/>
        <n v="93.9"/>
        <n v="113.4"/>
        <n v="117.2"/>
        <n v="122.4"/>
        <n v="115.0"/>
        <n v="117.1"/>
        <n v="118.1"/>
        <n v="119.2"/>
        <n v="110.4"/>
        <n v="108.4"/>
        <n v="99.0"/>
        <n v="106.9"/>
        <n v="113.9"/>
        <n v="107.4"/>
        <n v="103.5"/>
        <n v="106.6"/>
        <n v="99.8"/>
        <n v="106.5"/>
        <n v="120.6"/>
        <n v="116.9"/>
        <n v="93.8"/>
        <n v="98.7"/>
        <n v="97.3"/>
        <n v="106.1"/>
        <n v="108.5"/>
        <n v="91.8"/>
        <n v="94.6"/>
        <n v="96.1"/>
        <n v="93.2"/>
        <n v="118.7"/>
        <n v="75.1"/>
        <n v="104.9"/>
        <n v="129.0"/>
        <n v="144.5"/>
        <n v="140.4"/>
        <n v="129.2"/>
        <n v="125.7"/>
        <n v="106.4"/>
        <n v="93.0"/>
        <n v="103.6"/>
        <n v="129.5"/>
        <n v="105.7"/>
        <n v="120.8"/>
        <n v="96.3"/>
        <n v="114.3"/>
        <n v="113.3"/>
        <n v="86.8"/>
        <n v="92.8"/>
        <n v="110.6"/>
        <n v="100.7"/>
        <n v="120.2"/>
        <n v="117.6"/>
        <n v="122.2"/>
        <n v="112.0"/>
        <n v="128.3"/>
        <n v="126.4"/>
        <n v="113.7"/>
        <n v="112.2"/>
        <n v="110.9"/>
        <n v="105.0"/>
        <n v="102.0"/>
        <n v="119.5"/>
        <n v="130.3"/>
        <n v="123.9"/>
        <n v="125.3"/>
        <n v="115.1"/>
        <n v="127.4"/>
        <n v="110.7"/>
        <n v="118.8"/>
        <n v="127.0"/>
        <n v="103.4"/>
        <n v="90.5"/>
        <n v="103.3"/>
        <n v="133.5"/>
        <n v="92.2"/>
        <n v="104.4"/>
        <n v="116.5"/>
        <n v="138.0"/>
        <n v="120.9"/>
        <n v="95.6"/>
        <n v="113.8"/>
        <n v="131.3"/>
        <n v="125.8"/>
        <n v="83.8"/>
        <n v="71.0"/>
        <n v="113.0"/>
        <n v="140.6"/>
        <n v="124.2"/>
        <n v="107.3"/>
        <n v="137.0"/>
        <n v="124.0"/>
        <n v="90.9"/>
        <n v="134.4"/>
        <n v="142.3"/>
        <n v="130.5"/>
        <n v="136.1"/>
        <n v="121.0"/>
        <n v="133.4"/>
        <n v="92.4"/>
        <n v="149.8"/>
        <n v="118.9"/>
        <n v="84.8"/>
        <n v="145.8"/>
        <n v="134.5"/>
        <n v="136.0"/>
        <n v="142.9"/>
        <n v="146.1"/>
        <n v="153.0"/>
        <n v="130.2"/>
        <n v="81.2"/>
        <n v="121.6"/>
        <n v="122.0"/>
        <n v="124.4"/>
        <n v="121.3"/>
        <n v="138.8"/>
        <n v="99.5"/>
        <n v="135.5"/>
        <n v="89.6"/>
        <n v="105.6"/>
        <n v="126.2"/>
        <n v="116.7"/>
        <n v="126.8"/>
        <n v="141.5"/>
        <n v="122.3"/>
        <n v="150.5"/>
        <n v="112.6"/>
        <n v="129.6"/>
        <n v="131.4"/>
        <n v="147.3"/>
        <n v="122.9"/>
        <n v="82.9"/>
        <n v="127.6"/>
        <n v="120.0"/>
        <n v="104.5"/>
        <n v="105.1"/>
        <n v="122.8"/>
        <n v="125.4"/>
        <n v="115.8"/>
        <n v="110.3"/>
        <n v="103.0"/>
        <n v="126.0"/>
        <n v="103.8"/>
        <n v="143.0"/>
        <n v="137.8"/>
        <n v="99.6"/>
        <n v="102.7"/>
        <n v="122.6"/>
        <n v="132.8"/>
        <n v="148.4"/>
        <n v="151.3"/>
        <n v="152.1"/>
        <n v="144.0"/>
        <n v="138.3"/>
        <n v="96.6"/>
        <n v="145.4"/>
        <n v="138.5"/>
        <n v="101.9"/>
        <n v="57.1"/>
        <n v="79.8"/>
        <n v="98.0"/>
        <n v="135.9"/>
        <n v="66.3"/>
        <n v="99.2"/>
        <n v="78.3"/>
        <n v="140.1"/>
        <n v="95.4"/>
        <n v="90.1"/>
        <n v="113.6"/>
        <n v="93.5"/>
        <n v="96.9"/>
        <n v="149.2"/>
        <n v="108.8"/>
        <n v="84.5"/>
        <n v="100.8"/>
        <n v="86.3"/>
        <n v="141.0"/>
        <n v="140.7"/>
        <n v="82.7"/>
        <n v="143.2"/>
        <n v="70.9"/>
        <n v="102.1"/>
        <n v="89.3"/>
        <n v="117.4"/>
        <n v="80.6"/>
        <n v="78.1"/>
        <n v="95.7"/>
        <n v="87.1"/>
        <n v="85.3"/>
        <n v="102.3"/>
        <n v="88.2"/>
        <n v="66.4"/>
        <n v="130.0"/>
        <n v="113.5"/>
        <n v="86.4"/>
        <n v="81.7"/>
        <n v="77.3"/>
        <n v="94.8"/>
        <n v="83.2"/>
        <n v="83.3"/>
        <n v="115.4"/>
        <n v="101.1"/>
        <n v="102.5"/>
        <n v="91.9"/>
        <n v="114.6"/>
        <n v="111.0"/>
        <n v="123.5"/>
        <n v="117.7"/>
        <n v="116.8"/>
        <n v="100.3"/>
        <n v="117.3"/>
        <n v="126.7"/>
        <n v="127.5"/>
        <n v="128.2"/>
        <n v="103.9"/>
        <n v="93.7"/>
        <n v="93.1"/>
        <n v="100.4"/>
        <n v="74.5"/>
        <n v="87.4"/>
        <n v="127.3"/>
        <n v="117.0"/>
        <n v="105.2"/>
        <n v="119.0"/>
        <n v="123.1"/>
        <n v="100.9"/>
        <n v="128.7"/>
        <n v="108.6"/>
        <n v="104.2"/>
        <n v="128.4"/>
        <n v="108.7"/>
        <n v="123.4"/>
        <n v="97.4"/>
        <n v="118.0"/>
        <n v="123.0"/>
        <n v="138.6"/>
        <n v="144.8"/>
        <n v="130.7"/>
        <n v="127.9"/>
        <n v="134.7"/>
        <n v="135.4"/>
        <n v="109.3"/>
        <n v="114.7"/>
        <n v="124.1"/>
        <n v="132.5"/>
        <n v="112.9"/>
        <n v="137.4"/>
        <n v="129.1"/>
        <n v="114.8"/>
        <n v="132.0"/>
        <n v="118.6"/>
        <n v="128.1"/>
        <n v="130.4"/>
        <n v="118.2"/>
        <n v="94.0"/>
        <n v="116.6"/>
        <n v="127.8"/>
        <n v="103.7"/>
        <n v="122.1"/>
        <n v="129.3"/>
        <n v="108.0"/>
        <n v="129.8"/>
        <n v="141.9"/>
        <n v="108.2"/>
        <n v="115.5"/>
        <n v="107.1"/>
        <n v="131.0"/>
        <n v="89.5"/>
        <n v="102.9"/>
        <n v="115.2"/>
        <n v="102.6"/>
        <n v="94.9"/>
        <n v="133.0"/>
        <n v="101.0"/>
        <n v="126.9"/>
        <n v="148.8"/>
        <n v="130.1"/>
        <n v="155.3"/>
        <n v="85.5"/>
        <n v="100.0"/>
        <n v="105.9"/>
        <n v="126.6"/>
        <n v="112.3"/>
        <n v="123.6"/>
        <n v="108.1"/>
        <n v="131.8"/>
        <n v="90.2"/>
        <n v="90.6"/>
        <n v="145.2"/>
        <n v="119.8"/>
        <n v="119.9"/>
        <n v="120.3"/>
        <n v="145.9"/>
        <n v="141.3"/>
        <n v="90.4"/>
        <n v="101.3"/>
        <n v="95.5"/>
        <n v="98.4"/>
        <n v="153.2"/>
        <n v="147.8"/>
        <n v="138.4"/>
        <n v="149.5"/>
        <n v="146.0"/>
        <n v="92.9"/>
        <n v="122.5"/>
        <n v="112.4"/>
        <n v="118.4"/>
        <n v="142.1"/>
        <n v="143.1"/>
        <n v="145.7"/>
        <n v="141.2"/>
        <n v="146.3"/>
        <n v="149.3"/>
        <n v="93.6"/>
        <n v="96.7"/>
        <n v="113.1"/>
        <n v="103.2"/>
        <n v="133.2"/>
        <n v="146.2"/>
        <n v="121.7"/>
        <n v="154.0"/>
        <n v="127.1"/>
        <n v="81.3"/>
        <n v="52.5"/>
        <n v="53.8"/>
        <n v="78.9"/>
        <n v="84.4"/>
        <n v="143.6"/>
        <n v="97.9"/>
        <n v="78.2"/>
        <n v="136.6"/>
        <n v="87.8"/>
        <n v="57.0"/>
        <n v="148.2"/>
        <n v="132.1"/>
        <n v="143.5"/>
        <n v="139.7"/>
        <n v="86.9"/>
        <n v="134.9"/>
        <n v="98.1"/>
        <n v="91.4"/>
        <n v="88.9"/>
        <n v="104.1"/>
        <n v="71.3"/>
        <n v="136.9"/>
        <n v="97.8"/>
        <n v="72.2"/>
        <n v="88.6"/>
        <n v="92.0"/>
        <n v="131.2"/>
        <n v="143.8"/>
        <n v="145.6"/>
        <n v="90.7"/>
        <n v="72.6"/>
        <n v="151.5"/>
        <n v="70.8"/>
        <n v="96.4"/>
        <n v="104.7"/>
        <n v="99.4"/>
        <n v="103.1"/>
        <n v="124.9"/>
        <n v="138.2"/>
        <n v="133.9"/>
        <n v="140.2"/>
        <n v="84.0"/>
        <n v="120.5"/>
        <n v="135.2"/>
        <n v="139.9"/>
        <n v="136.8"/>
        <n v="133.7"/>
        <n v="101.8"/>
        <n v="99.1"/>
        <n v="130.9"/>
        <n v="144.6"/>
        <n v="129.7"/>
        <n v="126.5"/>
        <n v="109.4"/>
        <n v="107.5"/>
        <n v="88.5"/>
        <n v="67.1"/>
        <n v="94.4"/>
        <n v="149.0"/>
        <n v="84.1"/>
        <n v="82.4"/>
        <n v="109.2"/>
        <n v="90.3"/>
        <n v="124.7"/>
        <n v="112.5"/>
        <n v="142.0"/>
        <n v="99.9"/>
        <n v="135.1"/>
        <n v="148.9"/>
        <n v="121.1"/>
        <n v="94.7"/>
        <n v="104.6"/>
        <n v="78.8"/>
        <n v="144.2"/>
        <n v="126.1"/>
        <n v="87.7"/>
        <n v="143.7"/>
        <n v="147.4"/>
        <n v="142.8"/>
        <n v="137.9"/>
        <n v="67.0"/>
        <n v="149.7"/>
        <n v="150.9"/>
        <n v="91.5"/>
        <n v="151.2"/>
        <n v="148.1"/>
        <n v="139.0"/>
        <n v="81.4"/>
        <n v="97.2"/>
        <n v="77.5"/>
        <n v="64.8"/>
        <n v="94.5"/>
        <n v="78.5"/>
        <n v="100.2"/>
        <n v="66.2"/>
        <n v="97.6"/>
        <n v="90.8"/>
        <n v="78.7"/>
        <n v="97.5"/>
        <n v="106.0"/>
        <n v="76.3"/>
        <n v="78.6"/>
        <n v="83.7"/>
        <n v="70.5"/>
        <n v="80.9"/>
        <n v="64.3"/>
        <n v="95.0"/>
        <n v="98.6"/>
        <n v="96.5"/>
        <n v="141.8"/>
        <n v="135.0"/>
        <n v="92.7"/>
        <n v="91.7"/>
        <n v="132.4"/>
        <n v="124.6"/>
        <n v="137.3"/>
        <n v="88.0"/>
        <n v="132.2"/>
        <n v="131.1"/>
        <n v="101.5"/>
        <n v="142.5"/>
        <n v="79.0"/>
        <n v="134.3"/>
        <n v="94.3"/>
        <n v="91.3"/>
        <n v="88.1"/>
        <n v="89.4"/>
        <n v="74.9"/>
        <n v="141.7"/>
        <n v="79.6"/>
        <n v="98.2"/>
        <n v="128.8"/>
        <n v="98.8"/>
        <n v="89.2"/>
        <n v="145.3"/>
        <n v="132.3"/>
        <n v="137.1"/>
        <n v="151.9"/>
        <n v="139.8"/>
        <n v="148.6"/>
        <n v="87.9"/>
        <n v="88.3"/>
        <n v="151.7"/>
        <n v="151.1"/>
        <n v="81.0"/>
        <n v="93.4"/>
        <n v="135.8"/>
        <n v="134.0"/>
        <n v="149.4"/>
        <n v="85.0"/>
        <n v="82.6"/>
        <n v="64.4"/>
        <n v="57.4"/>
        <n v="76.2"/>
        <n v="96.0"/>
        <n v="91.1"/>
        <n v="86.7"/>
        <n v="76.5"/>
        <n v="73.4"/>
        <n v="87.3"/>
        <n v="132.6"/>
        <n v="73.3"/>
        <n v="68.3"/>
        <n v="139.6"/>
        <n v="100.1"/>
        <n v="140.0"/>
        <n v="98.5"/>
        <n v="85.7"/>
        <n v="73.5"/>
        <n v="139.2"/>
        <n v="99.7"/>
        <n v="86.2"/>
        <n v="134.8"/>
        <n v="137.6"/>
        <n v="148.0"/>
        <n v="147.1"/>
        <n v="155.9"/>
        <n v="136.7"/>
        <n v="95.1"/>
        <n v="159.0"/>
        <n v="94.2"/>
        <n v="152.6"/>
        <n v="150.6"/>
        <n v="95.2"/>
        <n v="146.9"/>
        <n v="144.9"/>
        <n v="83.5"/>
        <n v="71.5"/>
        <n v="81.5"/>
        <n v="85.8"/>
        <n v="83.6"/>
        <n v="127.7"/>
        <n v="87.6"/>
        <n v="74.6"/>
        <n v="62.6"/>
        <n v="73.2"/>
        <n v="67.7"/>
      </sharedItems>
    </cacheField>
    <cacheField name="ips_voie_pro" numFmtId="4">
      <sharedItems containsString="0" containsBlank="1" containsNumber="1">
        <n v="77.8"/>
        <n v="93.7"/>
        <m/>
        <n v="83.9"/>
        <n v="80.2"/>
        <n v="96.5"/>
        <n v="72.3"/>
        <n v="73.0"/>
        <n v="91.5"/>
        <n v="94.6"/>
        <n v="77.5"/>
        <n v="84.8"/>
        <n v="83.6"/>
        <n v="92.7"/>
        <n v="91.3"/>
        <n v="108.5"/>
        <n v="121.5"/>
        <n v="95.7"/>
        <n v="88.3"/>
        <n v="78.9"/>
        <n v="92.9"/>
        <n v="74.0"/>
        <n v="78.2"/>
        <n v="79.3"/>
        <n v="96.8"/>
        <n v="90.8"/>
        <n v="78.6"/>
        <n v="84.3"/>
        <n v="87.9"/>
        <n v="95.5"/>
        <n v="87.1"/>
        <n v="67.2"/>
        <n v="77.0"/>
        <n v="70.7"/>
        <n v="86.4"/>
        <n v="81.2"/>
        <n v="86.6"/>
        <n v="73.5"/>
        <n v="91.4"/>
        <n v="92.5"/>
        <n v="72.2"/>
        <n v="83.3"/>
        <n v="81.9"/>
        <n v="91.8"/>
        <n v="89.9"/>
        <n v="96.4"/>
        <n v="106.8"/>
        <n v="90.1"/>
        <n v="89.8"/>
        <n v="91.2"/>
        <n v="86.2"/>
        <n v="90.6"/>
        <n v="103.2"/>
        <n v="82.6"/>
        <n v="112.4"/>
        <n v="95.2"/>
        <n v="96.0"/>
        <n v="86.9"/>
        <n v="95.6"/>
        <n v="84.9"/>
        <n v="82.3"/>
        <n v="89.6"/>
        <n v="85.4"/>
        <n v="88.7"/>
        <n v="92.3"/>
        <n v="81.0"/>
        <n v="80.8"/>
        <n v="88.0"/>
        <n v="81.8"/>
        <n v="86.3"/>
        <n v="85.6"/>
        <n v="82.5"/>
        <n v="85.9"/>
        <n v="94.3"/>
        <n v="83.5"/>
        <n v="107.1"/>
        <n v="99.2"/>
        <n v="93.1"/>
        <n v="69.1"/>
        <n v="88.6"/>
        <n v="83.7"/>
        <n v="84.6"/>
        <n v="86.7"/>
        <n v="103.6"/>
        <n v="110.9"/>
        <n v="87.5"/>
        <n v="85.8"/>
        <n v="91.7"/>
        <n v="100.5"/>
        <n v="88.5"/>
        <n v="88.4"/>
        <n v="100.0"/>
        <n v="83.0"/>
        <n v="97.0"/>
        <n v="93.0"/>
        <n v="81.5"/>
        <n v="79.9"/>
        <n v="90.0"/>
        <n v="95.1"/>
        <n v="100.6"/>
        <n v="102.3"/>
        <n v="93.8"/>
        <n v="88.9"/>
        <n v="83.4"/>
        <n v="87.3"/>
        <n v="80.9"/>
        <n v="87.2"/>
        <n v="98.1"/>
        <n v="83.8"/>
        <n v="69.8"/>
        <n v="81.4"/>
        <n v="121.9"/>
        <n v="93.6"/>
        <n v="96.1"/>
        <n v="91.1"/>
        <n v="95.4"/>
        <n v="87.8"/>
        <n v="85.3"/>
        <n v="98.2"/>
        <n v="93.9"/>
        <n v="99.3"/>
        <n v="83.2"/>
        <n v="80.6"/>
        <n v="95.3"/>
        <n v="91.9"/>
        <n v="97.4"/>
        <n v="85.1"/>
        <n v="78.5"/>
        <n v="102.7"/>
        <n v="107.7"/>
        <n v="87.7"/>
        <n v="95.8"/>
        <n v="79.4"/>
        <n v="81.1"/>
        <n v="74.3"/>
        <n v="78.3"/>
        <n v="93.3"/>
        <n v="89.2"/>
        <n v="75.2"/>
        <n v="82.2"/>
        <n v="97.8"/>
        <n v="70.8"/>
        <n v="75.4"/>
        <n v="85.5"/>
        <n v="73.6"/>
        <n v="90.3"/>
        <n v="100.1"/>
        <n v="76.3"/>
        <n v="75.5"/>
        <n v="82.0"/>
        <n v="69.4"/>
        <n v="79.5"/>
        <n v="63.4"/>
        <n v="63.8"/>
        <n v="78.7"/>
        <n v="68.9"/>
        <n v="70.2"/>
        <n v="74.1"/>
        <n v="83.1"/>
        <n v="82.8"/>
        <n v="114.9"/>
        <n v="93.2"/>
        <n v="73.3"/>
        <n v="84.0"/>
        <n v="87.6"/>
        <n v="77.2"/>
        <n v="78.1"/>
        <n v="69.6"/>
        <n v="73.9"/>
        <n v="75.7"/>
        <n v="80.0"/>
        <n v="104.4"/>
        <n v="105.5"/>
        <n v="75.6"/>
        <n v="85.7"/>
        <n v="94.1"/>
        <n v="102.5"/>
        <n v="95.0"/>
        <n v="104.3"/>
        <n v="93.5"/>
        <n v="73.4"/>
        <n v="77.7"/>
        <n v="86.0"/>
        <n v="76.1"/>
        <n v="94.9"/>
        <n v="113.5"/>
        <n v="77.6"/>
        <n v="106.1"/>
        <n v="92.1"/>
        <n v="75.9"/>
        <n v="92.8"/>
        <n v="82.7"/>
        <n v="120.8"/>
        <n v="97.5"/>
        <n v="89.7"/>
        <n v="77.3"/>
        <n v="94.7"/>
        <n v="103.8"/>
        <n v="76.8"/>
        <n v="61.0"/>
        <n v="87.4"/>
        <n v="99.7"/>
        <n v="113.3"/>
        <n v="73.8"/>
        <n v="100.8"/>
        <n v="94.0"/>
        <n v="89.5"/>
        <n v="90.4"/>
        <n v="108.4"/>
        <n v="90.5"/>
        <n v="131.3"/>
        <n v="87.0"/>
        <n v="90.2"/>
        <n v="82.1"/>
        <n v="102.6"/>
        <n v="88.2"/>
        <n v="98.7"/>
        <n v="97.1"/>
        <n v="105.7"/>
        <n v="105.1"/>
        <n v="105.3"/>
        <n v="84.4"/>
        <n v="78.0"/>
        <n v="92.2"/>
        <n v="89.0"/>
        <n v="95.9"/>
        <n v="117.8"/>
        <n v="123.7"/>
        <n v="120.1"/>
        <n v="72.5"/>
        <n v="108.2"/>
        <n v="71.9"/>
        <n v="80.7"/>
        <n v="85.0"/>
        <n v="84.1"/>
        <n v="110.5"/>
        <n v="80.3"/>
        <n v="125.7"/>
        <n v="71.6"/>
        <n v="85.2"/>
        <n v="79.6"/>
        <n v="71.0"/>
        <n v="74.2"/>
        <n v="66.8"/>
        <n v="67.4"/>
        <n v="54.2"/>
        <n v="74.7"/>
        <n v="68.6"/>
        <n v="65.0"/>
        <n v="62.4"/>
        <n v="64.9"/>
        <n v="66.5"/>
        <n v="67.9"/>
        <n v="65.3"/>
        <n v="66.3"/>
        <n v="98.0"/>
        <n v="100.4"/>
        <n v="81.3"/>
        <n v="96.7"/>
        <n v="99.5"/>
        <n v="106.5"/>
        <n v="97.2"/>
        <n v="89.3"/>
        <n v="96.9"/>
        <n v="73.1"/>
        <n v="79.8"/>
        <n v="98.4"/>
        <n v="109.0"/>
        <n v="103.5"/>
        <n v="101.8"/>
        <n v="64.2"/>
        <n v="71.2"/>
        <n v="68.4"/>
        <n v="71.1"/>
        <n v="81.7"/>
        <n v="60.0"/>
        <n v="84.2"/>
        <n v="92.0"/>
        <n v="88.1"/>
        <n v="79.2"/>
        <n v="88.8"/>
        <n v="96.2"/>
        <n v="104.6"/>
        <n v="97.3"/>
        <n v="77.4"/>
        <n v="86.8"/>
        <n v="90.7"/>
        <n v="80.5"/>
        <n v="106.6"/>
        <n v="103.3"/>
        <n v="114.4"/>
        <n v="91.0"/>
        <n v="101.2"/>
        <n v="107.0"/>
        <n v="101.1"/>
        <n v="73.7"/>
        <n v="89.4"/>
        <n v="99.0"/>
        <n v="101.4"/>
        <n v="89.1"/>
        <n v="101.5"/>
        <n v="109.3"/>
        <n v="110.4"/>
        <n v="104.5"/>
        <n v="84.5"/>
        <n v="103.7"/>
        <n v="100.7"/>
        <n v="94.5"/>
        <n v="79.1"/>
        <n v="94.4"/>
        <n v="96.6"/>
        <n v="79.7"/>
        <n v="92.4"/>
        <n v="98.8"/>
        <n v="82.9"/>
        <n v="68.7"/>
        <n v="69.9"/>
        <n v="112.0"/>
        <n v="72.4"/>
        <n v="71.3"/>
        <n v="76.9"/>
        <n v="77.1"/>
        <n v="114.5"/>
        <n v="68.2"/>
        <n v="70.4"/>
        <n v="66.1"/>
        <n v="68.5"/>
        <n v="70.0"/>
        <n v="90.9"/>
        <n v="80.1"/>
        <n v="98.9"/>
        <n v="86.1"/>
        <n v="111.4"/>
        <n v="100.2"/>
        <n v="100.9"/>
        <n v="82.4"/>
        <n v="75.8"/>
        <n v="78.4"/>
        <n v="107.3"/>
        <n v="118.8"/>
        <n v="76.7"/>
        <n v="134.9"/>
        <n v="119.9"/>
        <n v="111.2"/>
        <n v="84.7"/>
        <n v="77.9"/>
        <n v="104.0"/>
        <n v="86.5"/>
        <n v="108.0"/>
        <n v="80.4"/>
        <n v="98.6"/>
        <n v="97.9"/>
        <n v="106.2"/>
        <n v="100.3"/>
        <n v="76.2"/>
        <n v="112.3"/>
        <n v="109.2"/>
        <n v="108.9"/>
        <n v="112.2"/>
        <n v="108.1"/>
        <n v="108.6"/>
        <n v="71.5"/>
        <n v="72.0"/>
        <n v="113.1"/>
        <n v="49.5"/>
        <n v="75.1"/>
        <n v="66.2"/>
        <n v="55.2"/>
        <n v="64.8"/>
        <n v="72.6"/>
        <n v="60.3"/>
        <n v="59.0"/>
        <n v="74.8"/>
        <n v="71.8"/>
        <n v="92.6"/>
        <n v="63.1"/>
        <n v="94.2"/>
        <n v="70.1"/>
        <n v="75.3"/>
        <n v="103.9"/>
        <n v="99.8"/>
        <n v="99.1"/>
        <n v="81.6"/>
        <n v="101.7"/>
        <n v="97.6"/>
        <n v="94.8"/>
        <n v="79.0"/>
        <n v="93.4"/>
        <n v="115.7"/>
        <n v="105.0"/>
        <n v="91.6"/>
        <n v="107.6"/>
        <n v="118.1"/>
        <n v="66.0"/>
        <n v="121.3"/>
        <n v="105.9"/>
        <n v="98.3"/>
        <n v="107.5"/>
        <n v="103.1"/>
        <n v="99.9"/>
        <n v="71.4"/>
        <n v="64.3"/>
        <n v="70.9"/>
        <n v="112.6"/>
        <n v="67.1"/>
        <n v="70.5"/>
        <n v="76.4"/>
        <n v="103.0"/>
        <n v="76.5"/>
        <n v="114.3"/>
        <n v="118.7"/>
        <n v="78.8"/>
        <n v="76.0"/>
        <n v="122.2"/>
        <n v="74.4"/>
        <n v="120.3"/>
        <n v="108.3"/>
        <n v="101.0"/>
        <n v="113.8"/>
        <n v="118.3"/>
        <n v="110.6"/>
        <n v="73.2"/>
        <n v="111.9"/>
        <n v="102.8"/>
        <n v="128.3"/>
        <n v="107.8"/>
        <n v="106.3"/>
        <n v="74.6"/>
        <n v="125.9"/>
        <n v="101.9"/>
        <n v="127.4"/>
        <n v="111.3"/>
        <n v="70.6"/>
        <n v="62.6"/>
        <n v="68.0"/>
        <n v="67.8"/>
        <n v="61.3"/>
        <n v="106.4"/>
        <n v="98.5"/>
        <n v="67.0"/>
        <n v="110.2"/>
        <n v="102.9"/>
        <n v="97.7"/>
        <n v="102.0"/>
        <n v="74.9"/>
        <n v="74.5"/>
        <n v="101.3"/>
        <n v="75.0"/>
        <n v="69.2"/>
        <n v="68.8"/>
        <n v="71.7"/>
        <n v="67.6"/>
        <n v="109.1"/>
        <n v="111.1"/>
        <n v="70.3"/>
        <n v="135.7"/>
        <n v="113.4"/>
        <n v="127.9"/>
        <n v="124.8"/>
        <n v="56.9"/>
        <n v="65.2"/>
        <n v="62.8"/>
        <n v="62.2"/>
        <n v="65.4"/>
        <n v="72.9"/>
        <n v="58.4"/>
        <n v="102.2"/>
        <n v="72.1"/>
        <n v="61.2"/>
        <n v="69.7"/>
        <n v="76.6"/>
        <n v="111.5"/>
        <n v="109.7"/>
        <n v="105.6"/>
        <n v="109.9"/>
        <n v="109.6"/>
        <n v="96.3"/>
        <n v="102.1"/>
        <n v="110.1"/>
        <n v="106.9"/>
        <n v="64.7"/>
        <n v="102.4"/>
        <n v="106.7"/>
        <n v="107.2"/>
        <n v="67.7"/>
        <n v="122.1"/>
        <n v="113.0"/>
        <n v="114.2"/>
        <n v="110.0"/>
        <n v="125.3"/>
        <n v="119.6"/>
        <n v="104.1"/>
        <n v="110.8"/>
        <n v="72.7"/>
        <n v="120.4"/>
        <n v="55.0"/>
        <n v="53.9"/>
        <n v="66.7"/>
        <n v="65.7"/>
        <n v="61.8"/>
        <n v="60.1"/>
        <n v="62.5"/>
        <n v="61.9"/>
      </sharedItems>
    </cacheField>
    <cacheField name="ips_ensemble_gt_pro" numFmtId="4">
      <sharedItems containsSemiMixedTypes="0" containsString="0" containsNumber="1">
        <n v="102.1"/>
        <n v="121.6"/>
        <n v="128.5"/>
        <n v="83.9"/>
        <n v="120.1"/>
        <n v="80.2"/>
        <n v="102.2"/>
        <n v="96.5"/>
        <n v="72.3"/>
        <n v="73.0"/>
        <n v="91.5"/>
        <n v="109.8"/>
        <n v="110.2"/>
        <n v="94.6"/>
        <n v="77.5"/>
        <n v="99.9"/>
        <n v="111.9"/>
        <n v="83.6"/>
        <n v="98.3"/>
        <n v="113.2"/>
        <n v="92.7"/>
        <n v="123.2"/>
        <n v="91.3"/>
        <n v="102.4"/>
        <n v="131.6"/>
        <n v="127.2"/>
        <n v="108.5"/>
        <n v="121.5"/>
        <n v="95.7"/>
        <n v="88.3"/>
        <n v="101.3"/>
        <n v="106.4"/>
        <n v="74.0"/>
        <n v="99.3"/>
        <n v="79.3"/>
        <n v="114.1"/>
        <n v="108.1"/>
        <n v="97.4"/>
        <n v="114.2"/>
        <n v="84.3"/>
        <n v="87.9"/>
        <n v="106.7"/>
        <n v="121.9"/>
        <n v="84.8"/>
        <n v="111.3"/>
        <n v="95.5"/>
        <n v="87.1"/>
        <n v="94.1"/>
        <n v="78.0"/>
        <n v="82.8"/>
        <n v="70.7"/>
        <n v="105.1"/>
        <n v="81.2"/>
        <n v="146.8"/>
        <n v="137.7"/>
        <n v="131.9"/>
        <n v="137.2"/>
        <n v="86.6"/>
        <n v="73.5"/>
        <n v="108.4"/>
        <n v="100.6"/>
        <n v="118.8"/>
        <n v="130.8"/>
        <n v="95.0"/>
        <n v="109.0"/>
        <n v="131.7"/>
        <n v="93.7"/>
        <n v="85.6"/>
        <n v="81.9"/>
        <n v="105.4"/>
        <n v="115.6"/>
        <n v="102.5"/>
        <n v="128.9"/>
        <n v="91.8"/>
        <n v="116.1"/>
        <n v="121.2"/>
        <n v="116.0"/>
        <n v="113.1"/>
        <n v="90.1"/>
        <n v="96.7"/>
        <n v="106.8"/>
        <n v="121.4"/>
        <n v="115.2"/>
        <n v="104.3"/>
        <n v="108.0"/>
        <n v="103.8"/>
        <n v="123.8"/>
        <n v="119.7"/>
        <n v="95.2"/>
        <n v="136.5"/>
        <n v="125.6"/>
        <n v="100.9"/>
        <n v="97.1"/>
        <n v="86.9"/>
        <n v="95.6"/>
        <n v="107.9"/>
        <n v="103.2"/>
        <n v="82.3"/>
        <n v="92.0"/>
        <n v="104.2"/>
        <n v="108.3"/>
        <n v="92.3"/>
        <n v="115.4"/>
        <n v="99.0"/>
        <n v="118.5"/>
        <n v="125.9"/>
        <n v="95.3"/>
        <n v="104.8"/>
        <n v="107.2"/>
        <n v="120.7"/>
        <n v="132.7"/>
        <n v="86.3"/>
        <n v="128.0"/>
        <n v="82.5"/>
        <n v="133.3"/>
        <n v="123.7"/>
        <n v="126.3"/>
        <n v="98.9"/>
        <n v="110.8"/>
        <n v="112.6"/>
        <n v="119.3"/>
        <n v="101.6"/>
        <n v="83.5"/>
        <n v="111.8"/>
        <n v="107.1"/>
        <n v="101.2"/>
        <n v="78.2"/>
        <n v="110.1"/>
        <n v="93.1"/>
        <n v="113.6"/>
        <n v="69.1"/>
        <n v="111.7"/>
        <n v="107.6"/>
        <n v="103.4"/>
        <n v="139.4"/>
        <n v="122.6"/>
        <n v="84.6"/>
        <n v="82.7"/>
        <n v="86.7"/>
        <n v="103.6"/>
        <n v="111.1"/>
        <n v="110.9"/>
        <n v="88.7"/>
        <n v="87.5"/>
        <n v="124.0"/>
        <n v="111.4"/>
        <n v="108.9"/>
        <n v="100.5"/>
        <n v="88.5"/>
        <n v="131.5"/>
        <n v="121.8"/>
        <n v="88.4"/>
        <n v="124.5"/>
        <n v="134.6"/>
        <n v="116.2"/>
        <n v="100.0"/>
        <n v="91.7"/>
        <n v="112.1"/>
        <n v="140.9"/>
        <n v="144.7"/>
        <n v="114.9"/>
        <n v="83.0"/>
        <n v="97.0"/>
        <n v="93.0"/>
        <n v="129.4"/>
        <n v="97.7"/>
        <n v="115.3"/>
        <n v="105.8"/>
        <n v="134.2"/>
        <n v="81.5"/>
        <n v="117.5"/>
        <n v="111.5"/>
        <n v="116.3"/>
        <n v="79.9"/>
        <n v="90.0"/>
        <n v="102.3"/>
        <n v="93.8"/>
        <n v="88.9"/>
        <n v="83.4"/>
        <n v="102.0"/>
        <n v="87.6"/>
        <n v="109.4"/>
        <n v="117.0"/>
        <n v="135.7"/>
        <n v="83.8"/>
        <n v="117.8"/>
        <n v="128.6"/>
        <n v="97.6"/>
        <n v="119.1"/>
        <n v="125.2"/>
        <n v="104.7"/>
        <n v="114.5"/>
        <n v="131.4"/>
        <n v="136.3"/>
        <n v="112.7"/>
        <n v="109.5"/>
        <n v="109.6"/>
        <n v="96.8"/>
        <n v="106.2"/>
        <n v="91.1"/>
        <n v="124.3"/>
        <n v="95.4"/>
        <n v="124.8"/>
        <n v="80.9"/>
        <n v="87.8"/>
        <n v="92.8"/>
        <n v="115.7"/>
        <n v="117.9"/>
        <n v="92.5"/>
        <n v="133.8"/>
        <n v="88.6"/>
        <n v="141.1"/>
        <n v="134.1"/>
        <n v="119.4"/>
        <n v="96.0"/>
        <n v="83.2"/>
        <n v="119.6"/>
        <n v="125.0"/>
        <n v="125.5"/>
        <n v="104.0"/>
        <n v="80.6"/>
        <n v="101.8"/>
        <n v="107.7"/>
        <n v="89.3"/>
        <n v="116.4"/>
        <n v="91.9"/>
        <n v="101.4"/>
        <n v="104.5"/>
        <n v="78.5"/>
        <n v="102.7"/>
        <n v="117.2"/>
        <n v="122.4"/>
        <n v="117.1"/>
        <n v="118.1"/>
        <n v="87.7"/>
        <n v="95.8"/>
        <n v="119.2"/>
        <n v="109.3"/>
        <n v="94.4"/>
        <n v="104.1"/>
        <n v="105.9"/>
        <n v="74.3"/>
        <n v="78.3"/>
        <n v="93.3"/>
        <n v="98.8"/>
        <n v="75.2"/>
        <n v="97.5"/>
        <n v="109.9"/>
        <n v="107.4"/>
        <n v="106.5"/>
        <n v="120.6"/>
        <n v="97.8"/>
        <n v="116.9"/>
        <n v="70.8"/>
        <n v="75.4"/>
        <n v="85.5"/>
        <n v="97.3"/>
        <n v="106.6"/>
        <n v="90.3"/>
        <n v="100.1"/>
        <n v="95.9"/>
        <n v="75.5"/>
        <n v="86.1"/>
        <n v="96.1"/>
        <n v="69.4"/>
        <n v="112.5"/>
        <n v="63.4"/>
        <n v="63.8"/>
        <n v="105.3"/>
        <n v="75.1"/>
        <n v="104.9"/>
        <n v="68.9"/>
        <n v="70.2"/>
        <n v="74.1"/>
        <n v="129.0"/>
        <n v="144.5"/>
        <n v="140.4"/>
        <n v="101.5"/>
        <n v="83.1"/>
        <n v="125.7"/>
        <n v="73.3"/>
        <n v="129.5"/>
        <n v="100.3"/>
        <n v="129.2"/>
        <n v="120.8"/>
        <n v="85.9"/>
        <n v="80.8"/>
        <n v="96.3"/>
        <n v="77.2"/>
        <n v="114.3"/>
        <n v="86.8"/>
        <n v="88.8"/>
        <n v="69.6"/>
        <n v="106.1"/>
        <n v="73.9"/>
        <n v="75.7"/>
        <n v="80.0"/>
        <n v="114.7"/>
        <n v="124.6"/>
        <n v="102.6"/>
        <n v="100.7"/>
        <n v="120.2"/>
        <n v="85.7"/>
        <n v="115.1"/>
        <n v="117.6"/>
        <n v="112.0"/>
        <n v="128.3"/>
        <n v="126.4"/>
        <n v="107.5"/>
        <n v="125.4"/>
        <n v="105.0"/>
        <n v="94.8"/>
        <n v="119.5"/>
        <n v="130.3"/>
        <n v="127.4"/>
        <n v="110.7"/>
        <n v="77.7"/>
        <n v="98.6"/>
        <n v="127.0"/>
        <n v="86.0"/>
        <n v="94.9"/>
        <n v="133.5"/>
        <n v="92.4"/>
        <n v="104.4"/>
        <n v="77.6"/>
        <n v="109.7"/>
        <n v="138.0"/>
        <n v="120.9"/>
        <n v="119.8"/>
        <n v="85.1"/>
        <n v="75.9"/>
        <n v="105.5"/>
        <n v="113.8"/>
        <n v="131.3"/>
        <n v="71.0"/>
        <n v="112.9"/>
        <n v="107.3"/>
        <n v="100.2"/>
        <n v="77.3"/>
        <n v="94.7"/>
        <n v="140.6"/>
        <n v="123.1"/>
        <n v="113.9"/>
        <n v="137.0"/>
        <n v="79.6"/>
        <n v="134.4"/>
        <n v="142.3"/>
        <n v="130.5"/>
        <n v="136.1"/>
        <n v="89.8"/>
        <n v="121.0"/>
        <n v="133.4"/>
        <n v="87.4"/>
        <n v="99.7"/>
        <n v="113.3"/>
        <n v="78.6"/>
        <n v="149.8"/>
        <n v="118.9"/>
        <n v="145.8"/>
        <n v="134.5"/>
        <n v="136.0"/>
        <n v="142.9"/>
        <n v="146.1"/>
        <n v="153.0"/>
        <n v="130.2"/>
        <n v="109.1"/>
        <n v="79.5"/>
        <n v="76.3"/>
        <n v="108.2"/>
        <n v="94.0"/>
        <n v="124.4"/>
        <n v="121.3"/>
        <n v="138.8"/>
        <n v="106.0"/>
        <n v="135.5"/>
        <n v="85.8"/>
        <n v="110.6"/>
        <n v="101.0"/>
        <n v="126.2"/>
        <n v="123.0"/>
        <n v="90.5"/>
        <n v="126.8"/>
        <n v="141.5"/>
        <n v="122.3"/>
        <n v="150.5"/>
        <n v="125.3"/>
        <n v="129.6"/>
        <n v="147.3"/>
        <n v="82.1"/>
        <n v="122.9"/>
        <n v="82.9"/>
        <n v="127.6"/>
        <n v="120.0"/>
        <n v="90.4"/>
        <n v="101.7"/>
        <n v="88.2"/>
        <n v="113.7"/>
        <n v="95.1"/>
        <n v="115.8"/>
        <n v="103.0"/>
        <n v="126.0"/>
        <n v="110.3"/>
        <n v="99.2"/>
        <n v="83.7"/>
        <n v="91.0"/>
        <n v="102.9"/>
        <n v="84.4"/>
        <n v="98.7"/>
        <n v="87.3"/>
        <n v="143.0"/>
        <n v="130.4"/>
        <n v="99.6"/>
        <n v="132.8"/>
        <n v="148.4"/>
        <n v="151.3"/>
        <n v="152.1"/>
        <n v="140.1"/>
        <n v="138.3"/>
        <n v="145.4"/>
        <n v="138.5"/>
        <n v="101.9"/>
        <n v="72.4"/>
        <n v="79.8"/>
        <n v="98.0"/>
        <n v="129.9"/>
        <n v="135.9"/>
        <n v="71.7"/>
        <n v="114.0"/>
        <n v="96.9"/>
        <n v="85.3"/>
        <n v="149.2"/>
        <n v="108.8"/>
        <n v="100.8"/>
        <n v="84.1"/>
        <n v="141.0"/>
        <n v="81.8"/>
        <n v="71.6"/>
        <n v="106.9"/>
        <n v="117.4"/>
        <n v="78.1"/>
        <n v="85.0"/>
        <n v="74.2"/>
        <n v="76.2"/>
        <n v="92.2"/>
        <n v="89.4"/>
        <n v="92.6"/>
        <n v="68.6"/>
        <n v="78.8"/>
        <n v="60.7"/>
        <n v="130.0"/>
        <n v="65.0"/>
        <n v="62.4"/>
        <n v="86.4"/>
        <n v="64.9"/>
        <n v="81.7"/>
        <n v="74.7"/>
        <n v="78.4"/>
        <n v="79.2"/>
        <n v="100.4"/>
        <n v="71.9"/>
        <n v="89.2"/>
        <n v="84.2"/>
        <n v="118.0"/>
        <n v="114.6"/>
        <n v="111.0"/>
        <n v="107.8"/>
        <n v="103.9"/>
        <n v="117.7"/>
        <n v="73.1"/>
        <n v="72.5"/>
        <n v="84.9"/>
        <n v="98.4"/>
        <n v="103.5"/>
        <n v="117.3"/>
        <n v="64.2"/>
        <n v="71.2"/>
        <n v="68.4"/>
        <n v="71.1"/>
        <n v="127.5"/>
        <n v="128.2"/>
        <n v="130.6"/>
        <n v="86.2"/>
        <n v="97.2"/>
        <n v="98.5"/>
        <n v="61.3"/>
        <n v="115.9"/>
        <n v="127.3"/>
        <n v="85.4"/>
        <n v="116.7"/>
        <n v="110.5"/>
        <n v="82.6"/>
        <n v="90.2"/>
        <n v="93.9"/>
        <n v="111.6"/>
        <n v="105.2"/>
        <n v="119.0"/>
        <n v="113.5"/>
        <n v="110.4"/>
        <n v="114.4"/>
        <n v="80.7"/>
        <n v="128.7"/>
        <n v="122.8"/>
        <n v="96.2"/>
        <n v="104.6"/>
        <n v="128.4"/>
        <n v="93.2"/>
        <n v="108.7"/>
        <n v="123.4"/>
        <n v="77.4"/>
        <n v="138.6"/>
        <n v="144.8"/>
        <n v="73.6"/>
        <n v="127.7"/>
        <n v="130.7"/>
        <n v="127.9"/>
        <n v="134.7"/>
        <n v="84.0"/>
        <n v="80.5"/>
        <n v="112.8"/>
        <n v="101.1"/>
        <n v="135.4"/>
        <n v="89.6"/>
        <n v="103.3"/>
        <n v="132.5"/>
        <n v="112.4"/>
        <n v="137.4"/>
        <n v="129.1"/>
        <n v="123.6"/>
        <n v="105.6"/>
        <n v="93.5"/>
        <n v="73.7"/>
        <n v="82.0"/>
        <n v="89.7"/>
        <n v="113.0"/>
        <n v="103.7"/>
        <n v="122.1"/>
        <n v="81.4"/>
        <n v="123.9"/>
        <n v="79.4"/>
        <n v="129.3"/>
        <n v="112.2"/>
        <n v="118.6"/>
        <n v="129.8"/>
        <n v="141.9"/>
        <n v="132.0"/>
        <n v="96.6"/>
        <n v="97.9"/>
        <n v="115.5"/>
        <n v="79.7"/>
        <n v="116.5"/>
        <n v="131.0"/>
        <n v="99.8"/>
        <n v="89.5"/>
        <n v="68.7"/>
        <n v="69.9"/>
        <n v="76.1"/>
        <n v="133.0"/>
        <n v="91.6"/>
        <n v="126.9"/>
        <n v="148.8"/>
        <n v="130.1"/>
        <n v="67.4"/>
        <n v="99.5"/>
        <n v="71.3"/>
        <n v="155.3"/>
        <n v="76.9"/>
        <n v="77.1"/>
        <n v="105.7"/>
        <n v="69.8"/>
        <n v="70.4"/>
        <n v="66.1"/>
        <n v="68.5"/>
        <n v="70.0"/>
        <n v="90.9"/>
        <n v="80.1"/>
        <n v="126.6"/>
        <n v="78.9"/>
        <n v="116.8"/>
        <n v="99.1"/>
        <n v="82.4"/>
        <n v="81.0"/>
        <n v="131.8"/>
        <n v="75.8"/>
        <n v="89.0"/>
        <n v="145.2"/>
        <n v="81.3"/>
        <n v="112.3"/>
        <n v="92.1"/>
        <n v="87.0"/>
        <n v="120.3"/>
        <n v="145.9"/>
        <n v="93.6"/>
        <n v="153.2"/>
        <n v="147.8"/>
        <n v="138.7"/>
        <n v="138.4"/>
        <n v="149.5"/>
        <n v="102.8"/>
        <n v="146.0"/>
        <n v="122.5"/>
        <n v="84.7"/>
        <n v="92.9"/>
        <n v="77.9"/>
        <n v="137.8"/>
        <n v="94.2"/>
        <n v="91.2"/>
        <n v="118.4"/>
        <n v="142.1"/>
        <n v="143.1"/>
        <n v="145.7"/>
        <n v="141.2"/>
        <n v="146.3"/>
        <n v="149.3"/>
        <n v="80.4"/>
        <n v="75.6"/>
        <n v="120.4"/>
        <n v="121.1"/>
        <n v="125.1"/>
        <n v="108.6"/>
        <n v="111.2"/>
        <n v="115.0"/>
        <n v="133.2"/>
        <n v="127.1"/>
        <n v="146.2"/>
        <n v="98.1"/>
        <n v="154.0"/>
        <n v="72.0"/>
        <n v="143.6"/>
        <n v="136.6"/>
        <n v="76.7"/>
        <n v="148.2"/>
        <n v="132.1"/>
        <n v="143.5"/>
        <n v="139.7"/>
        <n v="123.5"/>
        <n v="134.9"/>
        <n v="49.5"/>
        <n v="66.2"/>
        <n v="58.0"/>
        <n v="66.8"/>
        <n v="136.9"/>
        <n v="60.3"/>
        <n v="69.5"/>
        <n v="121.7"/>
        <n v="126.7"/>
        <n v="74.8"/>
        <n v="74.5"/>
        <n v="131.2"/>
        <n v="143.8"/>
        <n v="145.6"/>
        <n v="90.7"/>
        <n v="72.6"/>
        <n v="63.1"/>
        <n v="151.5"/>
        <n v="70.1"/>
        <n v="118.2"/>
        <n v="99.4"/>
        <n v="124.2"/>
        <n v="88.1"/>
        <n v="83.3"/>
        <n v="124.9"/>
        <n v="88.0"/>
        <n v="89.1"/>
        <n v="116.6"/>
        <n v="85.2"/>
        <n v="84.5"/>
        <n v="89.9"/>
        <n v="138.2"/>
        <n v="106.3"/>
        <n v="133.9"/>
        <n v="135.2"/>
        <n v="140.2"/>
        <n v="139.9"/>
        <n v="73.4"/>
        <n v="110.0"/>
        <n v="79.0"/>
        <n v="93.4"/>
        <n v="128.8"/>
        <n v="136.8"/>
        <n v="133.7"/>
        <n v="130.9"/>
        <n v="113.4"/>
        <n v="122.7"/>
        <n v="66.0"/>
        <n v="126.5"/>
        <n v="118.3"/>
        <n v="98.2"/>
        <n v="71.4"/>
        <n v="68.2"/>
        <n v="64.3"/>
        <n v="70.9"/>
        <n v="149.0"/>
        <n v="76.4"/>
        <n v="70.5"/>
        <n v="118.7"/>
        <n v="109.2"/>
        <n v="128.1"/>
        <n v="124.7"/>
        <n v="103.1"/>
        <n v="87.2"/>
        <n v="142.0"/>
        <n v="76.5"/>
        <n v="135.1"/>
        <n v="148.9"/>
        <n v="144.2"/>
        <n v="126.1"/>
        <n v="76.0"/>
        <n v="122.2"/>
        <n v="74.4"/>
        <n v="82.2"/>
        <n v="143.7"/>
        <n v="147.4"/>
        <n v="140.7"/>
        <n v="142.8"/>
        <n v="75.3"/>
        <n v="137.9"/>
        <n v="150.9"/>
        <n v="127.8"/>
        <n v="90.6"/>
        <n v="151.2"/>
        <n v="148.1"/>
        <n v="139.0"/>
        <n v="79.1"/>
        <n v="114.8"/>
        <n v="76.6"/>
        <n v="86.5"/>
        <n v="78.7"/>
        <n v="70.6"/>
        <n v="68.0"/>
        <n v="67.8"/>
        <n v="63.6"/>
        <n v="91.4"/>
        <n v="62.6"/>
        <n v="67.0"/>
        <n v="141.8"/>
        <n v="135.0"/>
        <n v="132.4"/>
        <n v="119.9"/>
        <n v="124.1"/>
        <n v="90.8"/>
        <n v="137.3"/>
        <n v="131.1"/>
        <n v="81.1"/>
        <n v="142.5"/>
        <n v="94.5"/>
        <n v="122.0"/>
        <n v="74.9"/>
        <n v="134.3"/>
        <n v="67.7"/>
        <n v="75.0"/>
        <n v="69.2"/>
        <n v="141.7"/>
        <n v="76.8"/>
        <n v="67.6"/>
        <n v="80.3"/>
        <n v="145.3"/>
        <n v="132.3"/>
        <n v="70.3"/>
        <n v="137.1"/>
        <n v="81.6"/>
        <n v="151.9"/>
        <n v="139.8"/>
        <n v="148.6"/>
        <n v="96.4"/>
        <n v="107.0"/>
        <n v="141.3"/>
        <n v="151.7"/>
        <n v="151.1"/>
        <n v="135.8"/>
        <n v="134.0"/>
        <n v="149.4"/>
        <n v="77.8"/>
        <n v="74.6"/>
        <n v="77.0"/>
        <n v="125.8"/>
        <n v="71.8"/>
        <n v="63.5"/>
        <n v="67.9"/>
        <n v="62.8"/>
        <n v="62.2"/>
        <n v="65.4"/>
        <n v="61.5"/>
        <n v="68.3"/>
        <n v="61.2"/>
        <n v="73.8"/>
        <n v="69.7"/>
        <n v="67.2"/>
        <n v="139.2"/>
        <n v="140.0"/>
        <n v="64.7"/>
        <n v="120.5"/>
        <n v="134.8"/>
        <n v="137.6"/>
        <n v="139.6"/>
        <n v="148.0"/>
        <n v="147.1"/>
        <n v="155.9"/>
        <n v="136.7"/>
        <n v="143.2"/>
        <n v="159.0"/>
        <n v="152.6"/>
        <n v="150.6"/>
        <n v="146.9"/>
        <n v="144.9"/>
        <n v="66.7"/>
        <n v="65.6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IPS suivant la section" cacheId="1" dataCaption="" compact="0" compactData="0">
  <location ref="H4:K8" firstHeaderRow="0" firstDataRow="1" firstDataCol="1"/>
  <pivotFields>
    <pivotField name="secteur" axis="axisCol" compact="0" outline="0" multipleItemSelectionAllowed="1" showAll="0" sortType="ascending">
      <items>
        <item x="1"/>
        <item x="0"/>
        <item t="default"/>
      </items>
    </pivotField>
    <pivotField name="type_de_lycee" axis="axisRow" compact="0" outline="0" multipleItemSelectionAllowed="1" showAll="0" sortType="ascending">
      <items>
        <item x="1"/>
        <item h="1" x="2"/>
        <item x="0"/>
        <item t="default"/>
      </items>
    </pivotField>
    <pivotField name="ips_voie_gt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t="default"/>
      </items>
    </pivotField>
  </pivotFields>
  <rowFields>
    <field x="1"/>
  </rowFields>
  <colFields>
    <field x="0"/>
  </colFields>
  <dataFields>
    <dataField name="IPS moyen GT" fld="2" subtotal="average" baseField="0"/>
  </dataFields>
</pivotTableDefinition>
</file>

<file path=xl/pivotTables/pivotTable2.xml><?xml version="1.0" encoding="utf-8"?>
<pivotTableDefinition xmlns="http://schemas.openxmlformats.org/spreadsheetml/2006/main" name="IPS suivant la section 2" cacheId="2" dataCaption="" compact="0" compactData="0">
  <location ref="H11:K15" firstHeaderRow="0" firstDataRow="1" firstDataCol="1"/>
  <pivotFields>
    <pivotField name="secteur" axis="axisCol" compact="0" outline="0" multipleItemSelectionAllowed="1" showAll="0" sortType="ascending">
      <items>
        <item x="1"/>
        <item x="0"/>
        <item t="default"/>
      </items>
    </pivotField>
    <pivotField name="type_de_lycee" axis="axisRow" compact="0" outline="0" multipleItemSelectionAllowed="1" showAll="0" sortType="ascending">
      <items>
        <item h="1" x="1"/>
        <item x="2"/>
        <item x="0"/>
        <item t="default"/>
      </items>
    </pivotField>
    <pivotField name="ips_voie_gt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t="default"/>
      </items>
    </pivotField>
    <pivotField name="ips_voie_pro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t="default"/>
      </items>
    </pivotField>
  </pivotFields>
  <rowFields>
    <field x="1"/>
  </rowFields>
  <colFields>
    <field x="0"/>
  </colFields>
  <dataFields>
    <dataField name="IPS moyen Pro" fld="3" subtotal="average" baseField="0"/>
  </dataFields>
</pivotTableDefinition>
</file>

<file path=xl/pivotTables/pivotTable3.xml><?xml version="1.0" encoding="utf-8"?>
<pivotTableDefinition xmlns="http://schemas.openxmlformats.org/spreadsheetml/2006/main" name="IPS suivant la section 3" cacheId="3" dataCaption="" compact="0" compactData="0">
  <location ref="H18:J19" firstHeaderRow="0" firstDataRow="1" firstDataCol="0" rowPageCount="1" colPageCount="1"/>
  <pivotFields>
    <pivotField name="type_de_lycee" axis="axisPage" compact="0" outline="0" multipleItemSelectionAllowed="1" showAll="0">
      <items>
        <item x="0"/>
        <item h="1" x="1"/>
        <item h="1" x="2"/>
        <item h="1" x="3"/>
        <item t="default"/>
      </items>
    </pivotField>
    <pivotField name="ips_voie_gt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t="default"/>
      </items>
    </pivotField>
    <pivotField name="ips_voie_pro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t="default"/>
      </items>
    </pivotField>
    <pivotField name="ips_ensemble_gt_pro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t="default"/>
      </items>
    </pivotField>
  </pivotFields>
  <colFields>
    <field x="-2"/>
  </colFields>
  <pageFields>
    <pageField fld="0"/>
  </pageFields>
  <dataFields>
    <dataField name="IPS moyen voie GT" fld="1" subtotal="average" baseField="0"/>
    <dataField name="IPS moyen voie Pro" fld="2" subtotal="average" baseField="0"/>
    <dataField name="IPS moyen ensemble" fld="3" subtotal="average" baseField="0"/>
  </dataFields>
</pivotTableDefinition>
</file>

<file path=xl/tables/table1.xml><?xml version="1.0" encoding="utf-8"?>
<table xmlns="http://schemas.openxmlformats.org/spreadsheetml/2006/main" headerRowCount="0" ref="H23:J27" displayName="Table_1" id="1">
  <tableColumns count="3">
    <tableColumn name="Column1" id="1"/>
    <tableColumn name="Column2" id="2"/>
    <tableColumn name="Column3" id="3"/>
  </tableColumns>
  <tableStyleInfo name="IPS suivant la sectio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B4:C5" displayName="Table_2" id="2">
  <tableColumns count="2">
    <tableColumn name="IPS &lt; 100" id="1"/>
    <tableColumn name="IPS &gt;= 100" id="2"/>
  </tableColumns>
  <tableStyleInfo name="Corrélation IPS-BAC-style" showColumnStripes="0" showFirstColumn="1" showLastColumn="1" showRowStripes="1"/>
</table>
</file>

<file path=xl/tables/table3.xml><?xml version="1.0" encoding="utf-8"?>
<table xmlns="http://schemas.openxmlformats.org/spreadsheetml/2006/main" ref="B8:C9" displayName="Table_3" id="3">
  <tableColumns count="2">
    <tableColumn name="IPS &lt; 100" id="1"/>
    <tableColumn name="IPS &gt;= 100" id="2"/>
  </tableColumns>
  <tableStyleInfo name="Corrélation IPS-BAC-style 2" showColumnStripes="0" showFirstColumn="1" showLastColumn="1" showRowStripes="1"/>
</table>
</file>

<file path=xl/tables/table4.xml><?xml version="1.0" encoding="utf-8"?>
<table xmlns="http://schemas.openxmlformats.org/spreadsheetml/2006/main" ref="A1:G101" displayName="Table_4" id="4">
  <tableColumns count="7">
    <tableColumn name="Rang" id="1"/>
    <tableColumn name="Nom du lycée " id="2"/>
    <tableColumn name="secteur" id="3"/>
    <tableColumn name="Ville" id="4"/>
    <tableColumn name="Académie" id="5"/>
    <tableColumn name="type" id="6"/>
    <tableColumn name="ips" id="7"/>
  </tableColumns>
  <tableStyleInfo name="100 les plus favorisés-style" showColumnStripes="0" showFirstColumn="1" showLastColumn="1" showRowStripes="1"/>
</table>
</file>

<file path=xl/tables/table5.xml><?xml version="1.0" encoding="utf-8"?>
<table xmlns="http://schemas.openxmlformats.org/spreadsheetml/2006/main" ref="A1:G101" displayName="Table_5" id="5">
  <tableColumns count="7">
    <tableColumn name="Rang" id="1"/>
    <tableColumn name="Nom du lycée " id="2"/>
    <tableColumn name="secteur" id="3"/>
    <tableColumn name="Ville" id="4"/>
    <tableColumn name="Académie" id="5"/>
    <tableColumn name="type" id="6"/>
    <tableColumn name="ips" id="7"/>
  </tableColumns>
  <tableStyleInfo name="100 les plus défavorisés-style" showColumnStripes="0" showFirstColumn="1" showLastColumn="1" showRowStripes="1"/>
</table>
</file>

<file path=xl/tables/table6.xml><?xml version="1.0" encoding="utf-8"?>
<table xmlns="http://schemas.openxmlformats.org/spreadsheetml/2006/main" ref="K4:L5" displayName="Table_6" id="6">
  <tableColumns count="2">
    <tableColumn name="IPS &lt; 100" id="1"/>
    <tableColumn name="IPS &gt;= 100" id="2"/>
  </tableColumns>
  <tableStyleInfo name="Donc travail taux reussite bac-style" showColumnStripes="0" showFirstColumn="1" showLastColumn="1" showRowStripes="1"/>
</table>
</file>

<file path=xl/tables/table7.xml><?xml version="1.0" encoding="utf-8"?>
<table xmlns="http://schemas.openxmlformats.org/spreadsheetml/2006/main" ref="K9:L10" displayName="Table_7" id="7">
  <tableColumns count="2">
    <tableColumn name="IPS &lt; 100" id="1"/>
    <tableColumn name="IPS &gt;= 100" id="2"/>
  </tableColumns>
  <tableStyleInfo name="Donc travail taux reussite bac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drawing" Target="../drawings/drawing1.xml"/><Relationship Id="rId6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4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5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4" Type="http://schemas.openxmlformats.org/officeDocument/2006/relationships/table" Target="../tables/table6.xml"/><Relationship Id="rId5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1.22" defaultRowHeight="15.75"/>
  <cols>
    <col customWidth="1" min="8" max="8" width="13.89"/>
    <col customWidth="1" min="9" max="9" width="12.78"/>
    <col customWidth="1" min="10" max="10" width="13.44"/>
  </cols>
  <sheetData>
    <row r="1">
      <c r="B1" s="1" t="s">
        <v>0</v>
      </c>
    </row>
    <row r="3">
      <c r="B3" s="2" t="s">
        <v>1</v>
      </c>
      <c r="C3" s="3"/>
      <c r="D3" s="3"/>
      <c r="E3" s="3"/>
      <c r="F3" s="3"/>
      <c r="H3" s="2" t="s">
        <v>2</v>
      </c>
      <c r="I3" s="3"/>
      <c r="J3" s="3"/>
      <c r="K3" s="3"/>
      <c r="M3" s="4" t="s">
        <v>3</v>
      </c>
      <c r="N3" s="3"/>
      <c r="O3" s="3"/>
      <c r="P3" s="3"/>
    </row>
    <row r="4"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M4" s="7" t="s">
        <v>11</v>
      </c>
      <c r="N4" s="8" t="s">
        <v>12</v>
      </c>
      <c r="O4" s="8" t="s">
        <v>13</v>
      </c>
      <c r="P4" s="8" t="s">
        <v>14</v>
      </c>
    </row>
    <row r="5">
      <c r="B5" s="5" t="s">
        <v>15</v>
      </c>
      <c r="C5" s="9">
        <v>118.06268951878718</v>
      </c>
      <c r="D5" s="9">
        <v>117.7</v>
      </c>
      <c r="E5" s="9">
        <v>68.3</v>
      </c>
      <c r="F5" s="9">
        <v>159.0</v>
      </c>
      <c r="M5" s="11" t="s">
        <v>20</v>
      </c>
      <c r="N5" s="12">
        <f>'Doc travail comparaison à la mo'!L16</f>
        <v>84.25</v>
      </c>
      <c r="O5" s="12">
        <f>'Doc travail comparaison à la mo'!M16</f>
        <v>6.63</v>
      </c>
      <c r="P5" s="12">
        <f>'Doc travail comparaison à la mo'!N16</f>
        <v>45.62</v>
      </c>
    </row>
    <row r="6">
      <c r="B6" s="5" t="s">
        <v>13</v>
      </c>
      <c r="C6" s="9">
        <v>86.79081272084805</v>
      </c>
      <c r="D6" s="9">
        <v>86.0</v>
      </c>
      <c r="E6" s="9">
        <v>49.5</v>
      </c>
      <c r="F6" s="9">
        <v>131.3</v>
      </c>
    </row>
    <row r="7">
      <c r="B7" s="5" t="s">
        <v>14</v>
      </c>
      <c r="C7" s="9">
        <v>101.7335073068893</v>
      </c>
      <c r="D7" s="9">
        <v>102.5</v>
      </c>
      <c r="E7" s="9">
        <v>58.0</v>
      </c>
      <c r="F7" s="9">
        <v>148.8</v>
      </c>
      <c r="M7" s="2" t="s">
        <v>21</v>
      </c>
      <c r="N7" s="3"/>
      <c r="O7" s="3"/>
      <c r="P7" s="3"/>
    </row>
    <row r="8">
      <c r="B8" s="5" t="s">
        <v>19</v>
      </c>
      <c r="C8" s="9">
        <v>103.91156085389518</v>
      </c>
      <c r="D8" s="9">
        <v>103.8</v>
      </c>
      <c r="E8" s="9">
        <v>49.5</v>
      </c>
      <c r="F8" s="9">
        <v>159.0</v>
      </c>
      <c r="M8" s="13" t="s">
        <v>11</v>
      </c>
      <c r="N8" s="13" t="s">
        <v>12</v>
      </c>
      <c r="O8" s="13" t="s">
        <v>13</v>
      </c>
      <c r="P8" s="13" t="s">
        <v>14</v>
      </c>
    </row>
    <row r="9">
      <c r="M9" s="14" t="s">
        <v>22</v>
      </c>
      <c r="N9" s="15">
        <f>'100 les plus favorisés'!J6</f>
        <v>100</v>
      </c>
      <c r="O9" s="15">
        <f>'100 les plus favorisés'!K6</f>
        <v>0</v>
      </c>
      <c r="P9" s="15">
        <f>'100 les plus favorisés'!L6</f>
        <v>0</v>
      </c>
    </row>
    <row r="10">
      <c r="H10" s="2" t="s">
        <v>23</v>
      </c>
      <c r="I10" s="3"/>
      <c r="J10" s="3"/>
      <c r="K10" s="3"/>
    </row>
    <row r="11">
      <c r="L11" s="16"/>
      <c r="M11" s="2" t="s">
        <v>21</v>
      </c>
      <c r="N11" s="3"/>
      <c r="O11" s="3"/>
      <c r="P11" s="3"/>
    </row>
    <row r="12">
      <c r="M12" s="13" t="s">
        <v>25</v>
      </c>
      <c r="N12" s="13" t="s">
        <v>15</v>
      </c>
      <c r="O12" s="13" t="s">
        <v>13</v>
      </c>
      <c r="P12" s="13" t="s">
        <v>14</v>
      </c>
    </row>
    <row r="13">
      <c r="M13" s="14" t="s">
        <v>22</v>
      </c>
      <c r="N13" s="15">
        <f>'100 les plus défavorisés'!J7</f>
        <v>4</v>
      </c>
      <c r="O13" s="15">
        <f>'100 les plus défavorisés'!K7</f>
        <v>75</v>
      </c>
      <c r="P13" s="15">
        <f>'100 les plus défavorisés'!L7</f>
        <v>21</v>
      </c>
    </row>
    <row r="14"/>
    <row r="15"/>
    <row r="17">
      <c r="H17" s="2" t="s">
        <v>26</v>
      </c>
      <c r="I17" s="3"/>
      <c r="J17" s="3"/>
    </row>
    <row r="18"/>
    <row r="19">
      <c r="K19" s="18"/>
    </row>
    <row r="22">
      <c r="I22" s="19" t="s">
        <v>30</v>
      </c>
    </row>
    <row r="23">
      <c r="H23" s="20"/>
      <c r="I23" s="21"/>
      <c r="J23" s="21"/>
    </row>
    <row r="24">
      <c r="H24" s="20" t="s">
        <v>4</v>
      </c>
      <c r="I24" s="21" t="s">
        <v>31</v>
      </c>
      <c r="J24" s="21" t="s">
        <v>32</v>
      </c>
    </row>
    <row r="25">
      <c r="H25" s="21" t="s">
        <v>12</v>
      </c>
      <c r="I25" s="22">
        <f>J8</f>
        <v>110.3115906</v>
      </c>
      <c r="J25" s="22">
        <f>I8</f>
        <v>121.6200469</v>
      </c>
    </row>
    <row r="26">
      <c r="H26" s="21" t="s">
        <v>33</v>
      </c>
      <c r="I26" s="23">
        <f>J15</f>
        <v>84.52303188</v>
      </c>
      <c r="J26" s="23">
        <f>I15</f>
        <v>95.69728752</v>
      </c>
    </row>
    <row r="27">
      <c r="H27" s="21" t="s">
        <v>34</v>
      </c>
      <c r="I27" s="22">
        <f>'IPS suivant secteur'!C6</f>
        <v>99.56337911</v>
      </c>
      <c r="J27" s="22">
        <f>'IPS suivant secteur'!C5</f>
        <v>112.5898671</v>
      </c>
    </row>
  </sheetData>
  <mergeCells count="9">
    <mergeCell ref="H17:J17"/>
    <mergeCell ref="I22:J22"/>
    <mergeCell ref="B1:P1"/>
    <mergeCell ref="B3:F3"/>
    <mergeCell ref="H3:K3"/>
    <mergeCell ref="M3:P3"/>
    <mergeCell ref="M7:P7"/>
    <mergeCell ref="H10:K10"/>
    <mergeCell ref="M11:P11"/>
  </mergeCells>
  <conditionalFormatting sqref="C4:C7">
    <cfRule type="cellIs" dxfId="0" priority="1" operator="equal">
      <formula>"max(B1:B4)"</formula>
    </cfRule>
  </conditionalFormatting>
  <drawing r:id="rId4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1.22" defaultRowHeight="15.75"/>
  <sheetData>
    <row r="1">
      <c r="B1" s="1" t="s">
        <v>35</v>
      </c>
    </row>
    <row r="3">
      <c r="B3" s="2" t="s">
        <v>36</v>
      </c>
      <c r="C3" s="3"/>
      <c r="D3" s="3"/>
      <c r="E3" s="3"/>
      <c r="F3" s="3"/>
      <c r="H3" s="4" t="s">
        <v>3</v>
      </c>
      <c r="I3" s="3"/>
      <c r="J3" s="3"/>
      <c r="K3" s="3"/>
      <c r="M3" s="4" t="s">
        <v>21</v>
      </c>
      <c r="N3" s="3"/>
      <c r="O3" s="3"/>
    </row>
    <row r="4">
      <c r="B4" s="5" t="s">
        <v>10</v>
      </c>
      <c r="C4" s="5" t="s">
        <v>5</v>
      </c>
      <c r="D4" s="5" t="s">
        <v>6</v>
      </c>
      <c r="E4" s="5" t="s">
        <v>7</v>
      </c>
      <c r="F4" s="5" t="s">
        <v>8</v>
      </c>
      <c r="H4" s="7" t="s">
        <v>30</v>
      </c>
      <c r="I4" s="8" t="s">
        <v>31</v>
      </c>
      <c r="J4" s="8" t="s">
        <v>32</v>
      </c>
      <c r="M4" s="13" t="s">
        <v>30</v>
      </c>
      <c r="N4" s="13" t="s">
        <v>31</v>
      </c>
      <c r="O4" s="13" t="s">
        <v>32</v>
      </c>
    </row>
    <row r="5">
      <c r="B5" s="5" t="s">
        <v>17</v>
      </c>
      <c r="C5" s="9">
        <v>112.58986710963458</v>
      </c>
      <c r="D5" s="9">
        <v>111.9</v>
      </c>
      <c r="E5" s="9">
        <v>49.5</v>
      </c>
      <c r="F5" s="9">
        <v>155.9</v>
      </c>
      <c r="H5" s="11" t="s">
        <v>20</v>
      </c>
      <c r="I5" s="12">
        <f>'Doc travail comparaison à la mo'!L11</f>
        <v>41.53</v>
      </c>
      <c r="J5" s="12">
        <f>'Doc travail comparaison à la mo'!M11</f>
        <v>65.78</v>
      </c>
      <c r="M5" s="14" t="s">
        <v>22</v>
      </c>
      <c r="N5" s="15">
        <f>'100 les plus favorisés'!K3</f>
        <v>20</v>
      </c>
      <c r="O5" s="15">
        <f>'100 les plus favorisés'!L3</f>
        <v>80</v>
      </c>
    </row>
    <row r="6">
      <c r="B6" s="5" t="s">
        <v>18</v>
      </c>
      <c r="C6" s="9">
        <v>99.56337910944643</v>
      </c>
      <c r="D6" s="9">
        <v>99.4</v>
      </c>
      <c r="E6" s="9">
        <v>58.0</v>
      </c>
      <c r="F6" s="9">
        <v>159.0</v>
      </c>
    </row>
    <row r="7">
      <c r="B7" s="5" t="s">
        <v>19</v>
      </c>
      <c r="C7" s="9">
        <v>103.91156085389518</v>
      </c>
      <c r="D7" s="9">
        <v>103.8</v>
      </c>
      <c r="E7" s="9">
        <v>49.5</v>
      </c>
      <c r="F7" s="9">
        <v>159.0</v>
      </c>
      <c r="M7" s="4" t="s">
        <v>37</v>
      </c>
      <c r="N7" s="3"/>
      <c r="O7" s="3"/>
    </row>
    <row r="8">
      <c r="M8" s="13" t="s">
        <v>30</v>
      </c>
      <c r="N8" s="13" t="s">
        <v>31</v>
      </c>
      <c r="O8" s="13" t="s">
        <v>32</v>
      </c>
    </row>
    <row r="9">
      <c r="M9" s="14" t="s">
        <v>22</v>
      </c>
      <c r="N9" s="15">
        <f>'100 les plus défavorisés'!K3</f>
        <v>84</v>
      </c>
      <c r="O9" s="15">
        <f>'100 les plus défavorisés'!L3</f>
        <v>16</v>
      </c>
    </row>
  </sheetData>
  <mergeCells count="5">
    <mergeCell ref="B1:P1"/>
    <mergeCell ref="B3:F3"/>
    <mergeCell ref="H3:K3"/>
    <mergeCell ref="M3:O3"/>
    <mergeCell ref="M7:O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1.22" defaultRowHeight="15.75"/>
  <cols>
    <col customWidth="1" min="5" max="6" width="25.78"/>
    <col customWidth="1" min="8" max="8" width="11.67"/>
    <col customWidth="1" min="9" max="9" width="14.11"/>
  </cols>
  <sheetData>
    <row r="1">
      <c r="B1" s="1" t="s">
        <v>38</v>
      </c>
    </row>
    <row r="3">
      <c r="B3" s="24" t="s">
        <v>39</v>
      </c>
      <c r="C3" s="3"/>
      <c r="D3" s="3"/>
      <c r="E3" s="3"/>
    </row>
    <row r="4">
      <c r="B4" s="25" t="s">
        <v>40</v>
      </c>
      <c r="C4" s="25" t="s">
        <v>41</v>
      </c>
      <c r="D4" s="6"/>
      <c r="E4" s="6"/>
    </row>
    <row r="5">
      <c r="B5" s="26">
        <f>'Donc travail taux reussite bac'!K5</f>
        <v>86</v>
      </c>
      <c r="C5" s="27">
        <f>'Donc travail taux reussite bac'!L5</f>
        <v>99</v>
      </c>
      <c r="D5" s="6"/>
      <c r="E5" s="6"/>
    </row>
    <row r="6">
      <c r="B6" s="6"/>
      <c r="C6" s="6"/>
      <c r="D6" s="6"/>
      <c r="E6" s="6"/>
    </row>
    <row r="7">
      <c r="B7" s="28" t="s">
        <v>42</v>
      </c>
      <c r="C7" s="3"/>
      <c r="D7" s="3"/>
      <c r="E7" s="3"/>
    </row>
    <row r="8">
      <c r="B8" s="25" t="s">
        <v>40</v>
      </c>
      <c r="C8" s="25" t="s">
        <v>41</v>
      </c>
      <c r="D8" s="6"/>
      <c r="E8" s="6"/>
    </row>
    <row r="9">
      <c r="B9" s="26">
        <f>'Donc travail taux reussite bac'!K10</f>
        <v>94</v>
      </c>
      <c r="C9" s="27">
        <f>'Donc travail taux reussite bac'!L10</f>
        <v>98</v>
      </c>
      <c r="D9" s="6"/>
      <c r="E9" s="6"/>
    </row>
    <row r="10">
      <c r="B10" s="6"/>
      <c r="C10" s="6"/>
      <c r="D10" s="6"/>
      <c r="E10" s="6"/>
    </row>
    <row r="16">
      <c r="F16" s="29"/>
      <c r="H16" s="30"/>
      <c r="I16" s="31"/>
    </row>
    <row r="19">
      <c r="F19" s="25" t="s">
        <v>43</v>
      </c>
      <c r="H19" s="32">
        <f>round('Donc travail taux reussite bac'!G11,2)</f>
        <v>0.55</v>
      </c>
      <c r="I19" s="33" t="s">
        <v>44</v>
      </c>
    </row>
  </sheetData>
  <mergeCells count="5">
    <mergeCell ref="B1:P1"/>
    <mergeCell ref="B3:E3"/>
    <mergeCell ref="B7:E7"/>
    <mergeCell ref="F16:G16"/>
    <mergeCell ref="F19:G19"/>
  </mergeCells>
  <drawing r:id="rId1"/>
  <tableParts count="2"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1.22" defaultRowHeight="15.75"/>
  <cols>
    <col customWidth="1" min="2" max="2" width="22.56"/>
    <col customWidth="1" min="9" max="9" width="4.44"/>
    <col customWidth="1" min="10" max="10" width="15.78"/>
    <col customWidth="1" min="12" max="12" width="11.56"/>
  </cols>
  <sheetData>
    <row r="1">
      <c r="A1" s="13" t="s">
        <v>45</v>
      </c>
      <c r="B1" s="34" t="s">
        <v>46</v>
      </c>
    </row>
    <row r="3">
      <c r="A3" s="34" t="s">
        <v>45</v>
      </c>
      <c r="B3" s="34" t="s">
        <v>47</v>
      </c>
      <c r="C3" s="34" t="s">
        <v>48</v>
      </c>
      <c r="D3" s="34" t="s">
        <v>30</v>
      </c>
      <c r="E3" s="34" t="s">
        <v>4</v>
      </c>
      <c r="F3" s="34" t="s">
        <v>49</v>
      </c>
      <c r="G3" s="34" t="s">
        <v>50</v>
      </c>
      <c r="H3" s="34" t="s">
        <v>51</v>
      </c>
      <c r="J3" s="35" t="s">
        <v>52</v>
      </c>
      <c r="K3" s="36" t="s">
        <v>15</v>
      </c>
      <c r="L3" s="36" t="s">
        <v>14</v>
      </c>
      <c r="M3" s="36" t="s">
        <v>13</v>
      </c>
      <c r="N3" s="36" t="s">
        <v>34</v>
      </c>
    </row>
    <row r="4">
      <c r="A4" s="5" t="str">
        <f>IFERROR(__xludf.DUMMYFUNCTION("filter('données'!B2:B3608,'données'!$B$2:$B$3608=$B$1)"),"LILLE")</f>
        <v>LILLE</v>
      </c>
      <c r="B4" s="5" t="str">
        <f>IFERROR(__xludf.DUMMYFUNCTION("filter('données'!F2:F3608,'données'!$B$2:$B$3608=$B$1)"),"LYCEE GENERAL ET TECHNOLOGIQUE PAUL HAZARD")</f>
        <v>LYCEE GENERAL ET TECHNOLOGIQUE PAUL HAZARD</v>
      </c>
      <c r="C4" s="5" t="str">
        <f>IFERROR(__xludf.DUMMYFUNCTION("filter('données'!H2:H3608,'données'!$B$2:$B$3608=$B$1)"),"ARMENTIERES")</f>
        <v>ARMENTIERES</v>
      </c>
      <c r="D4" s="5" t="str">
        <f>IFERROR(__xludf.DUMMYFUNCTION("filter('données'!I2:I3608,'données'!$B$2:$B$3608=$B$1)"),"public")</f>
        <v>public</v>
      </c>
      <c r="E4" s="5" t="str">
        <f>IFERROR(__xludf.DUMMYFUNCTION("filter('données'!J2:J3608,'données'!$B$2:$B$3608=$B$1)"),"LEGT")</f>
        <v>LEGT</v>
      </c>
      <c r="F4" s="9">
        <f>IFERROR(__xludf.DUMMYFUNCTION("filter('données'!K2:K3608,'données'!$B$2:$B$3608=$B$1)"),108.5)</f>
        <v>108.5</v>
      </c>
      <c r="G4" s="9" t="str">
        <f>IFERROR(__xludf.DUMMYFUNCTION("filter('données'!L2:L3608,'données'!$B$2:$B$3608=$B$1)"),"")</f>
        <v/>
      </c>
      <c r="H4" s="9">
        <f>IFERROR(__xludf.DUMMYFUNCTION("filter('données'!M2:M3608,'données'!$B$2:$B$3608=$B$1)"),108.5)</f>
        <v>108.5</v>
      </c>
      <c r="J4" s="37" t="s">
        <v>5</v>
      </c>
      <c r="K4" s="5">
        <f t="shared" ref="K4:M4" si="1">AVERAGEIFS($H$4:$H1000,$E$4:$E1000,K3)</f>
        <v>112.1471264</v>
      </c>
      <c r="L4" s="5">
        <f t="shared" si="1"/>
        <v>95.40862069</v>
      </c>
      <c r="M4" s="5">
        <f t="shared" si="1"/>
        <v>76.55542169</v>
      </c>
      <c r="N4" s="9">
        <f>average(H4:H1000)</f>
        <v>94.93245614</v>
      </c>
    </row>
    <row r="5">
      <c r="A5" s="5" t="str">
        <f>IFERROR(__xludf.DUMMYFUNCTION("""COMPUTED_VALUE"""),"LILLE")</f>
        <v>LILLE</v>
      </c>
      <c r="B5" s="5" t="str">
        <f>IFERROR(__xludf.DUMMYFUNCTION("""COMPUTED_VALUE"""),"LYCEE GENERAL DES NERVIENS")</f>
        <v>LYCEE GENERAL DES NERVIENS</v>
      </c>
      <c r="C5" s="5" t="str">
        <f>IFERROR(__xludf.DUMMYFUNCTION("""COMPUTED_VALUE"""),"BAVAY")</f>
        <v>BAVAY</v>
      </c>
      <c r="D5" s="5" t="str">
        <f>IFERROR(__xludf.DUMMYFUNCTION("""COMPUTED_VALUE"""),"public")</f>
        <v>public</v>
      </c>
      <c r="E5" s="5" t="str">
        <f>IFERROR(__xludf.DUMMYFUNCTION("""COMPUTED_VALUE"""),"LEGT")</f>
        <v>LEGT</v>
      </c>
      <c r="F5" s="9">
        <f>IFERROR(__xludf.DUMMYFUNCTION("""COMPUTED_VALUE"""),116.0)</f>
        <v>116</v>
      </c>
      <c r="G5" s="9"/>
      <c r="H5" s="9">
        <f>IFERROR(__xludf.DUMMYFUNCTION("""COMPUTED_VALUE"""),116.0)</f>
        <v>116</v>
      </c>
    </row>
    <row r="6">
      <c r="A6" s="5" t="str">
        <f>IFERROR(__xludf.DUMMYFUNCTION("""COMPUTED_VALUE"""),"LILLE")</f>
        <v>LILLE</v>
      </c>
      <c r="B6" s="5" t="str">
        <f>IFERROR(__xludf.DUMMYFUNCTION("""COMPUTED_VALUE"""),"LYCEE PROFESSIONNEL LOUISE DE BETTIGNIES")</f>
        <v>LYCEE PROFESSIONNEL LOUISE DE BETTIGNIES</v>
      </c>
      <c r="C6" s="5" t="str">
        <f>IFERROR(__xludf.DUMMYFUNCTION("""COMPUTED_VALUE"""),"CAMBRAI")</f>
        <v>CAMBRAI</v>
      </c>
      <c r="D6" s="5" t="str">
        <f>IFERROR(__xludf.DUMMYFUNCTION("""COMPUTED_VALUE"""),"public")</f>
        <v>public</v>
      </c>
      <c r="E6" s="5" t="str">
        <f>IFERROR(__xludf.DUMMYFUNCTION("""COMPUTED_VALUE"""),"LP")</f>
        <v>LP</v>
      </c>
      <c r="F6" s="9"/>
      <c r="G6" s="9">
        <f>IFERROR(__xludf.DUMMYFUNCTION("""COMPUTED_VALUE"""),75.5)</f>
        <v>75.5</v>
      </c>
      <c r="H6" s="9">
        <f>IFERROR(__xludf.DUMMYFUNCTION("""COMPUTED_VALUE"""),75.5)</f>
        <v>75.5</v>
      </c>
      <c r="J6" s="35" t="s">
        <v>30</v>
      </c>
      <c r="K6" s="36" t="s">
        <v>31</v>
      </c>
      <c r="L6" s="36" t="s">
        <v>53</v>
      </c>
      <c r="M6" s="36" t="s">
        <v>34</v>
      </c>
      <c r="N6" s="38"/>
    </row>
    <row r="7">
      <c r="A7" s="5" t="str">
        <f>IFERROR(__xludf.DUMMYFUNCTION("""COMPUTED_VALUE"""),"LILLE")</f>
        <v>LILLE</v>
      </c>
      <c r="B7" s="5" t="str">
        <f>IFERROR(__xludf.DUMMYFUNCTION("""COMPUTED_VALUE"""),"LYCEE GENERAL ET TECHNOLOGIQUE DE L EUROPE")</f>
        <v>LYCEE GENERAL ET TECHNOLOGIQUE DE L EUROPE</v>
      </c>
      <c r="C7" s="5" t="str">
        <f>IFERROR(__xludf.DUMMYFUNCTION("""COMPUTED_VALUE"""),"DUNKERQUE")</f>
        <v>DUNKERQUE</v>
      </c>
      <c r="D7" s="5" t="str">
        <f>IFERROR(__xludf.DUMMYFUNCTION("""COMPUTED_VALUE"""),"public")</f>
        <v>public</v>
      </c>
      <c r="E7" s="5" t="str">
        <f>IFERROR(__xludf.DUMMYFUNCTION("""COMPUTED_VALUE"""),"LPO")</f>
        <v>LPO</v>
      </c>
      <c r="F7" s="9">
        <f>IFERROR(__xludf.DUMMYFUNCTION("""COMPUTED_VALUE"""),91.8)</f>
        <v>91.8</v>
      </c>
      <c r="G7" s="9">
        <f>IFERROR(__xludf.DUMMYFUNCTION("""COMPUTED_VALUE"""),82.0)</f>
        <v>82</v>
      </c>
      <c r="H7" s="9">
        <f>IFERROR(__xludf.DUMMYFUNCTION("""COMPUTED_VALUE"""),91.8)</f>
        <v>91.8</v>
      </c>
      <c r="J7" s="37" t="s">
        <v>5</v>
      </c>
      <c r="K7" s="5">
        <f t="shared" ref="K7:L7" si="2">AVERAGEIFS($H$4:$H1000,$D$4:$D1000,K6)</f>
        <v>88.40440252</v>
      </c>
      <c r="L7" s="5">
        <f t="shared" si="2"/>
        <v>109.9753623</v>
      </c>
      <c r="M7" s="9">
        <f>average(H4:H1000)</f>
        <v>94.93245614</v>
      </c>
    </row>
    <row r="8">
      <c r="A8" s="5" t="str">
        <f>IFERROR(__xludf.DUMMYFUNCTION("""COMPUTED_VALUE"""),"LILLE")</f>
        <v>LILLE</v>
      </c>
      <c r="B8" s="5" t="str">
        <f>IFERROR(__xludf.DUMMYFUNCTION("""COMPUTED_VALUE"""),"LYCEE POLYVALENT CAMILLE CLAUDEL")</f>
        <v>LYCEE POLYVALENT CAMILLE CLAUDEL</v>
      </c>
      <c r="C8" s="5" t="str">
        <f>IFERROR(__xludf.DUMMYFUNCTION("""COMPUTED_VALUE"""),"FOURMIES")</f>
        <v>FOURMIES</v>
      </c>
      <c r="D8" s="5" t="str">
        <f>IFERROR(__xludf.DUMMYFUNCTION("""COMPUTED_VALUE"""),"public")</f>
        <v>public</v>
      </c>
      <c r="E8" s="5" t="str">
        <f>IFERROR(__xludf.DUMMYFUNCTION("""COMPUTED_VALUE"""),"LPO")</f>
        <v>LPO</v>
      </c>
      <c r="F8" s="9">
        <f>IFERROR(__xludf.DUMMYFUNCTION("""COMPUTED_VALUE"""),94.6)</f>
        <v>94.6</v>
      </c>
      <c r="G8" s="9">
        <f>IFERROR(__xludf.DUMMYFUNCTION("""COMPUTED_VALUE"""),72.2)</f>
        <v>72.2</v>
      </c>
      <c r="H8" s="9">
        <f>IFERROR(__xludf.DUMMYFUNCTION("""COMPUTED_VALUE"""),86.1)</f>
        <v>86.1</v>
      </c>
    </row>
    <row r="9">
      <c r="A9" s="5" t="str">
        <f>IFERROR(__xludf.DUMMYFUNCTION("""COMPUTED_VALUE"""),"LILLE")</f>
        <v>LILLE</v>
      </c>
      <c r="B9" s="5" t="str">
        <f>IFERROR(__xludf.DUMMYFUNCTION("""COMPUTED_VALUE"""),"LYCEE GENERAL ET TECHNOLOGIQUE MARGUERITE DE FLANDRE")</f>
        <v>LYCEE GENERAL ET TECHNOLOGIQUE MARGUERITE DE FLANDRE</v>
      </c>
      <c r="C9" s="5" t="str">
        <f>IFERROR(__xludf.DUMMYFUNCTION("""COMPUTED_VALUE"""),"GONDECOURT")</f>
        <v>GONDECOURT</v>
      </c>
      <c r="D9" s="5" t="str">
        <f>IFERROR(__xludf.DUMMYFUNCTION("""COMPUTED_VALUE"""),"public")</f>
        <v>public</v>
      </c>
      <c r="E9" s="5" t="str">
        <f>IFERROR(__xludf.DUMMYFUNCTION("""COMPUTED_VALUE"""),"LEGT")</f>
        <v>LEGT</v>
      </c>
      <c r="F9" s="9">
        <f>IFERROR(__xludf.DUMMYFUNCTION("""COMPUTED_VALUE"""),125.9)</f>
        <v>125.9</v>
      </c>
      <c r="G9" s="9"/>
      <c r="H9" s="9">
        <f>IFERROR(__xludf.DUMMYFUNCTION("""COMPUTED_VALUE"""),125.9)</f>
        <v>125.9</v>
      </c>
    </row>
    <row r="10">
      <c r="A10" s="5" t="str">
        <f>IFERROR(__xludf.DUMMYFUNCTION("""COMPUTED_VALUE"""),"LILLE")</f>
        <v>LILLE</v>
      </c>
      <c r="B10" s="5" t="str">
        <f>IFERROR(__xludf.DUMMYFUNCTION("""COMPUTED_VALUE"""),"LYCEE GENERAL ET TECHNOLOGIQUE CESAR BAGGIO")</f>
        <v>LYCEE GENERAL ET TECHNOLOGIQUE CESAR BAGGIO</v>
      </c>
      <c r="C10" s="5" t="str">
        <f>IFERROR(__xludf.DUMMYFUNCTION("""COMPUTED_VALUE"""),"LILLE")</f>
        <v>LILLE</v>
      </c>
      <c r="D10" s="5" t="str">
        <f>IFERROR(__xludf.DUMMYFUNCTION("""COMPUTED_VALUE"""),"public")</f>
        <v>public</v>
      </c>
      <c r="E10" s="5" t="str">
        <f>IFERROR(__xludf.DUMMYFUNCTION("""COMPUTED_VALUE"""),"LEGT")</f>
        <v>LEGT</v>
      </c>
      <c r="F10" s="9">
        <f>IFERROR(__xludf.DUMMYFUNCTION("""COMPUTED_VALUE"""),96.1)</f>
        <v>96.1</v>
      </c>
      <c r="G10" s="9"/>
      <c r="H10" s="9">
        <f>IFERROR(__xludf.DUMMYFUNCTION("""COMPUTED_VALUE"""),96.1)</f>
        <v>96.1</v>
      </c>
    </row>
    <row r="11">
      <c r="A11" s="5" t="str">
        <f>IFERROR(__xludf.DUMMYFUNCTION("""COMPUTED_VALUE"""),"LILLE")</f>
        <v>LILLE</v>
      </c>
      <c r="B11" s="5" t="str">
        <f>IFERROR(__xludf.DUMMYFUNCTION("""COMPUTED_VALUE"""),"LYCEE PROFESSIONNEL MAURICE DUHAMEL")</f>
        <v>LYCEE PROFESSIONNEL MAURICE DUHAMEL</v>
      </c>
      <c r="C11" s="5" t="str">
        <f>IFERROR(__xludf.DUMMYFUNCTION("""COMPUTED_VALUE"""),"LOOS")</f>
        <v>LOOS</v>
      </c>
      <c r="D11" s="5" t="str">
        <f>IFERROR(__xludf.DUMMYFUNCTION("""COMPUTED_VALUE"""),"public")</f>
        <v>public</v>
      </c>
      <c r="E11" s="5" t="str">
        <f>IFERROR(__xludf.DUMMYFUNCTION("""COMPUTED_VALUE"""),"LP")</f>
        <v>LP</v>
      </c>
      <c r="F11" s="9"/>
      <c r="G11" s="9">
        <f>IFERROR(__xludf.DUMMYFUNCTION("""COMPUTED_VALUE"""),69.4)</f>
        <v>69.4</v>
      </c>
      <c r="H11" s="9">
        <f>IFERROR(__xludf.DUMMYFUNCTION("""COMPUTED_VALUE"""),69.4)</f>
        <v>69.4</v>
      </c>
    </row>
    <row r="12">
      <c r="A12" s="5" t="str">
        <f>IFERROR(__xludf.DUMMYFUNCTION("""COMPUTED_VALUE"""),"LILLE")</f>
        <v>LILLE</v>
      </c>
      <c r="B12" s="5" t="str">
        <f>IFERROR(__xludf.DUMMYFUNCTION("""COMPUTED_VALUE"""),"LYCEE POLYVALENT PIERRE FOREST")</f>
        <v>LYCEE POLYVALENT PIERRE FOREST</v>
      </c>
      <c r="C12" s="5" t="str">
        <f>IFERROR(__xludf.DUMMYFUNCTION("""COMPUTED_VALUE"""),"MAUBEUGE")</f>
        <v>MAUBEUGE</v>
      </c>
      <c r="D12" s="5" t="str">
        <f>IFERROR(__xludf.DUMMYFUNCTION("""COMPUTED_VALUE"""),"public")</f>
        <v>public</v>
      </c>
      <c r="E12" s="5" t="str">
        <f>IFERROR(__xludf.DUMMYFUNCTION("""COMPUTED_VALUE"""),"LPO")</f>
        <v>LPO</v>
      </c>
      <c r="F12" s="9">
        <f>IFERROR(__xludf.DUMMYFUNCTION("""COMPUTED_VALUE"""),93.2)</f>
        <v>93.2</v>
      </c>
      <c r="G12" s="9">
        <f>IFERROR(__xludf.DUMMYFUNCTION("""COMPUTED_VALUE"""),74.3)</f>
        <v>74.3</v>
      </c>
      <c r="H12" s="9">
        <f>IFERROR(__xludf.DUMMYFUNCTION("""COMPUTED_VALUE"""),91.8)</f>
        <v>91.8</v>
      </c>
    </row>
    <row r="13">
      <c r="A13" s="5" t="str">
        <f>IFERROR(__xludf.DUMMYFUNCTION("""COMPUTED_VALUE"""),"LILLE")</f>
        <v>LILLE</v>
      </c>
      <c r="B13" s="5" t="str">
        <f>IFERROR(__xludf.DUMMYFUNCTION("""COMPUTED_VALUE"""),"LYCEE POLYVALENT EUGENE THOMAS")</f>
        <v>LYCEE POLYVALENT EUGENE THOMAS</v>
      </c>
      <c r="C13" s="5" t="str">
        <f>IFERROR(__xludf.DUMMYFUNCTION("""COMPUTED_VALUE"""),"LE QUESNOY")</f>
        <v>LE QUESNOY</v>
      </c>
      <c r="D13" s="5" t="str">
        <f>IFERROR(__xludf.DUMMYFUNCTION("""COMPUTED_VALUE"""),"public")</f>
        <v>public</v>
      </c>
      <c r="E13" s="5" t="str">
        <f>IFERROR(__xludf.DUMMYFUNCTION("""COMPUTED_VALUE"""),"LPO")</f>
        <v>LPO</v>
      </c>
      <c r="F13" s="9">
        <f>IFERROR(__xludf.DUMMYFUNCTION("""COMPUTED_VALUE"""),118.7)</f>
        <v>118.7</v>
      </c>
      <c r="G13" s="9">
        <f>IFERROR(__xludf.DUMMYFUNCTION("""COMPUTED_VALUE"""),79.5)</f>
        <v>79.5</v>
      </c>
      <c r="H13" s="9">
        <f>IFERROR(__xludf.DUMMYFUNCTION("""COMPUTED_VALUE"""),112.5)</f>
        <v>112.5</v>
      </c>
    </row>
    <row r="14">
      <c r="A14" s="5" t="str">
        <f>IFERROR(__xludf.DUMMYFUNCTION("""COMPUTED_VALUE"""),"LILLE")</f>
        <v>LILLE</v>
      </c>
      <c r="B14" s="5" t="str">
        <f>IFERROR(__xludf.DUMMYFUNCTION("""COMPUTED_VALUE"""),"LYCEE PROFESSIONNEL TURGOT LYCEE DES METIERS DES SERVICES ADMINISTRATIFS ET DE LA RELATION CLIENT")</f>
        <v>LYCEE PROFESSIONNEL TURGOT LYCEE DES METIERS DES SERVICES ADMINISTRATIFS ET DE LA RELATION CLIENT</v>
      </c>
      <c r="C14" s="5" t="str">
        <f>IFERROR(__xludf.DUMMYFUNCTION("""COMPUTED_VALUE"""),"ROUBAIX")</f>
        <v>ROUBAIX</v>
      </c>
      <c r="D14" s="5" t="str">
        <f>IFERROR(__xludf.DUMMYFUNCTION("""COMPUTED_VALUE"""),"public")</f>
        <v>public</v>
      </c>
      <c r="E14" s="5" t="str">
        <f>IFERROR(__xludf.DUMMYFUNCTION("""COMPUTED_VALUE"""),"LP")</f>
        <v>LP</v>
      </c>
      <c r="F14" s="9"/>
      <c r="G14" s="9">
        <f>IFERROR(__xludf.DUMMYFUNCTION("""COMPUTED_VALUE"""),63.4)</f>
        <v>63.4</v>
      </c>
      <c r="H14" s="9">
        <f>IFERROR(__xludf.DUMMYFUNCTION("""COMPUTED_VALUE"""),63.4)</f>
        <v>63.4</v>
      </c>
    </row>
    <row r="15">
      <c r="A15" s="5" t="str">
        <f>IFERROR(__xludf.DUMMYFUNCTION("""COMPUTED_VALUE"""),"LILLE")</f>
        <v>LILLE</v>
      </c>
      <c r="B15" s="5" t="str">
        <f>IFERROR(__xludf.DUMMYFUNCTION("""COMPUTED_VALUE"""),"LYCEE PROFESSIONNEL LAVOISIER")</f>
        <v>LYCEE PROFESSIONNEL LAVOISIER</v>
      </c>
      <c r="C15" s="5" t="str">
        <f>IFERROR(__xludf.DUMMYFUNCTION("""COMPUTED_VALUE"""),"ROUBAIX")</f>
        <v>ROUBAIX</v>
      </c>
      <c r="D15" s="5" t="str">
        <f>IFERROR(__xludf.DUMMYFUNCTION("""COMPUTED_VALUE"""),"public")</f>
        <v>public</v>
      </c>
      <c r="E15" s="5" t="str">
        <f>IFERROR(__xludf.DUMMYFUNCTION("""COMPUTED_VALUE"""),"LP")</f>
        <v>LP</v>
      </c>
      <c r="F15" s="9"/>
      <c r="G15" s="9">
        <f>IFERROR(__xludf.DUMMYFUNCTION("""COMPUTED_VALUE"""),63.8)</f>
        <v>63.8</v>
      </c>
      <c r="H15" s="9">
        <f>IFERROR(__xludf.DUMMYFUNCTION("""COMPUTED_VALUE"""),63.8)</f>
        <v>63.8</v>
      </c>
    </row>
    <row r="16">
      <c r="A16" s="5" t="str">
        <f>IFERROR(__xludf.DUMMYFUNCTION("""COMPUTED_VALUE"""),"LILLE")</f>
        <v>LILLE</v>
      </c>
      <c r="B16" s="5" t="str">
        <f>IFERROR(__xludf.DUMMYFUNCTION("""COMPUTED_VALUE"""),"LYCEE POLYVALENT ERNEST COUTEAUX")</f>
        <v>LYCEE POLYVALENT ERNEST COUTEAUX</v>
      </c>
      <c r="C16" s="5" t="str">
        <f>IFERROR(__xludf.DUMMYFUNCTION("""COMPUTED_VALUE"""),"SAINT AMAND LES EAUX")</f>
        <v>SAINT AMAND LES EAUX</v>
      </c>
      <c r="D16" s="5" t="str">
        <f>IFERROR(__xludf.DUMMYFUNCTION("""COMPUTED_VALUE"""),"public")</f>
        <v>public</v>
      </c>
      <c r="E16" s="5" t="str">
        <f>IFERROR(__xludf.DUMMYFUNCTION("""COMPUTED_VALUE"""),"LPO")</f>
        <v>LPO</v>
      </c>
      <c r="F16" s="9">
        <f>IFERROR(__xludf.DUMMYFUNCTION("""COMPUTED_VALUE"""),111.2)</f>
        <v>111.2</v>
      </c>
      <c r="G16" s="9">
        <f>IFERROR(__xludf.DUMMYFUNCTION("""COMPUTED_VALUE"""),78.7)</f>
        <v>78.7</v>
      </c>
      <c r="H16" s="9">
        <f>IFERROR(__xludf.DUMMYFUNCTION("""COMPUTED_VALUE"""),105.3)</f>
        <v>105.3</v>
      </c>
    </row>
    <row r="17">
      <c r="A17" s="5" t="str">
        <f>IFERROR(__xludf.DUMMYFUNCTION("""COMPUTED_VALUE"""),"LILLE")</f>
        <v>LILLE</v>
      </c>
      <c r="B17" s="5" t="str">
        <f>IFERROR(__xludf.DUMMYFUNCTION("""COMPUTED_VALUE"""),"LYCEE GENERAL")</f>
        <v>LYCEE GENERAL</v>
      </c>
      <c r="C17" s="5" t="str">
        <f>IFERROR(__xludf.DUMMYFUNCTION("""COMPUTED_VALUE"""),"TOURCOING")</f>
        <v>TOURCOING</v>
      </c>
      <c r="D17" s="5" t="str">
        <f>IFERROR(__xludf.DUMMYFUNCTION("""COMPUTED_VALUE"""),"public")</f>
        <v>public</v>
      </c>
      <c r="E17" s="5" t="str">
        <f>IFERROR(__xludf.DUMMYFUNCTION("""COMPUTED_VALUE"""),"LEGT")</f>
        <v>LEGT</v>
      </c>
      <c r="F17" s="9">
        <f>IFERROR(__xludf.DUMMYFUNCTION("""COMPUTED_VALUE"""),98.3)</f>
        <v>98.3</v>
      </c>
      <c r="G17" s="9"/>
      <c r="H17" s="9">
        <f>IFERROR(__xludf.DUMMYFUNCTION("""COMPUTED_VALUE"""),98.3)</f>
        <v>98.3</v>
      </c>
    </row>
    <row r="18">
      <c r="A18" s="5" t="str">
        <f>IFERROR(__xludf.DUMMYFUNCTION("""COMPUTED_VALUE"""),"LILLE")</f>
        <v>LILLE</v>
      </c>
      <c r="B18" s="5" t="str">
        <f>IFERROR(__xludf.DUMMYFUNCTION("""COMPUTED_VALUE"""),"LYCEE GENERAL ET TECHNOLOGIQUE SEVIGNE")</f>
        <v>LYCEE GENERAL ET TECHNOLOGIQUE SEVIGNE</v>
      </c>
      <c r="C18" s="5" t="str">
        <f>IFERROR(__xludf.DUMMYFUNCTION("""COMPUTED_VALUE"""),"TOURCOING")</f>
        <v>TOURCOING</v>
      </c>
      <c r="D18" s="5" t="str">
        <f>IFERROR(__xludf.DUMMYFUNCTION("""COMPUTED_VALUE"""),"public")</f>
        <v>public</v>
      </c>
      <c r="E18" s="5" t="str">
        <f>IFERROR(__xludf.DUMMYFUNCTION("""COMPUTED_VALUE"""),"LEGT")</f>
        <v>LEGT</v>
      </c>
      <c r="F18" s="9">
        <f>IFERROR(__xludf.DUMMYFUNCTION("""COMPUTED_VALUE"""),75.1)</f>
        <v>75.1</v>
      </c>
      <c r="G18" s="9"/>
      <c r="H18" s="9">
        <f>IFERROR(__xludf.DUMMYFUNCTION("""COMPUTED_VALUE"""),75.1)</f>
        <v>75.1</v>
      </c>
    </row>
    <row r="19">
      <c r="A19" s="5" t="str">
        <f>IFERROR(__xludf.DUMMYFUNCTION("""COMPUTED_VALUE"""),"LILLE")</f>
        <v>LILLE</v>
      </c>
      <c r="B19" s="5" t="str">
        <f>IFERROR(__xludf.DUMMYFUNCTION("""COMPUTED_VALUE"""),"LYCEE GENERAL ET TECHNOLOGIQUE HENRI WALLON")</f>
        <v>LYCEE GENERAL ET TECHNOLOGIQUE HENRI WALLON</v>
      </c>
      <c r="C19" s="5" t="str">
        <f>IFERROR(__xludf.DUMMYFUNCTION("""COMPUTED_VALUE"""),"VALENCIENNES")</f>
        <v>VALENCIENNES</v>
      </c>
      <c r="D19" s="5" t="str">
        <f>IFERROR(__xludf.DUMMYFUNCTION("""COMPUTED_VALUE"""),"public")</f>
        <v>public</v>
      </c>
      <c r="E19" s="5" t="str">
        <f>IFERROR(__xludf.DUMMYFUNCTION("""COMPUTED_VALUE"""),"LEGT")</f>
        <v>LEGT</v>
      </c>
      <c r="F19" s="9">
        <f>IFERROR(__xludf.DUMMYFUNCTION("""COMPUTED_VALUE"""),104.9)</f>
        <v>104.9</v>
      </c>
      <c r="G19" s="9"/>
      <c r="H19" s="9">
        <f>IFERROR(__xludf.DUMMYFUNCTION("""COMPUTED_VALUE"""),104.9)</f>
        <v>104.9</v>
      </c>
    </row>
    <row r="20">
      <c r="A20" s="5" t="str">
        <f>IFERROR(__xludf.DUMMYFUNCTION("""COMPUTED_VALUE"""),"LILLE")</f>
        <v>LILLE</v>
      </c>
      <c r="B20" s="5" t="str">
        <f>IFERROR(__xludf.DUMMYFUNCTION("""COMPUTED_VALUE"""),"LYCEE PROFESSIONNEL JACQUES YVES COUSTEAU")</f>
        <v>LYCEE PROFESSIONNEL JACQUES YVES COUSTEAU</v>
      </c>
      <c r="C20" s="5" t="str">
        <f>IFERROR(__xludf.DUMMYFUNCTION("""COMPUTED_VALUE"""),"WASQUEHAL")</f>
        <v>WASQUEHAL</v>
      </c>
      <c r="D20" s="5" t="str">
        <f>IFERROR(__xludf.DUMMYFUNCTION("""COMPUTED_VALUE"""),"public")</f>
        <v>public</v>
      </c>
      <c r="E20" s="5" t="str">
        <f>IFERROR(__xludf.DUMMYFUNCTION("""COMPUTED_VALUE"""),"LP")</f>
        <v>LP</v>
      </c>
      <c r="F20" s="9"/>
      <c r="G20" s="9">
        <f>IFERROR(__xludf.DUMMYFUNCTION("""COMPUTED_VALUE"""),68.9)</f>
        <v>68.9</v>
      </c>
      <c r="H20" s="9">
        <f>IFERROR(__xludf.DUMMYFUNCTION("""COMPUTED_VALUE"""),68.9)</f>
        <v>68.9</v>
      </c>
    </row>
    <row r="21">
      <c r="A21" s="5" t="str">
        <f>IFERROR(__xludf.DUMMYFUNCTION("""COMPUTED_VALUE"""),"LILLE")</f>
        <v>LILLE</v>
      </c>
      <c r="B21" s="5" t="str">
        <f>IFERROR(__xludf.DUMMYFUNCTION("""COMPUTED_VALUE"""),"LYCEE PROFESSIONNEL ALFRED KASTLER")</f>
        <v>LYCEE PROFESSIONNEL ALFRED KASTLER</v>
      </c>
      <c r="C21" s="5" t="str">
        <f>IFERROR(__xludf.DUMMYFUNCTION("""COMPUTED_VALUE"""),"DENAIN")</f>
        <v>DENAIN</v>
      </c>
      <c r="D21" s="5" t="str">
        <f>IFERROR(__xludf.DUMMYFUNCTION("""COMPUTED_VALUE"""),"public")</f>
        <v>public</v>
      </c>
      <c r="E21" s="5" t="str">
        <f>IFERROR(__xludf.DUMMYFUNCTION("""COMPUTED_VALUE"""),"LP")</f>
        <v>LP</v>
      </c>
      <c r="F21" s="9"/>
      <c r="G21" s="9">
        <f>IFERROR(__xludf.DUMMYFUNCTION("""COMPUTED_VALUE"""),70.2)</f>
        <v>70.2</v>
      </c>
      <c r="H21" s="9">
        <f>IFERROR(__xludf.DUMMYFUNCTION("""COMPUTED_VALUE"""),70.2)</f>
        <v>70.2</v>
      </c>
    </row>
    <row r="22">
      <c r="A22" s="5" t="str">
        <f>IFERROR(__xludf.DUMMYFUNCTION("""COMPUTED_VALUE"""),"LILLE")</f>
        <v>LILLE</v>
      </c>
      <c r="B22" s="5" t="str">
        <f>IFERROR(__xludf.DUMMYFUNCTION("""COMPUTED_VALUE"""),"LYCEE PROFESSIONNEL PIERRE JOSEPH LAURENT")</f>
        <v>LYCEE PROFESSIONNEL PIERRE JOSEPH LAURENT</v>
      </c>
      <c r="C22" s="5" t="str">
        <f>IFERROR(__xludf.DUMMYFUNCTION("""COMPUTED_VALUE"""),"ANICHE")</f>
        <v>ANICHE</v>
      </c>
      <c r="D22" s="5" t="str">
        <f>IFERROR(__xludf.DUMMYFUNCTION("""COMPUTED_VALUE"""),"public")</f>
        <v>public</v>
      </c>
      <c r="E22" s="5" t="str">
        <f>IFERROR(__xludf.DUMMYFUNCTION("""COMPUTED_VALUE"""),"LP")</f>
        <v>LP</v>
      </c>
      <c r="F22" s="9"/>
      <c r="G22" s="9">
        <f>IFERROR(__xludf.DUMMYFUNCTION("""COMPUTED_VALUE"""),74.1)</f>
        <v>74.1</v>
      </c>
      <c r="H22" s="9">
        <f>IFERROR(__xludf.DUMMYFUNCTION("""COMPUTED_VALUE"""),74.1)</f>
        <v>74.1</v>
      </c>
    </row>
    <row r="23">
      <c r="A23" s="5" t="str">
        <f>IFERROR(__xludf.DUMMYFUNCTION("""COMPUTED_VALUE"""),"LILLE")</f>
        <v>LILLE</v>
      </c>
      <c r="B23" s="5" t="str">
        <f>IFERROR(__xludf.DUMMYFUNCTION("""COMPUTED_VALUE"""),"LYCEE GENERAL PRIVE NOTRE DAME DES ANGES")</f>
        <v>LYCEE GENERAL PRIVE NOTRE DAME DES ANGES</v>
      </c>
      <c r="C23" s="5" t="str">
        <f>IFERROR(__xludf.DUMMYFUNCTION("""COMPUTED_VALUE"""),"SAINT AMAND LES EAUX")</f>
        <v>SAINT AMAND LES EAUX</v>
      </c>
      <c r="D23" s="5" t="str">
        <f>IFERROR(__xludf.DUMMYFUNCTION("""COMPUTED_VALUE"""),"privé sous contrat")</f>
        <v>privé sous contrat</v>
      </c>
      <c r="E23" s="5" t="str">
        <f>IFERROR(__xludf.DUMMYFUNCTION("""COMPUTED_VALUE"""),"LEGT")</f>
        <v>LEGT</v>
      </c>
      <c r="F23" s="9">
        <f>IFERROR(__xludf.DUMMYFUNCTION("""COMPUTED_VALUE"""),129.0)</f>
        <v>129</v>
      </c>
      <c r="G23" s="9"/>
      <c r="H23" s="9">
        <f>IFERROR(__xludf.DUMMYFUNCTION("""COMPUTED_VALUE"""),129.0)</f>
        <v>129</v>
      </c>
    </row>
    <row r="24">
      <c r="A24" s="5" t="str">
        <f>IFERROR(__xludf.DUMMYFUNCTION("""COMPUTED_VALUE"""),"LILLE")</f>
        <v>LILLE</v>
      </c>
      <c r="B24" s="5" t="str">
        <f>IFERROR(__xludf.DUMMYFUNCTION("""COMPUTED_VALUE"""),"LYCEE GENERAL ET TECHNOLOGIQUE PRIVE NOTRE DAME DE GRACE")</f>
        <v>LYCEE GENERAL ET TECHNOLOGIQUE PRIVE NOTRE DAME DE GRACE</v>
      </c>
      <c r="C24" s="5" t="str">
        <f>IFERROR(__xludf.DUMMYFUNCTION("""COMPUTED_VALUE"""),"MAUBEUGE")</f>
        <v>MAUBEUGE</v>
      </c>
      <c r="D24" s="5" t="str">
        <f>IFERROR(__xludf.DUMMYFUNCTION("""COMPUTED_VALUE"""),"privé sous contrat")</f>
        <v>privé sous contrat</v>
      </c>
      <c r="E24" s="5" t="str">
        <f>IFERROR(__xludf.DUMMYFUNCTION("""COMPUTED_VALUE"""),"LEGT")</f>
        <v>LEGT</v>
      </c>
      <c r="F24" s="9">
        <f>IFERROR(__xludf.DUMMYFUNCTION("""COMPUTED_VALUE"""),107.4)</f>
        <v>107.4</v>
      </c>
      <c r="G24" s="9"/>
      <c r="H24" s="9">
        <f>IFERROR(__xludf.DUMMYFUNCTION("""COMPUTED_VALUE"""),107.4)</f>
        <v>107.4</v>
      </c>
    </row>
    <row r="25">
      <c r="A25" s="5" t="str">
        <f>IFERROR(__xludf.DUMMYFUNCTION("""COMPUTED_VALUE"""),"LILLE")</f>
        <v>LILLE</v>
      </c>
      <c r="B25" s="5" t="str">
        <f>IFERROR(__xludf.DUMMYFUNCTION("""COMPUTED_VALUE"""),"LYCEE GENERAL PRIVE THERESE D AVILA")</f>
        <v>LYCEE GENERAL PRIVE THERESE D AVILA</v>
      </c>
      <c r="C25" s="5" t="str">
        <f>IFERROR(__xludf.DUMMYFUNCTION("""COMPUTED_VALUE"""),"LILLE")</f>
        <v>LILLE</v>
      </c>
      <c r="D25" s="5" t="str">
        <f>IFERROR(__xludf.DUMMYFUNCTION("""COMPUTED_VALUE"""),"privé sous contrat")</f>
        <v>privé sous contrat</v>
      </c>
      <c r="E25" s="5" t="str">
        <f>IFERROR(__xludf.DUMMYFUNCTION("""COMPUTED_VALUE"""),"LEGT")</f>
        <v>LEGT</v>
      </c>
      <c r="F25" s="9">
        <f>IFERROR(__xludf.DUMMYFUNCTION("""COMPUTED_VALUE"""),144.5)</f>
        <v>144.5</v>
      </c>
      <c r="G25" s="9"/>
      <c r="H25" s="9">
        <f>IFERROR(__xludf.DUMMYFUNCTION("""COMPUTED_VALUE"""),144.5)</f>
        <v>144.5</v>
      </c>
    </row>
    <row r="26">
      <c r="A26" s="5" t="str">
        <f>IFERROR(__xludf.DUMMYFUNCTION("""COMPUTED_VALUE"""),"LILLE")</f>
        <v>LILLE</v>
      </c>
      <c r="B26" s="5" t="str">
        <f>IFERROR(__xludf.DUMMYFUNCTION("""COMPUTED_VALUE"""),"LYCEE GENERAL PRIVE SAINTE MARIE")</f>
        <v>LYCEE GENERAL PRIVE SAINTE MARIE</v>
      </c>
      <c r="C26" s="5" t="str">
        <f>IFERROR(__xludf.DUMMYFUNCTION("""COMPUTED_VALUE"""),"BEAUCAMPS LIGNY")</f>
        <v>BEAUCAMPS LIGNY</v>
      </c>
      <c r="D26" s="5" t="str">
        <f>IFERROR(__xludf.DUMMYFUNCTION("""COMPUTED_VALUE"""),"privé sous contrat")</f>
        <v>privé sous contrat</v>
      </c>
      <c r="E26" s="5" t="str">
        <f>IFERROR(__xludf.DUMMYFUNCTION("""COMPUTED_VALUE"""),"LEGT")</f>
        <v>LEGT</v>
      </c>
      <c r="F26" s="9">
        <f>IFERROR(__xludf.DUMMYFUNCTION("""COMPUTED_VALUE"""),140.4)</f>
        <v>140.4</v>
      </c>
      <c r="G26" s="9"/>
      <c r="H26" s="9">
        <f>IFERROR(__xludf.DUMMYFUNCTION("""COMPUTED_VALUE"""),140.4)</f>
        <v>140.4</v>
      </c>
    </row>
    <row r="27">
      <c r="A27" s="5" t="str">
        <f>IFERROR(__xludf.DUMMYFUNCTION("""COMPUTED_VALUE"""),"LILLE")</f>
        <v>LILLE</v>
      </c>
      <c r="B27" s="5" t="str">
        <f>IFERROR(__xludf.DUMMYFUNCTION("""COMPUTED_VALUE"""),"LYCEE GENERAL PRIVE SAINT JEAN")</f>
        <v>LYCEE GENERAL PRIVE SAINT JEAN</v>
      </c>
      <c r="C27" s="5" t="str">
        <f>IFERROR(__xludf.DUMMYFUNCTION("""COMPUTED_VALUE"""),"DOUAI")</f>
        <v>DOUAI</v>
      </c>
      <c r="D27" s="5" t="str">
        <f>IFERROR(__xludf.DUMMYFUNCTION("""COMPUTED_VALUE"""),"privé sous contrat")</f>
        <v>privé sous contrat</v>
      </c>
      <c r="E27" s="5" t="str">
        <f>IFERROR(__xludf.DUMMYFUNCTION("""COMPUTED_VALUE"""),"LEGT")</f>
        <v>LEGT</v>
      </c>
      <c r="F27" s="9">
        <f>IFERROR(__xludf.DUMMYFUNCTION("""COMPUTED_VALUE"""),128.9)</f>
        <v>128.9</v>
      </c>
      <c r="G27" s="9"/>
      <c r="H27" s="9">
        <f>IFERROR(__xludf.DUMMYFUNCTION("""COMPUTED_VALUE"""),128.9)</f>
        <v>128.9</v>
      </c>
    </row>
    <row r="28">
      <c r="A28" s="5" t="str">
        <f>IFERROR(__xludf.DUMMYFUNCTION("""COMPUTED_VALUE"""),"LILLE")</f>
        <v>LILLE</v>
      </c>
      <c r="B28" s="5" t="str">
        <f>IFERROR(__xludf.DUMMYFUNCTION("""COMPUTED_VALUE"""),"LYCEE POLYVALENT PRIVE EIC INDUSTRIEL ET COMMERCIAL")</f>
        <v>LYCEE POLYVALENT PRIVE EIC INDUSTRIEL ET COMMERCIAL</v>
      </c>
      <c r="C28" s="5" t="str">
        <f>IFERROR(__xludf.DUMMYFUNCTION("""COMPUTED_VALUE"""),"TOURCOING")</f>
        <v>TOURCOING</v>
      </c>
      <c r="D28" s="5" t="str">
        <f>IFERROR(__xludf.DUMMYFUNCTION("""COMPUTED_VALUE"""),"privé sous contrat")</f>
        <v>privé sous contrat</v>
      </c>
      <c r="E28" s="5" t="str">
        <f>IFERROR(__xludf.DUMMYFUNCTION("""COMPUTED_VALUE"""),"LPO")</f>
        <v>LPO</v>
      </c>
      <c r="F28" s="9">
        <f>IFERROR(__xludf.DUMMYFUNCTION("""COMPUTED_VALUE"""),106.2)</f>
        <v>106.2</v>
      </c>
      <c r="G28" s="9">
        <f>IFERROR(__xludf.DUMMYFUNCTION("""COMPUTED_VALUE"""),90.6)</f>
        <v>90.6</v>
      </c>
      <c r="H28" s="9">
        <f>IFERROR(__xludf.DUMMYFUNCTION("""COMPUTED_VALUE"""),101.5)</f>
        <v>101.5</v>
      </c>
    </row>
    <row r="29">
      <c r="A29" s="5" t="str">
        <f>IFERROR(__xludf.DUMMYFUNCTION("""COMPUTED_VALUE"""),"LILLE")</f>
        <v>LILLE</v>
      </c>
      <c r="B29" s="5" t="str">
        <f>IFERROR(__xludf.DUMMYFUNCTION("""COMPUTED_VALUE"""),"LYCEE PROFESSIONNEL PRIVE SAINT FRANCOIS D ASSISE")</f>
        <v>LYCEE PROFESSIONNEL PRIVE SAINT FRANCOIS D ASSISE</v>
      </c>
      <c r="C29" s="5" t="str">
        <f>IFERROR(__xludf.DUMMYFUNCTION("""COMPUTED_VALUE"""),"ROUBAIX")</f>
        <v>ROUBAIX</v>
      </c>
      <c r="D29" s="5" t="str">
        <f>IFERROR(__xludf.DUMMYFUNCTION("""COMPUTED_VALUE"""),"privé sous contrat")</f>
        <v>privé sous contrat</v>
      </c>
      <c r="E29" s="5" t="str">
        <f>IFERROR(__xludf.DUMMYFUNCTION("""COMPUTED_VALUE"""),"LP")</f>
        <v>LP</v>
      </c>
      <c r="F29" s="9"/>
      <c r="G29" s="9">
        <f>IFERROR(__xludf.DUMMYFUNCTION("""COMPUTED_VALUE"""),83.1)</f>
        <v>83.1</v>
      </c>
      <c r="H29" s="9">
        <f>IFERROR(__xludf.DUMMYFUNCTION("""COMPUTED_VALUE"""),83.1)</f>
        <v>83.1</v>
      </c>
    </row>
    <row r="30">
      <c r="A30" s="5" t="str">
        <f>IFERROR(__xludf.DUMMYFUNCTION("""COMPUTED_VALUE"""),"LILLE")</f>
        <v>LILLE</v>
      </c>
      <c r="B30" s="5" t="str">
        <f>IFERROR(__xludf.DUMMYFUNCTION("""COMPUTED_VALUE"""),"LYCEE PROFESSIONNEL PRIVE CAMILLE DE LELLIS")</f>
        <v>LYCEE PROFESSIONNEL PRIVE CAMILLE DE LELLIS</v>
      </c>
      <c r="C30" s="5" t="str">
        <f>IFERROR(__xludf.DUMMYFUNCTION("""COMPUTED_VALUE"""),"LAMBERSART")</f>
        <v>LAMBERSART</v>
      </c>
      <c r="D30" s="5" t="str">
        <f>IFERROR(__xludf.DUMMYFUNCTION("""COMPUTED_VALUE"""),"privé sous contrat")</f>
        <v>privé sous contrat</v>
      </c>
      <c r="E30" s="5" t="str">
        <f>IFERROR(__xludf.DUMMYFUNCTION("""COMPUTED_VALUE"""),"LP")</f>
        <v>LP</v>
      </c>
      <c r="F30" s="9"/>
      <c r="G30" s="9">
        <f>IFERROR(__xludf.DUMMYFUNCTION("""COMPUTED_VALUE"""),82.8)</f>
        <v>82.8</v>
      </c>
      <c r="H30" s="9">
        <f>IFERROR(__xludf.DUMMYFUNCTION("""COMPUTED_VALUE"""),82.8)</f>
        <v>82.8</v>
      </c>
    </row>
    <row r="31">
      <c r="A31" s="5" t="str">
        <f>IFERROR(__xludf.DUMMYFUNCTION("""COMPUTED_VALUE"""),"LILLE")</f>
        <v>LILLE</v>
      </c>
      <c r="B31" s="5" t="str">
        <f>IFERROR(__xludf.DUMMYFUNCTION("""COMPUTED_VALUE"""),"LYCEE POLYVALENT PRIVE NOTRE DAME DE LA PROVIDENCE")</f>
        <v>LYCEE POLYVALENT PRIVE NOTRE DAME DE LA PROVIDENCE</v>
      </c>
      <c r="C31" s="5" t="str">
        <f>IFERROR(__xludf.DUMMYFUNCTION("""COMPUTED_VALUE"""),"ORCHIES")</f>
        <v>ORCHIES</v>
      </c>
      <c r="D31" s="5" t="str">
        <f>IFERROR(__xludf.DUMMYFUNCTION("""COMPUTED_VALUE"""),"privé sous contrat")</f>
        <v>privé sous contrat</v>
      </c>
      <c r="E31" s="5" t="str">
        <f>IFERROR(__xludf.DUMMYFUNCTION("""COMPUTED_VALUE"""),"LPO")</f>
        <v>LPO</v>
      </c>
      <c r="F31" s="9">
        <f>IFERROR(__xludf.DUMMYFUNCTION("""COMPUTED_VALUE"""),129.2)</f>
        <v>129.2</v>
      </c>
      <c r="G31" s="9">
        <f>IFERROR(__xludf.DUMMYFUNCTION("""COMPUTED_VALUE"""),114.9)</f>
        <v>114.9</v>
      </c>
      <c r="H31" s="9">
        <f>IFERROR(__xludf.DUMMYFUNCTION("""COMPUTED_VALUE"""),121.8)</f>
        <v>121.8</v>
      </c>
    </row>
    <row r="32">
      <c r="A32" s="5" t="str">
        <f>IFERROR(__xludf.DUMMYFUNCTION("""COMPUTED_VALUE"""),"LILLE")</f>
        <v>LILLE</v>
      </c>
      <c r="B32" s="5" t="str">
        <f>IFERROR(__xludf.DUMMYFUNCTION("""COMPUTED_VALUE"""),"LYCEE GENERAL ET TECHNOLOGIQUE PRIVE SAINT JACQUES")</f>
        <v>LYCEE GENERAL ET TECHNOLOGIQUE PRIVE SAINT JACQUES</v>
      </c>
      <c r="C32" s="5" t="str">
        <f>IFERROR(__xludf.DUMMYFUNCTION("""COMPUTED_VALUE"""),"HAZEBROUCK")</f>
        <v>HAZEBROUCK</v>
      </c>
      <c r="D32" s="5" t="str">
        <f>IFERROR(__xludf.DUMMYFUNCTION("""COMPUTED_VALUE"""),"privé sous contrat")</f>
        <v>privé sous contrat</v>
      </c>
      <c r="E32" s="5" t="str">
        <f>IFERROR(__xludf.DUMMYFUNCTION("""COMPUTED_VALUE"""),"LEGT")</f>
        <v>LEGT</v>
      </c>
      <c r="F32" s="9">
        <f>IFERROR(__xludf.DUMMYFUNCTION("""COMPUTED_VALUE"""),125.7)</f>
        <v>125.7</v>
      </c>
      <c r="G32" s="9"/>
      <c r="H32" s="9">
        <f>IFERROR(__xludf.DUMMYFUNCTION("""COMPUTED_VALUE"""),125.7)</f>
        <v>125.7</v>
      </c>
    </row>
    <row r="33">
      <c r="A33" s="5" t="str">
        <f>IFERROR(__xludf.DUMMYFUNCTION("""COMPUTED_VALUE"""),"LILLE")</f>
        <v>LILLE</v>
      </c>
      <c r="B33" s="5" t="str">
        <f>IFERROR(__xludf.DUMMYFUNCTION("""COMPUTED_VALUE"""),"LYCEE TECHNOLOGIQUE PRIVE EPID")</f>
        <v>LYCEE TECHNOLOGIQUE PRIVE EPID</v>
      </c>
      <c r="C33" s="5" t="str">
        <f>IFERROR(__xludf.DUMMYFUNCTION("""COMPUTED_VALUE"""),"DUNKERQUE")</f>
        <v>DUNKERQUE</v>
      </c>
      <c r="D33" s="5" t="str">
        <f>IFERROR(__xludf.DUMMYFUNCTION("""COMPUTED_VALUE"""),"privé sous contrat")</f>
        <v>privé sous contrat</v>
      </c>
      <c r="E33" s="5" t="str">
        <f>IFERROR(__xludf.DUMMYFUNCTION("""COMPUTED_VALUE"""),"LEGT")</f>
        <v>LEGT</v>
      </c>
      <c r="F33" s="9">
        <f>IFERROR(__xludf.DUMMYFUNCTION("""COMPUTED_VALUE"""),111.7)</f>
        <v>111.7</v>
      </c>
      <c r="G33" s="9"/>
      <c r="H33" s="9">
        <f>IFERROR(__xludf.DUMMYFUNCTION("""COMPUTED_VALUE"""),111.7)</f>
        <v>111.7</v>
      </c>
    </row>
    <row r="34">
      <c r="A34" s="5" t="str">
        <f>IFERROR(__xludf.DUMMYFUNCTION("""COMPUTED_VALUE"""),"LILLE")</f>
        <v>LILLE</v>
      </c>
      <c r="B34" s="5" t="str">
        <f>IFERROR(__xludf.DUMMYFUNCTION("""COMPUTED_VALUE"""),"LYCEE GENERAL ET TECHNOLOGIQUE RAYMOND QUENEAU")</f>
        <v>LYCEE GENERAL ET TECHNOLOGIQUE RAYMOND QUENEAU</v>
      </c>
      <c r="C34" s="5" t="str">
        <f>IFERROR(__xludf.DUMMYFUNCTION("""COMPUTED_VALUE"""),"VILLENEUVE D ASCQ")</f>
        <v>VILLENEUVE D ASCQ</v>
      </c>
      <c r="D34" s="5" t="str">
        <f>IFERROR(__xludf.DUMMYFUNCTION("""COMPUTED_VALUE"""),"public")</f>
        <v>public</v>
      </c>
      <c r="E34" s="5" t="str">
        <f>IFERROR(__xludf.DUMMYFUNCTION("""COMPUTED_VALUE"""),"LEGT")</f>
        <v>LEGT</v>
      </c>
      <c r="F34" s="9">
        <f>IFERROR(__xludf.DUMMYFUNCTION("""COMPUTED_VALUE"""),106.4)</f>
        <v>106.4</v>
      </c>
      <c r="G34" s="9"/>
      <c r="H34" s="9">
        <f>IFERROR(__xludf.DUMMYFUNCTION("""COMPUTED_VALUE"""),106.4)</f>
        <v>106.4</v>
      </c>
    </row>
    <row r="35">
      <c r="A35" s="5" t="str">
        <f>IFERROR(__xludf.DUMMYFUNCTION("""COMPUTED_VALUE"""),"LILLE")</f>
        <v>LILLE</v>
      </c>
      <c r="B35" s="5" t="str">
        <f>IFERROR(__xludf.DUMMYFUNCTION("""COMPUTED_VALUE"""),"LYCEE GENERAL ET TECHNOLOGIQUE DU NOORDOVER")</f>
        <v>LYCEE GENERAL ET TECHNOLOGIQUE DU NOORDOVER</v>
      </c>
      <c r="C35" s="5" t="str">
        <f>IFERROR(__xludf.DUMMYFUNCTION("""COMPUTED_VALUE"""),"GRANDE SYNTHE")</f>
        <v>GRANDE SYNTHE</v>
      </c>
      <c r="D35" s="5" t="str">
        <f>IFERROR(__xludf.DUMMYFUNCTION("""COMPUTED_VALUE"""),"public")</f>
        <v>public</v>
      </c>
      <c r="E35" s="5" t="str">
        <f>IFERROR(__xludf.DUMMYFUNCTION("""COMPUTED_VALUE"""),"LEGT")</f>
        <v>LEGT</v>
      </c>
      <c r="F35" s="9">
        <f>IFERROR(__xludf.DUMMYFUNCTION("""COMPUTED_VALUE"""),93.0)</f>
        <v>93</v>
      </c>
      <c r="G35" s="9"/>
      <c r="H35" s="9">
        <f>IFERROR(__xludf.DUMMYFUNCTION("""COMPUTED_VALUE"""),93.0)</f>
        <v>93</v>
      </c>
    </row>
    <row r="36">
      <c r="A36" s="5" t="str">
        <f>IFERROR(__xludf.DUMMYFUNCTION("""COMPUTED_VALUE"""),"LILLE")</f>
        <v>LILLE</v>
      </c>
      <c r="B36" s="5" t="str">
        <f>IFERROR(__xludf.DUMMYFUNCTION("""COMPUTED_VALUE"""),"LYCEE POLYVALENT PRIVE INSTITUT SAINT VINCENT DE PAUL LYCEE DES METIERS DU BIEN ÊTRE DE LA SANTE ET DU SOCIAL")</f>
        <v>LYCEE POLYVALENT PRIVE INSTITUT SAINT VINCENT DE PAUL LYCEE DES METIERS DU BIEN ÊTRE DE LA SANTE ET DU SOCIAL</v>
      </c>
      <c r="C36" s="5" t="str">
        <f>IFERROR(__xludf.DUMMYFUNCTION("""COMPUTED_VALUE"""),"LOOS")</f>
        <v>LOOS</v>
      </c>
      <c r="D36" s="5" t="str">
        <f>IFERROR(__xludf.DUMMYFUNCTION("""COMPUTED_VALUE"""),"privé sous contrat")</f>
        <v>privé sous contrat</v>
      </c>
      <c r="E36" s="5" t="str">
        <f>IFERROR(__xludf.DUMMYFUNCTION("""COMPUTED_VALUE"""),"LPO")</f>
        <v>LPO</v>
      </c>
      <c r="F36" s="9">
        <f>IFERROR(__xludf.DUMMYFUNCTION("""COMPUTED_VALUE"""),109.9)</f>
        <v>109.9</v>
      </c>
      <c r="G36" s="9">
        <f>IFERROR(__xludf.DUMMYFUNCTION("""COMPUTED_VALUE"""),93.2)</f>
        <v>93.2</v>
      </c>
      <c r="H36" s="9">
        <f>IFERROR(__xludf.DUMMYFUNCTION("""COMPUTED_VALUE"""),107.7)</f>
        <v>107.7</v>
      </c>
    </row>
    <row r="37">
      <c r="A37" s="5" t="str">
        <f>IFERROR(__xludf.DUMMYFUNCTION("""COMPUTED_VALUE"""),"LILLE")</f>
        <v>LILLE</v>
      </c>
      <c r="B37" s="5" t="str">
        <f>IFERROR(__xludf.DUMMYFUNCTION("""COMPUTED_VALUE"""),"LYCEE PROFESSIONNEL DE L YSER")</f>
        <v>LYCEE PROFESSIONNEL DE L YSER</v>
      </c>
      <c r="C37" s="5" t="str">
        <f>IFERROR(__xludf.DUMMYFUNCTION("""COMPUTED_VALUE"""),"WORMHOUT")</f>
        <v>WORMHOUT</v>
      </c>
      <c r="D37" s="5" t="str">
        <f>IFERROR(__xludf.DUMMYFUNCTION("""COMPUTED_VALUE"""),"public")</f>
        <v>public</v>
      </c>
      <c r="E37" s="5" t="str">
        <f>IFERROR(__xludf.DUMMYFUNCTION("""COMPUTED_VALUE"""),"LP")</f>
        <v>LP</v>
      </c>
      <c r="F37" s="9"/>
      <c r="G37" s="9">
        <f>IFERROR(__xludf.DUMMYFUNCTION("""COMPUTED_VALUE"""),73.3)</f>
        <v>73.3</v>
      </c>
      <c r="H37" s="9">
        <f>IFERROR(__xludf.DUMMYFUNCTION("""COMPUTED_VALUE"""),73.3)</f>
        <v>73.3</v>
      </c>
    </row>
    <row r="38">
      <c r="A38" s="5" t="str">
        <f>IFERROR(__xludf.DUMMYFUNCTION("""COMPUTED_VALUE"""),"LILLE")</f>
        <v>LILLE</v>
      </c>
      <c r="B38" s="5" t="str">
        <f>IFERROR(__xludf.DUMMYFUNCTION("""COMPUTED_VALUE"""),"LYCEE GENERAL ET TECHNOLOGIQUE INTERNATIONAL MONTEBELLO")</f>
        <v>LYCEE GENERAL ET TECHNOLOGIQUE INTERNATIONAL MONTEBELLO</v>
      </c>
      <c r="C38" s="5" t="str">
        <f>IFERROR(__xludf.DUMMYFUNCTION("""COMPUTED_VALUE"""),"LILLE")</f>
        <v>LILLE</v>
      </c>
      <c r="D38" s="5" t="str">
        <f>IFERROR(__xludf.DUMMYFUNCTION("""COMPUTED_VALUE"""),"public")</f>
        <v>public</v>
      </c>
      <c r="E38" s="5" t="str">
        <f>IFERROR(__xludf.DUMMYFUNCTION("""COMPUTED_VALUE"""),"LEGT")</f>
        <v>LEGT</v>
      </c>
      <c r="F38" s="9">
        <f>IFERROR(__xludf.DUMMYFUNCTION("""COMPUTED_VALUE"""),103.6)</f>
        <v>103.6</v>
      </c>
      <c r="G38" s="9"/>
      <c r="H38" s="9">
        <f>IFERROR(__xludf.DUMMYFUNCTION("""COMPUTED_VALUE"""),103.6)</f>
        <v>103.6</v>
      </c>
    </row>
    <row r="39">
      <c r="A39" s="5" t="str">
        <f>IFERROR(__xludf.DUMMYFUNCTION("""COMPUTED_VALUE"""),"LILLE")</f>
        <v>LILLE</v>
      </c>
      <c r="B39" s="5" t="str">
        <f>IFERROR(__xludf.DUMMYFUNCTION("""COMPUTED_VALUE"""),"LYCEE GENERAL PRIVE DE GENECH")</f>
        <v>LYCEE GENERAL PRIVE DE GENECH</v>
      </c>
      <c r="C39" s="5" t="str">
        <f>IFERROR(__xludf.DUMMYFUNCTION("""COMPUTED_VALUE"""),"GENECH")</f>
        <v>GENECH</v>
      </c>
      <c r="D39" s="5" t="str">
        <f>IFERROR(__xludf.DUMMYFUNCTION("""COMPUTED_VALUE"""),"privé sous contrat")</f>
        <v>privé sous contrat</v>
      </c>
      <c r="E39" s="5" t="str">
        <f>IFERROR(__xludf.DUMMYFUNCTION("""COMPUTED_VALUE"""),"LEGT")</f>
        <v>LEGT</v>
      </c>
      <c r="F39" s="9">
        <f>IFERROR(__xludf.DUMMYFUNCTION("""COMPUTED_VALUE"""),129.5)</f>
        <v>129.5</v>
      </c>
      <c r="G39" s="9"/>
      <c r="H39" s="9">
        <f>IFERROR(__xludf.DUMMYFUNCTION("""COMPUTED_VALUE"""),129.5)</f>
        <v>129.5</v>
      </c>
    </row>
    <row r="40">
      <c r="A40" s="5" t="str">
        <f>IFERROR(__xludf.DUMMYFUNCTION("""COMPUTED_VALUE"""),"LILLE")</f>
        <v>LILLE</v>
      </c>
      <c r="B40" s="5" t="str">
        <f>IFERROR(__xludf.DUMMYFUNCTION("""COMPUTED_VALUE"""),"LYCEE POLYVALENT DU VAL DE LYS")</f>
        <v>LYCEE POLYVALENT DU VAL DE LYS</v>
      </c>
      <c r="C40" s="5" t="str">
        <f>IFERROR(__xludf.DUMMYFUNCTION("""COMPUTED_VALUE"""),"ESTAIRES")</f>
        <v>ESTAIRES</v>
      </c>
      <c r="D40" s="5" t="str">
        <f>IFERROR(__xludf.DUMMYFUNCTION("""COMPUTED_VALUE"""),"public")</f>
        <v>public</v>
      </c>
      <c r="E40" s="5" t="str">
        <f>IFERROR(__xludf.DUMMYFUNCTION("""COMPUTED_VALUE"""),"LPO")</f>
        <v>LPO</v>
      </c>
      <c r="F40" s="9">
        <f>IFERROR(__xludf.DUMMYFUNCTION("""COMPUTED_VALUE"""),105.7)</f>
        <v>105.7</v>
      </c>
      <c r="G40" s="9">
        <f>IFERROR(__xludf.DUMMYFUNCTION("""COMPUTED_VALUE"""),84.0)</f>
        <v>84</v>
      </c>
      <c r="H40" s="9">
        <f>IFERROR(__xludf.DUMMYFUNCTION("""COMPUTED_VALUE"""),100.3)</f>
        <v>100.3</v>
      </c>
    </row>
    <row r="41">
      <c r="A41" s="5" t="str">
        <f>IFERROR(__xludf.DUMMYFUNCTION("""COMPUTED_VALUE"""),"LILLE")</f>
        <v>LILLE</v>
      </c>
      <c r="B41" s="5" t="str">
        <f>IFERROR(__xludf.DUMMYFUNCTION("""COMPUTED_VALUE"""),"LYCEE GENERAL ET TECHNOLOGIQUE LAVOISIER")</f>
        <v>LYCEE GENERAL ET TECHNOLOGIQUE LAVOISIER</v>
      </c>
      <c r="C41" s="5" t="str">
        <f>IFERROR(__xludf.DUMMYFUNCTION("""COMPUTED_VALUE"""),"AUCHEL")</f>
        <v>AUCHEL</v>
      </c>
      <c r="D41" s="5" t="str">
        <f>IFERROR(__xludf.DUMMYFUNCTION("""COMPUTED_VALUE"""),"public")</f>
        <v>public</v>
      </c>
      <c r="E41" s="5" t="str">
        <f>IFERROR(__xludf.DUMMYFUNCTION("""COMPUTED_VALUE"""),"LEGT")</f>
        <v>LEGT</v>
      </c>
      <c r="F41" s="9">
        <f>IFERROR(__xludf.DUMMYFUNCTION("""COMPUTED_VALUE"""),86.8)</f>
        <v>86.8</v>
      </c>
      <c r="G41" s="9"/>
      <c r="H41" s="9">
        <f>IFERROR(__xludf.DUMMYFUNCTION("""COMPUTED_VALUE"""),86.8)</f>
        <v>86.8</v>
      </c>
    </row>
    <row r="42">
      <c r="A42" s="5" t="str">
        <f>IFERROR(__xludf.DUMMYFUNCTION("""COMPUTED_VALUE"""),"LILLE")</f>
        <v>LILLE</v>
      </c>
      <c r="B42" s="5" t="str">
        <f>IFERROR(__xludf.DUMMYFUNCTION("""COMPUTED_VALUE"""),"LYCEE POLYVALENT LOUIS PASTEUR")</f>
        <v>LYCEE POLYVALENT LOUIS PASTEUR</v>
      </c>
      <c r="C42" s="5" t="str">
        <f>IFERROR(__xludf.DUMMYFUNCTION("""COMPUTED_VALUE"""),"HENIN BEAUMONT")</f>
        <v>HENIN BEAUMONT</v>
      </c>
      <c r="D42" s="5" t="str">
        <f>IFERROR(__xludf.DUMMYFUNCTION("""COMPUTED_VALUE"""),"public")</f>
        <v>public</v>
      </c>
      <c r="E42" s="5" t="str">
        <f>IFERROR(__xludf.DUMMYFUNCTION("""COMPUTED_VALUE"""),"LPO")</f>
        <v>LPO</v>
      </c>
      <c r="F42" s="9">
        <f>IFERROR(__xludf.DUMMYFUNCTION("""COMPUTED_VALUE"""),92.8)</f>
        <v>92.8</v>
      </c>
      <c r="G42" s="9">
        <f>IFERROR(__xludf.DUMMYFUNCTION("""COMPUTED_VALUE"""),78.1)</f>
        <v>78.1</v>
      </c>
      <c r="H42" s="9">
        <f>IFERROR(__xludf.DUMMYFUNCTION("""COMPUTED_VALUE"""),88.8)</f>
        <v>88.8</v>
      </c>
    </row>
    <row r="43">
      <c r="A43" s="5" t="str">
        <f>IFERROR(__xludf.DUMMYFUNCTION("""COMPUTED_VALUE"""),"LILLE")</f>
        <v>LILLE</v>
      </c>
      <c r="B43" s="5" t="str">
        <f>IFERROR(__xludf.DUMMYFUNCTION("""COMPUTED_VALUE"""),"LYCEE PROFESSIONNEL BERNARD CHOCHOY")</f>
        <v>LYCEE PROFESSIONNEL BERNARD CHOCHOY</v>
      </c>
      <c r="C43" s="5" t="str">
        <f>IFERROR(__xludf.DUMMYFUNCTION("""COMPUTED_VALUE"""),"LUMBRES")</f>
        <v>LUMBRES</v>
      </c>
      <c r="D43" s="5" t="str">
        <f>IFERROR(__xludf.DUMMYFUNCTION("""COMPUTED_VALUE"""),"public")</f>
        <v>public</v>
      </c>
      <c r="E43" s="5" t="str">
        <f>IFERROR(__xludf.DUMMYFUNCTION("""COMPUTED_VALUE"""),"LP")</f>
        <v>LP</v>
      </c>
      <c r="F43" s="9"/>
      <c r="G43" s="9">
        <f>IFERROR(__xludf.DUMMYFUNCTION("""COMPUTED_VALUE"""),69.6)</f>
        <v>69.6</v>
      </c>
      <c r="H43" s="9">
        <f>IFERROR(__xludf.DUMMYFUNCTION("""COMPUTED_VALUE"""),69.6)</f>
        <v>69.6</v>
      </c>
    </row>
    <row r="44">
      <c r="A44" s="5" t="str">
        <f>IFERROR(__xludf.DUMMYFUNCTION("""COMPUTED_VALUE"""),"LILLE")</f>
        <v>LILLE</v>
      </c>
      <c r="B44" s="5" t="str">
        <f>IFERROR(__xludf.DUMMYFUNCTION("""COMPUTED_VALUE"""),"LYCEE GENERAL ET TECHNOLOGIQUE ALEXANDRE RIBOT")</f>
        <v>LYCEE GENERAL ET TECHNOLOGIQUE ALEXANDRE RIBOT</v>
      </c>
      <c r="C44" s="5" t="str">
        <f>IFERROR(__xludf.DUMMYFUNCTION("""COMPUTED_VALUE"""),"SAINT OMER")</f>
        <v>SAINT OMER</v>
      </c>
      <c r="D44" s="5" t="str">
        <f>IFERROR(__xludf.DUMMYFUNCTION("""COMPUTED_VALUE"""),"public")</f>
        <v>public</v>
      </c>
      <c r="E44" s="5" t="str">
        <f>IFERROR(__xludf.DUMMYFUNCTION("""COMPUTED_VALUE"""),"LEGT")</f>
        <v>LEGT</v>
      </c>
      <c r="F44" s="9">
        <f>IFERROR(__xludf.DUMMYFUNCTION("""COMPUTED_VALUE"""),106.1)</f>
        <v>106.1</v>
      </c>
      <c r="G44" s="9"/>
      <c r="H44" s="9">
        <f>IFERROR(__xludf.DUMMYFUNCTION("""COMPUTED_VALUE"""),106.1)</f>
        <v>106.1</v>
      </c>
    </row>
    <row r="45">
      <c r="A45" s="5" t="str">
        <f>IFERROR(__xludf.DUMMYFUNCTION("""COMPUTED_VALUE"""),"LILLE")</f>
        <v>LILLE</v>
      </c>
      <c r="B45" s="5" t="str">
        <f>IFERROR(__xludf.DUMMYFUNCTION("""COMPUTED_VALUE"""),"LYCEE PROFESSIONNEL PIERRE MENDES FRANCE")</f>
        <v>LYCEE PROFESSIONNEL PIERRE MENDES FRANCE</v>
      </c>
      <c r="C45" s="5" t="str">
        <f>IFERROR(__xludf.DUMMYFUNCTION("""COMPUTED_VALUE"""),"SAINT POL SUR TERNOISE")</f>
        <v>SAINT POL SUR TERNOISE</v>
      </c>
      <c r="D45" s="5" t="str">
        <f>IFERROR(__xludf.DUMMYFUNCTION("""COMPUTED_VALUE"""),"public")</f>
        <v>public</v>
      </c>
      <c r="E45" s="5" t="str">
        <f>IFERROR(__xludf.DUMMYFUNCTION("""COMPUTED_VALUE"""),"LP")</f>
        <v>LP</v>
      </c>
      <c r="F45" s="9"/>
      <c r="G45" s="9">
        <f>IFERROR(__xludf.DUMMYFUNCTION("""COMPUTED_VALUE"""),73.9)</f>
        <v>73.9</v>
      </c>
      <c r="H45" s="9">
        <f>IFERROR(__xludf.DUMMYFUNCTION("""COMPUTED_VALUE"""),73.9)</f>
        <v>73.9</v>
      </c>
    </row>
    <row r="46">
      <c r="A46" s="5" t="str">
        <f>IFERROR(__xludf.DUMMYFUNCTION("""COMPUTED_VALUE"""),"LILLE")</f>
        <v>LILLE</v>
      </c>
      <c r="B46" s="5" t="str">
        <f>IFERROR(__xludf.DUMMYFUNCTION("""COMPUTED_VALUE"""),"LYCEE PROFESSIONNEL PROFESSEUR CLERC")</f>
        <v>LYCEE PROFESSIONNEL PROFESSEUR CLERC</v>
      </c>
      <c r="C46" s="5" t="str">
        <f>IFERROR(__xludf.DUMMYFUNCTION("""COMPUTED_VALUE"""),"OUTREAU")</f>
        <v>OUTREAU</v>
      </c>
      <c r="D46" s="5" t="str">
        <f>IFERROR(__xludf.DUMMYFUNCTION("""COMPUTED_VALUE"""),"public")</f>
        <v>public</v>
      </c>
      <c r="E46" s="5" t="str">
        <f>IFERROR(__xludf.DUMMYFUNCTION("""COMPUTED_VALUE"""),"LP")</f>
        <v>LP</v>
      </c>
      <c r="F46" s="9"/>
      <c r="G46" s="9">
        <f>IFERROR(__xludf.DUMMYFUNCTION("""COMPUTED_VALUE"""),75.7)</f>
        <v>75.7</v>
      </c>
      <c r="H46" s="9">
        <f>IFERROR(__xludf.DUMMYFUNCTION("""COMPUTED_VALUE"""),75.7)</f>
        <v>75.7</v>
      </c>
    </row>
    <row r="47">
      <c r="A47" s="5" t="str">
        <f>IFERROR(__xludf.DUMMYFUNCTION("""COMPUTED_VALUE"""),"LILLE")</f>
        <v>LILLE</v>
      </c>
      <c r="B47" s="5" t="str">
        <f>IFERROR(__xludf.DUMMYFUNCTION("""COMPUTED_VALUE"""),"LYCEE PROFESSIONNEL SAVARY FERRY")</f>
        <v>LYCEE PROFESSIONNEL SAVARY FERRY</v>
      </c>
      <c r="C47" s="5" t="str">
        <f>IFERROR(__xludf.DUMMYFUNCTION("""COMPUTED_VALUE"""),"ARRAS")</f>
        <v>ARRAS</v>
      </c>
      <c r="D47" s="5" t="str">
        <f>IFERROR(__xludf.DUMMYFUNCTION("""COMPUTED_VALUE"""),"public")</f>
        <v>public</v>
      </c>
      <c r="E47" s="5" t="str">
        <f>IFERROR(__xludf.DUMMYFUNCTION("""COMPUTED_VALUE"""),"LP")</f>
        <v>LP</v>
      </c>
      <c r="F47" s="9"/>
      <c r="G47" s="9">
        <f>IFERROR(__xludf.DUMMYFUNCTION("""COMPUTED_VALUE"""),80.0)</f>
        <v>80</v>
      </c>
      <c r="H47" s="9">
        <f>IFERROR(__xludf.DUMMYFUNCTION("""COMPUTED_VALUE"""),80.0)</f>
        <v>80</v>
      </c>
    </row>
    <row r="48">
      <c r="A48" s="5" t="str">
        <f>IFERROR(__xludf.DUMMYFUNCTION("""COMPUTED_VALUE"""),"LILLE")</f>
        <v>LILLE</v>
      </c>
      <c r="B48" s="5" t="str">
        <f>IFERROR(__xludf.DUMMYFUNCTION("""COMPUTED_VALUE"""),"LYCEE POLYVALENT PRIVE SAINT PAUL")</f>
        <v>LYCEE POLYVALENT PRIVE SAINT PAUL</v>
      </c>
      <c r="C48" s="5" t="str">
        <f>IFERROR(__xludf.DUMMYFUNCTION("""COMPUTED_VALUE"""),"LENS")</f>
        <v>LENS</v>
      </c>
      <c r="D48" s="5" t="str">
        <f>IFERROR(__xludf.DUMMYFUNCTION("""COMPUTED_VALUE"""),"privé sous contrat")</f>
        <v>privé sous contrat</v>
      </c>
      <c r="E48" s="5" t="str">
        <f>IFERROR(__xludf.DUMMYFUNCTION("""COMPUTED_VALUE"""),"LPO")</f>
        <v>LPO</v>
      </c>
      <c r="F48" s="9">
        <f>IFERROR(__xludf.DUMMYFUNCTION("""COMPUTED_VALUE"""),116.0)</f>
        <v>116</v>
      </c>
      <c r="G48" s="9">
        <f>IFERROR(__xludf.DUMMYFUNCTION("""COMPUTED_VALUE"""),104.4)</f>
        <v>104.4</v>
      </c>
      <c r="H48" s="9">
        <f>IFERROR(__xludf.DUMMYFUNCTION("""COMPUTED_VALUE"""),114.7)</f>
        <v>114.7</v>
      </c>
    </row>
    <row r="49">
      <c r="A49" s="5" t="str">
        <f>IFERROR(__xludf.DUMMYFUNCTION("""COMPUTED_VALUE"""),"LILLE")</f>
        <v>LILLE</v>
      </c>
      <c r="B49" s="5" t="str">
        <f>IFERROR(__xludf.DUMMYFUNCTION("""COMPUTED_VALUE"""),"LYCEE POLYVALENT PRIVE BAUDIMONT LYCEE DES METIERS DU TERTIAIRE COMMERCIAL ET DU MANAGEMENT")</f>
        <v>LYCEE POLYVALENT PRIVE BAUDIMONT LYCEE DES METIERS DU TERTIAIRE COMMERCIAL ET DU MANAGEMENT</v>
      </c>
      <c r="C49" s="5" t="str">
        <f>IFERROR(__xludf.DUMMYFUNCTION("""COMPUTED_VALUE"""),"ARRAS")</f>
        <v>ARRAS</v>
      </c>
      <c r="D49" s="5" t="str">
        <f>IFERROR(__xludf.DUMMYFUNCTION("""COMPUTED_VALUE"""),"privé sous contrat")</f>
        <v>privé sous contrat</v>
      </c>
      <c r="E49" s="5" t="str">
        <f>IFERROR(__xludf.DUMMYFUNCTION("""COMPUTED_VALUE"""),"LPO")</f>
        <v>LPO</v>
      </c>
      <c r="F49" s="9">
        <f>IFERROR(__xludf.DUMMYFUNCTION("""COMPUTED_VALUE"""),129.2)</f>
        <v>129.2</v>
      </c>
      <c r="G49" s="9">
        <f>IFERROR(__xludf.DUMMYFUNCTION("""COMPUTED_VALUE"""),105.5)</f>
        <v>105.5</v>
      </c>
      <c r="H49" s="9">
        <f>IFERROR(__xludf.DUMMYFUNCTION("""COMPUTED_VALUE"""),124.6)</f>
        <v>124.6</v>
      </c>
    </row>
    <row r="50">
      <c r="A50" s="5" t="str">
        <f>IFERROR(__xludf.DUMMYFUNCTION("""COMPUTED_VALUE"""),"LILLE")</f>
        <v>LILLE</v>
      </c>
      <c r="B50" s="5" t="str">
        <f>IFERROR(__xludf.DUMMYFUNCTION("""COMPUTED_VALUE"""),"LYCEE PROFESSIONNEL MAXIMILIEN DE ROBESPIERRE")</f>
        <v>LYCEE PROFESSIONNEL MAXIMILIEN DE ROBESPIERRE</v>
      </c>
      <c r="C50" s="5" t="str">
        <f>IFERROR(__xludf.DUMMYFUNCTION("""COMPUTED_VALUE"""),"LENS")</f>
        <v>LENS</v>
      </c>
      <c r="D50" s="5" t="str">
        <f>IFERROR(__xludf.DUMMYFUNCTION("""COMPUTED_VALUE"""),"public")</f>
        <v>public</v>
      </c>
      <c r="E50" s="5" t="str">
        <f>IFERROR(__xludf.DUMMYFUNCTION("""COMPUTED_VALUE"""),"LP")</f>
        <v>LP</v>
      </c>
      <c r="F50" s="9"/>
      <c r="G50" s="9">
        <f>IFERROR(__xludf.DUMMYFUNCTION("""COMPUTED_VALUE"""),75.4)</f>
        <v>75.4</v>
      </c>
      <c r="H50" s="9">
        <f>IFERROR(__xludf.DUMMYFUNCTION("""COMPUTED_VALUE"""),75.4)</f>
        <v>75.4</v>
      </c>
    </row>
    <row r="51">
      <c r="A51" s="5" t="str">
        <f>IFERROR(__xludf.DUMMYFUNCTION("""COMPUTED_VALUE"""),"LILLE")</f>
        <v>LILLE</v>
      </c>
      <c r="B51" s="5" t="str">
        <f>IFERROR(__xludf.DUMMYFUNCTION("""COMPUTED_VALUE"""),"LYCEE POLYVALENT VAUBAN")</f>
        <v>LYCEE POLYVALENT VAUBAN</v>
      </c>
      <c r="C51" s="5" t="str">
        <f>IFERROR(__xludf.DUMMYFUNCTION("""COMPUTED_VALUE"""),"AIRE SUR LA LYS")</f>
        <v>AIRE SUR LA LYS</v>
      </c>
      <c r="D51" s="5" t="str">
        <f>IFERROR(__xludf.DUMMYFUNCTION("""COMPUTED_VALUE"""),"public")</f>
        <v>public</v>
      </c>
      <c r="E51" s="5" t="str">
        <f>IFERROR(__xludf.DUMMYFUNCTION("""COMPUTED_VALUE"""),"LPO")</f>
        <v>LPO</v>
      </c>
      <c r="F51" s="9">
        <f>IFERROR(__xludf.DUMMYFUNCTION("""COMPUTED_VALUE"""),110.6)</f>
        <v>110.6</v>
      </c>
      <c r="G51" s="9">
        <f>IFERROR(__xludf.DUMMYFUNCTION("""COMPUTED_VALUE"""),75.6)</f>
        <v>75.6</v>
      </c>
      <c r="H51" s="9">
        <f>IFERROR(__xludf.DUMMYFUNCTION("""COMPUTED_VALUE"""),102.6)</f>
        <v>102.6</v>
      </c>
    </row>
    <row r="52">
      <c r="A52" s="5" t="str">
        <f>IFERROR(__xludf.DUMMYFUNCTION("""COMPUTED_VALUE"""),"LILLE")</f>
        <v>LILLE</v>
      </c>
      <c r="B52" s="5" t="str">
        <f>IFERROR(__xludf.DUMMYFUNCTION("""COMPUTED_VALUE"""),"LYCEE PROFESSIONNEL PIERRE JOSEPH FONTAINE")</f>
        <v>LYCEE PROFESSIONNEL PIERRE JOSEPH FONTAINE</v>
      </c>
      <c r="C52" s="5" t="str">
        <f>IFERROR(__xludf.DUMMYFUNCTION("""COMPUTED_VALUE"""),"ANZIN")</f>
        <v>ANZIN</v>
      </c>
      <c r="D52" s="5" t="str">
        <f>IFERROR(__xludf.DUMMYFUNCTION("""COMPUTED_VALUE"""),"public")</f>
        <v>public</v>
      </c>
      <c r="E52" s="5" t="str">
        <f>IFERROR(__xludf.DUMMYFUNCTION("""COMPUTED_VALUE"""),"LP")</f>
        <v>LP</v>
      </c>
      <c r="F52" s="9"/>
      <c r="G52" s="9">
        <f>IFERROR(__xludf.DUMMYFUNCTION("""COMPUTED_VALUE"""),68.7)</f>
        <v>68.7</v>
      </c>
      <c r="H52" s="9">
        <f>IFERROR(__xludf.DUMMYFUNCTION("""COMPUTED_VALUE"""),68.7)</f>
        <v>68.7</v>
      </c>
    </row>
    <row r="53">
      <c r="A53" s="5" t="str">
        <f>IFERROR(__xludf.DUMMYFUNCTION("""COMPUTED_VALUE"""),"LILLE")</f>
        <v>LILLE</v>
      </c>
      <c r="B53" s="5" t="str">
        <f>IFERROR(__xludf.DUMMYFUNCTION("""COMPUTED_VALUE"""),"LYCEE POLYVALENT JESSE DE FOREST")</f>
        <v>LYCEE POLYVALENT JESSE DE FOREST</v>
      </c>
      <c r="C53" s="5" t="str">
        <f>IFERROR(__xludf.DUMMYFUNCTION("""COMPUTED_VALUE"""),"AVESNES SUR HELPE")</f>
        <v>AVESNES SUR HELPE</v>
      </c>
      <c r="D53" s="5" t="str">
        <f>IFERROR(__xludf.DUMMYFUNCTION("""COMPUTED_VALUE"""),"public")</f>
        <v>public</v>
      </c>
      <c r="E53" s="5" t="str">
        <f>IFERROR(__xludf.DUMMYFUNCTION("""COMPUTED_VALUE"""),"LPO")</f>
        <v>LPO</v>
      </c>
      <c r="F53" s="9">
        <f>IFERROR(__xludf.DUMMYFUNCTION("""COMPUTED_VALUE"""),102.9)</f>
        <v>102.9</v>
      </c>
      <c r="G53" s="9">
        <f>IFERROR(__xludf.DUMMYFUNCTION("""COMPUTED_VALUE"""),71.9)</f>
        <v>71.9</v>
      </c>
      <c r="H53" s="9">
        <f>IFERROR(__xludf.DUMMYFUNCTION("""COMPUTED_VALUE"""),97.9)</f>
        <v>97.9</v>
      </c>
    </row>
    <row r="54">
      <c r="A54" s="5" t="str">
        <f>IFERROR(__xludf.DUMMYFUNCTION("""COMPUTED_VALUE"""),"LILLE")</f>
        <v>LILLE</v>
      </c>
      <c r="B54" s="5" t="str">
        <f>IFERROR(__xludf.DUMMYFUNCTION("""COMPUTED_VALUE"""),"LYCEE GENERAL ET TECHNOLOGIQUE FENELON")</f>
        <v>LYCEE GENERAL ET TECHNOLOGIQUE FENELON</v>
      </c>
      <c r="C54" s="5" t="str">
        <f>IFERROR(__xludf.DUMMYFUNCTION("""COMPUTED_VALUE"""),"CAMBRAI")</f>
        <v>CAMBRAI</v>
      </c>
      <c r="D54" s="5" t="str">
        <f>IFERROR(__xludf.DUMMYFUNCTION("""COMPUTED_VALUE"""),"public")</f>
        <v>public</v>
      </c>
      <c r="E54" s="5" t="str">
        <f>IFERROR(__xludf.DUMMYFUNCTION("""COMPUTED_VALUE"""),"LEGT")</f>
        <v>LEGT</v>
      </c>
      <c r="F54" s="9">
        <f>IFERROR(__xludf.DUMMYFUNCTION("""COMPUTED_VALUE"""),108.4)</f>
        <v>108.4</v>
      </c>
      <c r="G54" s="9"/>
      <c r="H54" s="9">
        <f>IFERROR(__xludf.DUMMYFUNCTION("""COMPUTED_VALUE"""),108.4)</f>
        <v>108.4</v>
      </c>
    </row>
    <row r="55">
      <c r="A55" s="5" t="str">
        <f>IFERROR(__xludf.DUMMYFUNCTION("""COMPUTED_VALUE"""),"LILLE")</f>
        <v>LILLE</v>
      </c>
      <c r="B55" s="5" t="str">
        <f>IFERROR(__xludf.DUMMYFUNCTION("""COMPUTED_VALUE"""),"LYCEE GENERAL ALBERT CHATELET")</f>
        <v>LYCEE GENERAL ALBERT CHATELET</v>
      </c>
      <c r="C55" s="5" t="str">
        <f>IFERROR(__xludf.DUMMYFUNCTION("""COMPUTED_VALUE"""),"DOUAI")</f>
        <v>DOUAI</v>
      </c>
      <c r="D55" s="5" t="str">
        <f>IFERROR(__xludf.DUMMYFUNCTION("""COMPUTED_VALUE"""),"public")</f>
        <v>public</v>
      </c>
      <c r="E55" s="5" t="str">
        <f>IFERROR(__xludf.DUMMYFUNCTION("""COMPUTED_VALUE"""),"LEGT")</f>
        <v>LEGT</v>
      </c>
      <c r="F55" s="9">
        <f>IFERROR(__xludf.DUMMYFUNCTION("""COMPUTED_VALUE"""),119.7)</f>
        <v>119.7</v>
      </c>
      <c r="G55" s="9"/>
      <c r="H55" s="9">
        <f>IFERROR(__xludf.DUMMYFUNCTION("""COMPUTED_VALUE"""),119.7)</f>
        <v>119.7</v>
      </c>
    </row>
    <row r="56">
      <c r="A56" s="5" t="str">
        <f>IFERROR(__xludf.DUMMYFUNCTION("""COMPUTED_VALUE"""),"LILLE")</f>
        <v>LILLE</v>
      </c>
      <c r="B56" s="5" t="str">
        <f>IFERROR(__xludf.DUMMYFUNCTION("""COMPUTED_VALUE"""),"LYCEE PROFESSIONNEL PLACIDE COURTOY")</f>
        <v>LYCEE PROFESSIONNEL PLACIDE COURTOY</v>
      </c>
      <c r="C56" s="5" t="str">
        <f>IFERROR(__xludf.DUMMYFUNCTION("""COMPUTED_VALUE"""),"HAUTMONT")</f>
        <v>HAUTMONT</v>
      </c>
      <c r="D56" s="5" t="str">
        <f>IFERROR(__xludf.DUMMYFUNCTION("""COMPUTED_VALUE"""),"public")</f>
        <v>public</v>
      </c>
      <c r="E56" s="5" t="str">
        <f>IFERROR(__xludf.DUMMYFUNCTION("""COMPUTED_VALUE"""),"LP")</f>
        <v>LP</v>
      </c>
      <c r="F56" s="9"/>
      <c r="G56" s="9">
        <f>IFERROR(__xludf.DUMMYFUNCTION("""COMPUTED_VALUE"""),68.9)</f>
        <v>68.9</v>
      </c>
      <c r="H56" s="9">
        <f>IFERROR(__xludf.DUMMYFUNCTION("""COMPUTED_VALUE"""),68.9)</f>
        <v>68.9</v>
      </c>
    </row>
    <row r="57">
      <c r="A57" s="5" t="str">
        <f>IFERROR(__xludf.DUMMYFUNCTION("""COMPUTED_VALUE"""),"LILLE")</f>
        <v>LILLE</v>
      </c>
      <c r="B57" s="5" t="str">
        <f>IFERROR(__xludf.DUMMYFUNCTION("""COMPUTED_VALUE"""),"LYCEE GENERAL ET TECHNOLOGIQUE DES FLANDRES")</f>
        <v>LYCEE GENERAL ET TECHNOLOGIQUE DES FLANDRES</v>
      </c>
      <c r="C57" s="5" t="str">
        <f>IFERROR(__xludf.DUMMYFUNCTION("""COMPUTED_VALUE"""),"HAZEBROUCK")</f>
        <v>HAZEBROUCK</v>
      </c>
      <c r="D57" s="5" t="str">
        <f>IFERROR(__xludf.DUMMYFUNCTION("""COMPUTED_VALUE"""),"public")</f>
        <v>public</v>
      </c>
      <c r="E57" s="5" t="str">
        <f>IFERROR(__xludf.DUMMYFUNCTION("""COMPUTED_VALUE"""),"LEGT")</f>
        <v>LEGT</v>
      </c>
      <c r="F57" s="9">
        <f>IFERROR(__xludf.DUMMYFUNCTION("""COMPUTED_VALUE"""),115.2)</f>
        <v>115.2</v>
      </c>
      <c r="G57" s="9"/>
      <c r="H57" s="9">
        <f>IFERROR(__xludf.DUMMYFUNCTION("""COMPUTED_VALUE"""),115.2)</f>
        <v>115.2</v>
      </c>
    </row>
    <row r="58">
      <c r="A58" s="5" t="str">
        <f>IFERROR(__xludf.DUMMYFUNCTION("""COMPUTED_VALUE"""),"LILLE")</f>
        <v>LILLE</v>
      </c>
      <c r="B58" s="5" t="str">
        <f>IFERROR(__xludf.DUMMYFUNCTION("""COMPUTED_VALUE"""),"LYCEE GENERAL ET TECHNOLOGIQUE DUPLEIX")</f>
        <v>LYCEE GENERAL ET TECHNOLOGIQUE DUPLEIX</v>
      </c>
      <c r="C58" s="5" t="str">
        <f>IFERROR(__xludf.DUMMYFUNCTION("""COMPUTED_VALUE"""),"LANDRECIES")</f>
        <v>LANDRECIES</v>
      </c>
      <c r="D58" s="5" t="str">
        <f>IFERROR(__xludf.DUMMYFUNCTION("""COMPUTED_VALUE"""),"public")</f>
        <v>public</v>
      </c>
      <c r="E58" s="5" t="str">
        <f>IFERROR(__xludf.DUMMYFUNCTION("""COMPUTED_VALUE"""),"LEGT")</f>
        <v>LEGT</v>
      </c>
      <c r="F58" s="9">
        <f>IFERROR(__xludf.DUMMYFUNCTION("""COMPUTED_VALUE"""),102.6)</f>
        <v>102.6</v>
      </c>
      <c r="G58" s="9"/>
      <c r="H58" s="9">
        <f>IFERROR(__xludf.DUMMYFUNCTION("""COMPUTED_VALUE"""),102.6)</f>
        <v>102.6</v>
      </c>
    </row>
    <row r="59">
      <c r="A59" s="5" t="str">
        <f>IFERROR(__xludf.DUMMYFUNCTION("""COMPUTED_VALUE"""),"LILLE")</f>
        <v>LILLE</v>
      </c>
      <c r="B59" s="5" t="str">
        <f>IFERROR(__xludf.DUMMYFUNCTION("""COMPUTED_VALUE"""),"LYCEE GENERAL FENELON")</f>
        <v>LYCEE GENERAL FENELON</v>
      </c>
      <c r="C59" s="5" t="str">
        <f>IFERROR(__xludf.DUMMYFUNCTION("""COMPUTED_VALUE"""),"LILLE")</f>
        <v>LILLE</v>
      </c>
      <c r="D59" s="5" t="str">
        <f>IFERROR(__xludf.DUMMYFUNCTION("""COMPUTED_VALUE"""),"public")</f>
        <v>public</v>
      </c>
      <c r="E59" s="5" t="str">
        <f>IFERROR(__xludf.DUMMYFUNCTION("""COMPUTED_VALUE"""),"LEGT")</f>
        <v>LEGT</v>
      </c>
      <c r="F59" s="9">
        <f>IFERROR(__xludf.DUMMYFUNCTION("""COMPUTED_VALUE"""),114.3)</f>
        <v>114.3</v>
      </c>
      <c r="G59" s="9"/>
      <c r="H59" s="9">
        <f>IFERROR(__xludf.DUMMYFUNCTION("""COMPUTED_VALUE"""),114.3)</f>
        <v>114.3</v>
      </c>
    </row>
    <row r="60">
      <c r="A60" s="5" t="str">
        <f>IFERROR(__xludf.DUMMYFUNCTION("""COMPUTED_VALUE"""),"LILLE")</f>
        <v>LILLE</v>
      </c>
      <c r="B60" s="5" t="str">
        <f>IFERROR(__xludf.DUMMYFUNCTION("""COMPUTED_VALUE"""),"LYCEE PROFESSIONNEL AUTOMOBILE ALFRED MONGY LYCEE DES METIERS DE LA MAINTENANCE DES VEHICULES")</f>
        <v>LYCEE PROFESSIONNEL AUTOMOBILE ALFRED MONGY LYCEE DES METIERS DE LA MAINTENANCE DES VEHICULES</v>
      </c>
      <c r="C60" s="5" t="str">
        <f>IFERROR(__xludf.DUMMYFUNCTION("""COMPUTED_VALUE"""),"MARCQ EN BAROEUL")</f>
        <v>MARCQ EN BAROEUL</v>
      </c>
      <c r="D60" s="5" t="str">
        <f>IFERROR(__xludf.DUMMYFUNCTION("""COMPUTED_VALUE"""),"public")</f>
        <v>public</v>
      </c>
      <c r="E60" s="5" t="str">
        <f>IFERROR(__xludf.DUMMYFUNCTION("""COMPUTED_VALUE"""),"LP")</f>
        <v>LP</v>
      </c>
      <c r="F60" s="9"/>
      <c r="G60" s="9">
        <f>IFERROR(__xludf.DUMMYFUNCTION("""COMPUTED_VALUE"""),84.1)</f>
        <v>84.1</v>
      </c>
      <c r="H60" s="9">
        <f>IFERROR(__xludf.DUMMYFUNCTION("""COMPUTED_VALUE"""),84.1)</f>
        <v>84.1</v>
      </c>
    </row>
    <row r="61">
      <c r="A61" s="5" t="str">
        <f>IFERROR(__xludf.DUMMYFUNCTION("""COMPUTED_VALUE"""),"LILLE")</f>
        <v>LILLE</v>
      </c>
      <c r="B61" s="5" t="str">
        <f>IFERROR(__xludf.DUMMYFUNCTION("""COMPUTED_VALUE"""),"LYCEE PROFESSIONNEL GEORGES GUYNEMER")</f>
        <v>LYCEE PROFESSIONNEL GEORGES GUYNEMER</v>
      </c>
      <c r="C61" s="5" t="str">
        <f>IFERROR(__xludf.DUMMYFUNCTION("""COMPUTED_VALUE"""),"DUNKERQUE")</f>
        <v>DUNKERQUE</v>
      </c>
      <c r="D61" s="5" t="str">
        <f>IFERROR(__xludf.DUMMYFUNCTION("""COMPUTED_VALUE"""),"public")</f>
        <v>public</v>
      </c>
      <c r="E61" s="5" t="str">
        <f>IFERROR(__xludf.DUMMYFUNCTION("""COMPUTED_VALUE"""),"LP")</f>
        <v>LP</v>
      </c>
      <c r="F61" s="9"/>
      <c r="G61" s="9">
        <f>IFERROR(__xludf.DUMMYFUNCTION("""COMPUTED_VALUE"""),69.9)</f>
        <v>69.9</v>
      </c>
      <c r="H61" s="9">
        <f>IFERROR(__xludf.DUMMYFUNCTION("""COMPUTED_VALUE"""),69.9)</f>
        <v>69.9</v>
      </c>
    </row>
    <row r="62">
      <c r="A62" s="5" t="str">
        <f>IFERROR(__xludf.DUMMYFUNCTION("""COMPUTED_VALUE"""),"LILLE")</f>
        <v>LILLE</v>
      </c>
      <c r="B62" s="5" t="str">
        <f>IFERROR(__xludf.DUMMYFUNCTION("""COMPUTED_VALUE"""),"LYCEE GENERAL ET TECHNOLOGIQUE WATTEAU")</f>
        <v>LYCEE GENERAL ET TECHNOLOGIQUE WATTEAU</v>
      </c>
      <c r="C62" s="5" t="str">
        <f>IFERROR(__xludf.DUMMYFUNCTION("""COMPUTED_VALUE"""),"VALENCIENNES")</f>
        <v>VALENCIENNES</v>
      </c>
      <c r="D62" s="5" t="str">
        <f>IFERROR(__xludf.DUMMYFUNCTION("""COMPUTED_VALUE"""),"public")</f>
        <v>public</v>
      </c>
      <c r="E62" s="5" t="str">
        <f>IFERROR(__xludf.DUMMYFUNCTION("""COMPUTED_VALUE"""),"LEGT")</f>
        <v>LEGT</v>
      </c>
      <c r="F62" s="9">
        <f>IFERROR(__xludf.DUMMYFUNCTION("""COMPUTED_VALUE"""),116.1)</f>
        <v>116.1</v>
      </c>
      <c r="G62" s="9"/>
      <c r="H62" s="9">
        <f>IFERROR(__xludf.DUMMYFUNCTION("""COMPUTED_VALUE"""),116.1)</f>
        <v>116.1</v>
      </c>
    </row>
    <row r="63">
      <c r="A63" s="5" t="str">
        <f>IFERROR(__xludf.DUMMYFUNCTION("""COMPUTED_VALUE"""),"LILLE")</f>
        <v>LILLE</v>
      </c>
      <c r="B63" s="5" t="str">
        <f>IFERROR(__xludf.DUMMYFUNCTION("""COMPUTED_VALUE"""),"LYCEE GENERAL ET TECHNOLOGIQUE DU HAINAUT")</f>
        <v>LYCEE GENERAL ET TECHNOLOGIQUE DU HAINAUT</v>
      </c>
      <c r="C63" s="5" t="str">
        <f>IFERROR(__xludf.DUMMYFUNCTION("""COMPUTED_VALUE"""),"VALENCIENNES")</f>
        <v>VALENCIENNES</v>
      </c>
      <c r="D63" s="5" t="str">
        <f>IFERROR(__xludf.DUMMYFUNCTION("""COMPUTED_VALUE"""),"public")</f>
        <v>public</v>
      </c>
      <c r="E63" s="5" t="str">
        <f>IFERROR(__xludf.DUMMYFUNCTION("""COMPUTED_VALUE"""),"LEGT")</f>
        <v>LEGT</v>
      </c>
      <c r="F63" s="9">
        <f>IFERROR(__xludf.DUMMYFUNCTION("""COMPUTED_VALUE"""),95.6)</f>
        <v>95.6</v>
      </c>
      <c r="G63" s="9"/>
      <c r="H63" s="9">
        <f>IFERROR(__xludf.DUMMYFUNCTION("""COMPUTED_VALUE"""),95.6)</f>
        <v>95.6</v>
      </c>
    </row>
    <row r="64">
      <c r="A64" s="5" t="str">
        <f>IFERROR(__xludf.DUMMYFUNCTION("""COMPUTED_VALUE"""),"LILLE")</f>
        <v>LILLE</v>
      </c>
      <c r="B64" s="5" t="str">
        <f>IFERROR(__xludf.DUMMYFUNCTION("""COMPUTED_VALUE"""),"LYCEE PROFESSIONNEL EDMOND LABBE")</f>
        <v>LYCEE PROFESSIONNEL EDMOND LABBE</v>
      </c>
      <c r="C64" s="5" t="str">
        <f>IFERROR(__xludf.DUMMYFUNCTION("""COMPUTED_VALUE"""),"DOUAI")</f>
        <v>DOUAI</v>
      </c>
      <c r="D64" s="5" t="str">
        <f>IFERROR(__xludf.DUMMYFUNCTION("""COMPUTED_VALUE"""),"public")</f>
        <v>public</v>
      </c>
      <c r="E64" s="5" t="str">
        <f>IFERROR(__xludf.DUMMYFUNCTION("""COMPUTED_VALUE"""),"LP")</f>
        <v>LP</v>
      </c>
      <c r="F64" s="9"/>
      <c r="G64" s="9">
        <f>IFERROR(__xludf.DUMMYFUNCTION("""COMPUTED_VALUE"""),83.9)</f>
        <v>83.9</v>
      </c>
      <c r="H64" s="9">
        <f>IFERROR(__xludf.DUMMYFUNCTION("""COMPUTED_VALUE"""),83.9)</f>
        <v>83.9</v>
      </c>
    </row>
    <row r="65">
      <c r="A65" s="5" t="str">
        <f>IFERROR(__xludf.DUMMYFUNCTION("""COMPUTED_VALUE"""),"LILLE")</f>
        <v>LILLE</v>
      </c>
      <c r="B65" s="5" t="str">
        <f>IFERROR(__xludf.DUMMYFUNCTION("""COMPUTED_VALUE"""),"LYCEE PROFESSIONNEL DU HAINAUT LYCEE DES METIERS DE L AUTOMOBILE LYCEE DES METIERS DE LA CHAUDRONNERIE")</f>
        <v>LYCEE PROFESSIONNEL DU HAINAUT LYCEE DES METIERS DE L AUTOMOBILE LYCEE DES METIERS DE LA CHAUDRONNERIE</v>
      </c>
      <c r="C65" s="5" t="str">
        <f>IFERROR(__xludf.DUMMYFUNCTION("""COMPUTED_VALUE"""),"VALENCIENNES")</f>
        <v>VALENCIENNES</v>
      </c>
      <c r="D65" s="5" t="str">
        <f>IFERROR(__xludf.DUMMYFUNCTION("""COMPUTED_VALUE"""),"public")</f>
        <v>public</v>
      </c>
      <c r="E65" s="5" t="str">
        <f>IFERROR(__xludf.DUMMYFUNCTION("""COMPUTED_VALUE"""),"LP")</f>
        <v>LP</v>
      </c>
      <c r="F65" s="9"/>
      <c r="G65" s="9">
        <f>IFERROR(__xludf.DUMMYFUNCTION("""COMPUTED_VALUE"""),76.1)</f>
        <v>76.1</v>
      </c>
      <c r="H65" s="9">
        <f>IFERROR(__xludf.DUMMYFUNCTION("""COMPUTED_VALUE"""),76.1)</f>
        <v>76.1</v>
      </c>
    </row>
    <row r="66">
      <c r="A66" s="5" t="str">
        <f>IFERROR(__xludf.DUMMYFUNCTION("""COMPUTED_VALUE"""),"LILLE")</f>
        <v>LILLE</v>
      </c>
      <c r="B66" s="5" t="str">
        <f>IFERROR(__xludf.DUMMYFUNCTION("""COMPUTED_VALUE"""),"LYCEE PROFESSIONNEL VERTES FEUILLES LYCEE DES METIERS DE LA SECURITE ET DE LA PREVENTION")</f>
        <v>LYCEE PROFESSIONNEL VERTES FEUILLES LYCEE DES METIERS DE LA SECURITE ET DE LA PREVENTION</v>
      </c>
      <c r="C66" s="5" t="str">
        <f>IFERROR(__xludf.DUMMYFUNCTION("""COMPUTED_VALUE"""),"SAINT ANDRE LEZ LILLE")</f>
        <v>SAINT ANDRE LEZ LILLE</v>
      </c>
      <c r="D66" s="5" t="str">
        <f>IFERROR(__xludf.DUMMYFUNCTION("""COMPUTED_VALUE"""),"public")</f>
        <v>public</v>
      </c>
      <c r="E66" s="5" t="str">
        <f>IFERROR(__xludf.DUMMYFUNCTION("""COMPUTED_VALUE"""),"LP")</f>
        <v>LP</v>
      </c>
      <c r="F66" s="9"/>
      <c r="G66" s="9">
        <f>IFERROR(__xludf.DUMMYFUNCTION("""COMPUTED_VALUE"""),75.4)</f>
        <v>75.4</v>
      </c>
      <c r="H66" s="9">
        <f>IFERROR(__xludf.DUMMYFUNCTION("""COMPUTED_VALUE"""),75.4)</f>
        <v>75.4</v>
      </c>
    </row>
    <row r="67">
      <c r="A67" s="5" t="str">
        <f>IFERROR(__xludf.DUMMYFUNCTION("""COMPUTED_VALUE"""),"LILLE")</f>
        <v>LILLE</v>
      </c>
      <c r="B67" s="5" t="str">
        <f>IFERROR(__xludf.DUMMYFUNCTION("""COMPUTED_VALUE"""),"LYCEE POLYVALENT PRIVE SAINTE JEANNE D ARC LYCEE DES METIERS DE L HOTELLERIE RESTAURATION LYCEE DES METIERS DE L ESTHETIQUE ET DE LA COIFFURE")</f>
        <v>LYCEE POLYVALENT PRIVE SAINTE JEANNE D ARC LYCEE DES METIERS DE L HOTELLERIE RESTAURATION LYCEE DES METIERS DE L ESTHETIQUE ET DE LA COIFFURE</v>
      </c>
      <c r="C67" s="5" t="str">
        <f>IFERROR(__xludf.DUMMYFUNCTION("""COMPUTED_VALUE"""),"AULNOYE AYMERIES")</f>
        <v>AULNOYE AYMERIES</v>
      </c>
      <c r="D67" s="5" t="str">
        <f>IFERROR(__xludf.DUMMYFUNCTION("""COMPUTED_VALUE"""),"privé sous contrat")</f>
        <v>privé sous contrat</v>
      </c>
      <c r="E67" s="5" t="str">
        <f>IFERROR(__xludf.DUMMYFUNCTION("""COMPUTED_VALUE"""),"LPO")</f>
        <v>LPO</v>
      </c>
      <c r="F67" s="9">
        <f>IFERROR(__xludf.DUMMYFUNCTION("""COMPUTED_VALUE"""),92.4)</f>
        <v>92.4</v>
      </c>
      <c r="G67" s="9">
        <f>IFERROR(__xludf.DUMMYFUNCTION("""COMPUTED_VALUE"""),81.9)</f>
        <v>81.9</v>
      </c>
      <c r="H67" s="9">
        <f>IFERROR(__xludf.DUMMYFUNCTION("""COMPUTED_VALUE"""),86.9)</f>
        <v>86.9</v>
      </c>
    </row>
    <row r="68">
      <c r="A68" s="5" t="str">
        <f>IFERROR(__xludf.DUMMYFUNCTION("""COMPUTED_VALUE"""),"LILLE")</f>
        <v>LILLE</v>
      </c>
      <c r="B68" s="5" t="str">
        <f>IFERROR(__xludf.DUMMYFUNCTION("""COMPUTED_VALUE"""),"LYCEE POLYVALENT PRIVE EIC JEHANNE D ARC")</f>
        <v>LYCEE POLYVALENT PRIVE EIC JEHANNE D ARC</v>
      </c>
      <c r="C68" s="5" t="str">
        <f>IFERROR(__xludf.DUMMYFUNCTION("""COMPUTED_VALUE"""),"TOURCOING")</f>
        <v>TOURCOING</v>
      </c>
      <c r="D68" s="5" t="str">
        <f>IFERROR(__xludf.DUMMYFUNCTION("""COMPUTED_VALUE"""),"privé sous contrat")</f>
        <v>privé sous contrat</v>
      </c>
      <c r="E68" s="5" t="str">
        <f>IFERROR(__xludf.DUMMYFUNCTION("""COMPUTED_VALUE"""),"LPO")</f>
        <v>LPO</v>
      </c>
      <c r="F68" s="9">
        <f>IFERROR(__xludf.DUMMYFUNCTION("""COMPUTED_VALUE"""),98.9)</f>
        <v>98.9</v>
      </c>
      <c r="G68" s="9">
        <f>IFERROR(__xludf.DUMMYFUNCTION("""COMPUTED_VALUE"""),88.1)</f>
        <v>88.1</v>
      </c>
      <c r="H68" s="9">
        <f>IFERROR(__xludf.DUMMYFUNCTION("""COMPUTED_VALUE"""),91.3)</f>
        <v>91.3</v>
      </c>
    </row>
    <row r="69">
      <c r="A69" s="5" t="str">
        <f>IFERROR(__xludf.DUMMYFUNCTION("""COMPUTED_VALUE"""),"LILLE")</f>
        <v>LILLE</v>
      </c>
      <c r="B69" s="5" t="str">
        <f>IFERROR(__xludf.DUMMYFUNCTION("""COMPUTED_VALUE"""),"LYCEE POLYVALENT PRIVE HELENE BOUCHER")</f>
        <v>LYCEE POLYVALENT PRIVE HELENE BOUCHER</v>
      </c>
      <c r="C69" s="5" t="str">
        <f>IFERROR(__xludf.DUMMYFUNCTION("""COMPUTED_VALUE"""),"SOMAIN")</f>
        <v>SOMAIN</v>
      </c>
      <c r="D69" s="5" t="str">
        <f>IFERROR(__xludf.DUMMYFUNCTION("""COMPUTED_VALUE"""),"privé sous contrat")</f>
        <v>privé sous contrat</v>
      </c>
      <c r="E69" s="5" t="str">
        <f>IFERROR(__xludf.DUMMYFUNCTION("""COMPUTED_VALUE"""),"LPO")</f>
        <v>LPO</v>
      </c>
      <c r="F69" s="9">
        <f>IFERROR(__xludf.DUMMYFUNCTION("""COMPUTED_VALUE"""),94.9)</f>
        <v>94.9</v>
      </c>
      <c r="G69" s="9">
        <f>IFERROR(__xludf.DUMMYFUNCTION("""COMPUTED_VALUE"""),82.2)</f>
        <v>82.2</v>
      </c>
      <c r="H69" s="9">
        <f>IFERROR(__xludf.DUMMYFUNCTION("""COMPUTED_VALUE"""),85.0)</f>
        <v>85</v>
      </c>
    </row>
    <row r="70">
      <c r="A70" s="5" t="str">
        <f>IFERROR(__xludf.DUMMYFUNCTION("""COMPUTED_VALUE"""),"LILLE")</f>
        <v>LILLE</v>
      </c>
      <c r="B70" s="5" t="str">
        <f>IFERROR(__xludf.DUMMYFUNCTION("""COMPUTED_VALUE"""),"LYCEE GENERAL ET TECHNOLOGIQUE PRIVE FREDERIC OZANAM LYCEE DES METIERS DE LA CONSTRUCTION DE L ENVIRONNEMENT ET DES ENERGIES")</f>
        <v>LYCEE GENERAL ET TECHNOLOGIQUE PRIVE FREDERIC OZANAM LYCEE DES METIERS DE LA CONSTRUCTION DE L ENVIRONNEMENT ET DES ENERGIES</v>
      </c>
      <c r="C70" s="5" t="str">
        <f>IFERROR(__xludf.DUMMYFUNCTION("""COMPUTED_VALUE"""),"LILLE")</f>
        <v>LILLE</v>
      </c>
      <c r="D70" s="5" t="str">
        <f>IFERROR(__xludf.DUMMYFUNCTION("""COMPUTED_VALUE"""),"privé sous contrat")</f>
        <v>privé sous contrat</v>
      </c>
      <c r="E70" s="5" t="str">
        <f>IFERROR(__xludf.DUMMYFUNCTION("""COMPUTED_VALUE"""),"LEGT")</f>
        <v>LEGT</v>
      </c>
      <c r="F70" s="9">
        <f>IFERROR(__xludf.DUMMYFUNCTION("""COMPUTED_VALUE"""),133.0)</f>
        <v>133</v>
      </c>
      <c r="G70" s="9"/>
      <c r="H70" s="9">
        <f>IFERROR(__xludf.DUMMYFUNCTION("""COMPUTED_VALUE"""),133.0)</f>
        <v>133</v>
      </c>
    </row>
    <row r="71">
      <c r="A71" s="5" t="str">
        <f>IFERROR(__xludf.DUMMYFUNCTION("""COMPUTED_VALUE"""),"LILLE")</f>
        <v>LILLE</v>
      </c>
      <c r="B71" s="5" t="str">
        <f>IFERROR(__xludf.DUMMYFUNCTION("""COMPUTED_VALUE"""),"LYCEE PROFESSIONNEL PRIVE INDUSTRIES LILLOISES LYCEE DES METIERS DE LA CONSTRUCTION DE L ENVIRONNEMENT ET DES ÉNERGIES")</f>
        <v>LYCEE PROFESSIONNEL PRIVE INDUSTRIES LILLOISES LYCEE DES METIERS DE LA CONSTRUCTION DE L ENVIRONNEMENT ET DES ÉNERGIES</v>
      </c>
      <c r="C71" s="5" t="str">
        <f>IFERROR(__xludf.DUMMYFUNCTION("""COMPUTED_VALUE"""),"LILLE")</f>
        <v>LILLE</v>
      </c>
      <c r="D71" s="5" t="str">
        <f>IFERROR(__xludf.DUMMYFUNCTION("""COMPUTED_VALUE"""),"privé sous contrat")</f>
        <v>privé sous contrat</v>
      </c>
      <c r="E71" s="5" t="str">
        <f>IFERROR(__xludf.DUMMYFUNCTION("""COMPUTED_VALUE"""),"LP")</f>
        <v>LP</v>
      </c>
      <c r="F71" s="9"/>
      <c r="G71" s="9">
        <f>IFERROR(__xludf.DUMMYFUNCTION("""COMPUTED_VALUE"""),112.0)</f>
        <v>112</v>
      </c>
      <c r="H71" s="9">
        <f>IFERROR(__xludf.DUMMYFUNCTION("""COMPUTED_VALUE"""),112.0)</f>
        <v>112</v>
      </c>
    </row>
    <row r="72">
      <c r="A72" s="5" t="str">
        <f>IFERROR(__xludf.DUMMYFUNCTION("""COMPUTED_VALUE"""),"LILLE")</f>
        <v>LILLE</v>
      </c>
      <c r="B72" s="5" t="str">
        <f>IFERROR(__xludf.DUMMYFUNCTION("""COMPUTED_VALUE"""),"LYCEE PROFESSIONNEL PRIVE NOTRE DAME DU SACRE COEUR LYCEE DES METIERS DU BIEN ÊTRE DE LA SANTE ET DU SOCIAL")</f>
        <v>LYCEE PROFESSIONNEL PRIVE NOTRE DAME DU SACRE COEUR LYCEE DES METIERS DU BIEN ÊTRE DE LA SANTE ET DU SOCIAL</v>
      </c>
      <c r="C72" s="5" t="str">
        <f>IFERROR(__xludf.DUMMYFUNCTION("""COMPUTED_VALUE"""),"LOOS")</f>
        <v>LOOS</v>
      </c>
      <c r="D72" s="5" t="str">
        <f>IFERROR(__xludf.DUMMYFUNCTION("""COMPUTED_VALUE"""),"privé sous contrat")</f>
        <v>privé sous contrat</v>
      </c>
      <c r="E72" s="5" t="str">
        <f>IFERROR(__xludf.DUMMYFUNCTION("""COMPUTED_VALUE"""),"LP")</f>
        <v>LP</v>
      </c>
      <c r="F72" s="9"/>
      <c r="G72" s="9">
        <f>IFERROR(__xludf.DUMMYFUNCTION("""COMPUTED_VALUE"""),90.1)</f>
        <v>90.1</v>
      </c>
      <c r="H72" s="9">
        <f>IFERROR(__xludf.DUMMYFUNCTION("""COMPUTED_VALUE"""),90.1)</f>
        <v>90.1</v>
      </c>
    </row>
    <row r="73">
      <c r="A73" s="5" t="str">
        <f>IFERROR(__xludf.DUMMYFUNCTION("""COMPUTED_VALUE"""),"LILLE")</f>
        <v>LILLE</v>
      </c>
      <c r="B73" s="5" t="str">
        <f>IFERROR(__xludf.DUMMYFUNCTION("""COMPUTED_VALUE"""),"LYCEE POLYVALENT PRIVE DEFOREST DE LEWARDE")</f>
        <v>LYCEE POLYVALENT PRIVE DEFOREST DE LEWARDE</v>
      </c>
      <c r="C73" s="5" t="str">
        <f>IFERROR(__xludf.DUMMYFUNCTION("""COMPUTED_VALUE"""),"DOUAI")</f>
        <v>DOUAI</v>
      </c>
      <c r="D73" s="5" t="str">
        <f>IFERROR(__xludf.DUMMYFUNCTION("""COMPUTED_VALUE"""),"privé sous contrat")</f>
        <v>privé sous contrat</v>
      </c>
      <c r="E73" s="5" t="str">
        <f>IFERROR(__xludf.DUMMYFUNCTION("""COMPUTED_VALUE"""),"LPO")</f>
        <v>LPO</v>
      </c>
      <c r="F73" s="9">
        <f>IFERROR(__xludf.DUMMYFUNCTION("""COMPUTED_VALUE"""),101.0)</f>
        <v>101</v>
      </c>
      <c r="G73" s="9">
        <f>IFERROR(__xludf.DUMMYFUNCTION("""COMPUTED_VALUE"""),86.9)</f>
        <v>86.9</v>
      </c>
      <c r="H73" s="9">
        <f>IFERROR(__xludf.DUMMYFUNCTION("""COMPUTED_VALUE"""),91.6)</f>
        <v>91.6</v>
      </c>
    </row>
    <row r="74">
      <c r="A74" s="5" t="str">
        <f>IFERROR(__xludf.DUMMYFUNCTION("""COMPUTED_VALUE"""),"LILLE")</f>
        <v>LILLE</v>
      </c>
      <c r="B74" s="5" t="str">
        <f>IFERROR(__xludf.DUMMYFUNCTION("""COMPUTED_VALUE"""),"LYCEE POLYVALENT PRIVE SAINT JOSEPH")</f>
        <v>LYCEE POLYVALENT PRIVE SAINT JOSEPH</v>
      </c>
      <c r="C74" s="5" t="str">
        <f>IFERROR(__xludf.DUMMYFUNCTION("""COMPUTED_VALUE"""),"HAZEBROUCK")</f>
        <v>HAZEBROUCK</v>
      </c>
      <c r="D74" s="5" t="str">
        <f>IFERROR(__xludf.DUMMYFUNCTION("""COMPUTED_VALUE"""),"privé sous contrat")</f>
        <v>privé sous contrat</v>
      </c>
      <c r="E74" s="5" t="str">
        <f>IFERROR(__xludf.DUMMYFUNCTION("""COMPUTED_VALUE"""),"LPO")</f>
        <v>LPO</v>
      </c>
      <c r="F74" s="9">
        <f>IFERROR(__xludf.DUMMYFUNCTION("""COMPUTED_VALUE"""),107.9)</f>
        <v>107.9</v>
      </c>
      <c r="G74" s="9">
        <f>IFERROR(__xludf.DUMMYFUNCTION("""COMPUTED_VALUE"""),86.7)</f>
        <v>86.7</v>
      </c>
      <c r="H74" s="9">
        <f>IFERROR(__xludf.DUMMYFUNCTION("""COMPUTED_VALUE"""),96.2)</f>
        <v>96.2</v>
      </c>
    </row>
    <row r="75">
      <c r="A75" s="5" t="str">
        <f>IFERROR(__xludf.DUMMYFUNCTION("""COMPUTED_VALUE"""),"LILLE")</f>
        <v>LILLE</v>
      </c>
      <c r="B75" s="5" t="str">
        <f>IFERROR(__xludf.DUMMYFUNCTION("""COMPUTED_VALUE"""),"LYCEE POLYVALENT PRIVE SAINT PIERRE")</f>
        <v>LYCEE POLYVALENT PRIVE SAINT PIERRE</v>
      </c>
      <c r="C75" s="5" t="str">
        <f>IFERROR(__xludf.DUMMYFUNCTION("""COMPUTED_VALUE"""),"FOURMIES")</f>
        <v>FOURMIES</v>
      </c>
      <c r="D75" s="5" t="str">
        <f>IFERROR(__xludf.DUMMYFUNCTION("""COMPUTED_VALUE"""),"privé sous contrat")</f>
        <v>privé sous contrat</v>
      </c>
      <c r="E75" s="5" t="str">
        <f>IFERROR(__xludf.DUMMYFUNCTION("""COMPUTED_VALUE"""),"LPO")</f>
        <v>LPO</v>
      </c>
      <c r="F75" s="9">
        <f>IFERROR(__xludf.DUMMYFUNCTION("""COMPUTED_VALUE"""),100.3)</f>
        <v>100.3</v>
      </c>
      <c r="G75" s="9">
        <f>IFERROR(__xludf.DUMMYFUNCTION("""COMPUTED_VALUE"""),72.4)</f>
        <v>72.4</v>
      </c>
      <c r="H75" s="9">
        <f>IFERROR(__xludf.DUMMYFUNCTION("""COMPUTED_VALUE"""),78.2)</f>
        <v>78.2</v>
      </c>
    </row>
    <row r="76">
      <c r="A76" s="5" t="str">
        <f>IFERROR(__xludf.DUMMYFUNCTION("""COMPUTED_VALUE"""),"LILLE")</f>
        <v>LILLE</v>
      </c>
      <c r="B76" s="5" t="str">
        <f>IFERROR(__xludf.DUMMYFUNCTION("""COMPUTED_VALUE"""),"LYCEE GENERAL PRIVE SAINTE ODILE")</f>
        <v>LYCEE GENERAL PRIVE SAINTE ODILE</v>
      </c>
      <c r="C76" s="5" t="str">
        <f>IFERROR(__xludf.DUMMYFUNCTION("""COMPUTED_VALUE"""),"LAMBERSART")</f>
        <v>LAMBERSART</v>
      </c>
      <c r="D76" s="5" t="str">
        <f>IFERROR(__xludf.DUMMYFUNCTION("""COMPUTED_VALUE"""),"privé sous contrat")</f>
        <v>privé sous contrat</v>
      </c>
      <c r="E76" s="5" t="str">
        <f>IFERROR(__xludf.DUMMYFUNCTION("""COMPUTED_VALUE"""),"LEGT")</f>
        <v>LEGT</v>
      </c>
      <c r="F76" s="9">
        <f>IFERROR(__xludf.DUMMYFUNCTION("""COMPUTED_VALUE"""),126.9)</f>
        <v>126.9</v>
      </c>
      <c r="G76" s="9"/>
      <c r="H76" s="9">
        <f>IFERROR(__xludf.DUMMYFUNCTION("""COMPUTED_VALUE"""),126.9)</f>
        <v>126.9</v>
      </c>
    </row>
    <row r="77">
      <c r="A77" s="5" t="str">
        <f>IFERROR(__xludf.DUMMYFUNCTION("""COMPUTED_VALUE"""),"LILLE")</f>
        <v>LILLE</v>
      </c>
      <c r="B77" s="5" t="str">
        <f>IFERROR(__xludf.DUMMYFUNCTION("""COMPUTED_VALUE"""),"LYCEE GENERAL PRIVE NOTRE DAME DE LA PAIX")</f>
        <v>LYCEE GENERAL PRIVE NOTRE DAME DE LA PAIX</v>
      </c>
      <c r="C77" s="5" t="str">
        <f>IFERROR(__xludf.DUMMYFUNCTION("""COMPUTED_VALUE"""),"LILLE")</f>
        <v>LILLE</v>
      </c>
      <c r="D77" s="5" t="str">
        <f>IFERROR(__xludf.DUMMYFUNCTION("""COMPUTED_VALUE"""),"privé sous contrat")</f>
        <v>privé sous contrat</v>
      </c>
      <c r="E77" s="5" t="str">
        <f>IFERROR(__xludf.DUMMYFUNCTION("""COMPUTED_VALUE"""),"LEGT")</f>
        <v>LEGT</v>
      </c>
      <c r="F77" s="9">
        <f>IFERROR(__xludf.DUMMYFUNCTION("""COMPUTED_VALUE"""),136.5)</f>
        <v>136.5</v>
      </c>
      <c r="G77" s="9"/>
      <c r="H77" s="9">
        <f>IFERROR(__xludf.DUMMYFUNCTION("""COMPUTED_VALUE"""),136.5)</f>
        <v>136.5</v>
      </c>
    </row>
    <row r="78">
      <c r="A78" s="5" t="str">
        <f>IFERROR(__xludf.DUMMYFUNCTION("""COMPUTED_VALUE"""),"LILLE")</f>
        <v>LILLE</v>
      </c>
      <c r="B78" s="5" t="str">
        <f>IFERROR(__xludf.DUMMYFUNCTION("""COMPUTED_VALUE"""),"LYCEE PRIVE DE MARCQ")</f>
        <v>LYCEE PRIVE DE MARCQ</v>
      </c>
      <c r="C78" s="5" t="str">
        <f>IFERROR(__xludf.DUMMYFUNCTION("""COMPUTED_VALUE"""),"MARCQ EN BAROEUL")</f>
        <v>MARCQ EN BAROEUL</v>
      </c>
      <c r="D78" s="5" t="str">
        <f>IFERROR(__xludf.DUMMYFUNCTION("""COMPUTED_VALUE"""),"privé sous contrat")</f>
        <v>privé sous contrat</v>
      </c>
      <c r="E78" s="5" t="str">
        <f>IFERROR(__xludf.DUMMYFUNCTION("""COMPUTED_VALUE"""),"LEGT")</f>
        <v>LEGT</v>
      </c>
      <c r="F78" s="9">
        <f>IFERROR(__xludf.DUMMYFUNCTION("""COMPUTED_VALUE"""),148.8)</f>
        <v>148.8</v>
      </c>
      <c r="G78" s="9"/>
      <c r="H78" s="9">
        <f>IFERROR(__xludf.DUMMYFUNCTION("""COMPUTED_VALUE"""),148.8)</f>
        <v>148.8</v>
      </c>
    </row>
    <row r="79">
      <c r="A79" s="5" t="str">
        <f>IFERROR(__xludf.DUMMYFUNCTION("""COMPUTED_VALUE"""),"LILLE")</f>
        <v>LILLE</v>
      </c>
      <c r="B79" s="5" t="str">
        <f>IFERROR(__xludf.DUMMYFUNCTION("""COMPUTED_VALUE"""),"LYCEE PROFESSIONNEL PAUL LANGEVIN")</f>
        <v>LYCEE PROFESSIONNEL PAUL LANGEVIN</v>
      </c>
      <c r="C79" s="5" t="str">
        <f>IFERROR(__xludf.DUMMYFUNCTION("""COMPUTED_VALUE"""),"WAZIERS")</f>
        <v>WAZIERS</v>
      </c>
      <c r="D79" s="5" t="str">
        <f>IFERROR(__xludf.DUMMYFUNCTION("""COMPUTED_VALUE"""),"public")</f>
        <v>public</v>
      </c>
      <c r="E79" s="5" t="str">
        <f>IFERROR(__xludf.DUMMYFUNCTION("""COMPUTED_VALUE"""),"LP")</f>
        <v>LP</v>
      </c>
      <c r="F79" s="9"/>
      <c r="G79" s="9">
        <f>IFERROR(__xludf.DUMMYFUNCTION("""COMPUTED_VALUE"""),73.1)</f>
        <v>73.1</v>
      </c>
      <c r="H79" s="9">
        <f>IFERROR(__xludf.DUMMYFUNCTION("""COMPUTED_VALUE"""),73.1)</f>
        <v>73.1</v>
      </c>
    </row>
    <row r="80">
      <c r="A80" s="5" t="str">
        <f>IFERROR(__xludf.DUMMYFUNCTION("""COMPUTED_VALUE"""),"LILLE")</f>
        <v>LILLE</v>
      </c>
      <c r="B80" s="5" t="str">
        <f>IFERROR(__xludf.DUMMYFUNCTION("""COMPUTED_VALUE"""),"LYCEE TECHNOLOGIQUE ECOLE SUP ARTS APPLIQUES TEXTILE")</f>
        <v>LYCEE TECHNOLOGIQUE ECOLE SUP ARTS APPLIQUES TEXTILE</v>
      </c>
      <c r="C80" s="5" t="str">
        <f>IFERROR(__xludf.DUMMYFUNCTION("""COMPUTED_VALUE"""),"ROUBAIX")</f>
        <v>ROUBAIX</v>
      </c>
      <c r="D80" s="5" t="str">
        <f>IFERROR(__xludf.DUMMYFUNCTION("""COMPUTED_VALUE"""),"public")</f>
        <v>public</v>
      </c>
      <c r="E80" s="5" t="str">
        <f>IFERROR(__xludf.DUMMYFUNCTION("""COMPUTED_VALUE"""),"LEGT")</f>
        <v>LEGT</v>
      </c>
      <c r="F80" s="9">
        <f>IFERROR(__xludf.DUMMYFUNCTION("""COMPUTED_VALUE"""),130.1)</f>
        <v>130.1</v>
      </c>
      <c r="G80" s="9"/>
      <c r="H80" s="9">
        <f>IFERROR(__xludf.DUMMYFUNCTION("""COMPUTED_VALUE"""),130.1)</f>
        <v>130.1</v>
      </c>
    </row>
    <row r="81">
      <c r="A81" s="5" t="str">
        <f>IFERROR(__xludf.DUMMYFUNCTION("""COMPUTED_VALUE"""),"LILLE")</f>
        <v>LILLE</v>
      </c>
      <c r="B81" s="5" t="str">
        <f>IFERROR(__xludf.DUMMYFUNCTION("""COMPUTED_VALUE"""),"LYCEE PROFESSIONNEL LEONARD DE VINCI")</f>
        <v>LYCEE PROFESSIONNEL LEONARD DE VINCI</v>
      </c>
      <c r="C81" s="5" t="str">
        <f>IFERROR(__xludf.DUMMYFUNCTION("""COMPUTED_VALUE"""),"TRITH SAINT LEGER")</f>
        <v>TRITH SAINT LEGER</v>
      </c>
      <c r="D81" s="5" t="str">
        <f>IFERROR(__xludf.DUMMYFUNCTION("""COMPUTED_VALUE"""),"public")</f>
        <v>public</v>
      </c>
      <c r="E81" s="5" t="str">
        <f>IFERROR(__xludf.DUMMYFUNCTION("""COMPUTED_VALUE"""),"LP")</f>
        <v>LP</v>
      </c>
      <c r="F81" s="9"/>
      <c r="G81" s="9">
        <f>IFERROR(__xludf.DUMMYFUNCTION("""COMPUTED_VALUE"""),73.9)</f>
        <v>73.9</v>
      </c>
      <c r="H81" s="9">
        <f>IFERROR(__xludf.DUMMYFUNCTION("""COMPUTED_VALUE"""),73.9)</f>
        <v>73.9</v>
      </c>
    </row>
    <row r="82">
      <c r="A82" s="5" t="str">
        <f>IFERROR(__xludf.DUMMYFUNCTION("""COMPUTED_VALUE"""),"LILLE")</f>
        <v>LILLE</v>
      </c>
      <c r="B82" s="5" t="str">
        <f>IFERROR(__xludf.DUMMYFUNCTION("""COMPUTED_VALUE"""),"LYCEE GENERAL ET TECHNOLOGIQUE JEAN PROUVE")</f>
        <v>LYCEE GENERAL ET TECHNOLOGIQUE JEAN PROUVE</v>
      </c>
      <c r="C82" s="5" t="str">
        <f>IFERROR(__xludf.DUMMYFUNCTION("""COMPUTED_VALUE"""),"LILLE")</f>
        <v>LILLE</v>
      </c>
      <c r="D82" s="5" t="str">
        <f>IFERROR(__xludf.DUMMYFUNCTION("""COMPUTED_VALUE"""),"public")</f>
        <v>public</v>
      </c>
      <c r="E82" s="5" t="str">
        <f>IFERROR(__xludf.DUMMYFUNCTION("""COMPUTED_VALUE"""),"LEGT")</f>
        <v>LEGT</v>
      </c>
      <c r="F82" s="9">
        <f>IFERROR(__xludf.DUMMYFUNCTION("""COMPUTED_VALUE"""),101.9)</f>
        <v>101.9</v>
      </c>
      <c r="G82" s="9"/>
      <c r="H82" s="9">
        <f>IFERROR(__xludf.DUMMYFUNCTION("""COMPUTED_VALUE"""),101.9)</f>
        <v>101.9</v>
      </c>
    </row>
    <row r="83">
      <c r="A83" s="5" t="str">
        <f>IFERROR(__xludf.DUMMYFUNCTION("""COMPUTED_VALUE"""),"LILLE")</f>
        <v>LILLE</v>
      </c>
      <c r="B83" s="5" t="str">
        <f>IFERROR(__xludf.DUMMYFUNCTION("""COMPUTED_VALUE"""),"LYCEE PROFESSIONNEL ALAIN SAVARY LYCEE DES METIERS")</f>
        <v>LYCEE PROFESSIONNEL ALAIN SAVARY LYCEE DES METIERS</v>
      </c>
      <c r="C83" s="5" t="str">
        <f>IFERROR(__xludf.DUMMYFUNCTION("""COMPUTED_VALUE"""),"WATTRELOS")</f>
        <v>WATTRELOS</v>
      </c>
      <c r="D83" s="5" t="str">
        <f>IFERROR(__xludf.DUMMYFUNCTION("""COMPUTED_VALUE"""),"public")</f>
        <v>public</v>
      </c>
      <c r="E83" s="5" t="str">
        <f>IFERROR(__xludf.DUMMYFUNCTION("""COMPUTED_VALUE"""),"LP")</f>
        <v>LP</v>
      </c>
      <c r="F83" s="9"/>
      <c r="G83" s="9">
        <f>IFERROR(__xludf.DUMMYFUNCTION("""COMPUTED_VALUE"""),67.4)</f>
        <v>67.4</v>
      </c>
      <c r="H83" s="9">
        <f>IFERROR(__xludf.DUMMYFUNCTION("""COMPUTED_VALUE"""),67.4)</f>
        <v>67.4</v>
      </c>
    </row>
    <row r="84">
      <c r="A84" s="5" t="str">
        <f>IFERROR(__xludf.DUMMYFUNCTION("""COMPUTED_VALUE"""),"LILLE")</f>
        <v>LILLE</v>
      </c>
      <c r="B84" s="5" t="str">
        <f>IFERROR(__xludf.DUMMYFUNCTION("""COMPUTED_VALUE"""),"LYCEE GENERAL ET TECHNOLOGIQUE DE L ESCAUT")</f>
        <v>LYCEE GENERAL ET TECHNOLOGIQUE DE L ESCAUT</v>
      </c>
      <c r="C84" s="5" t="str">
        <f>IFERROR(__xludf.DUMMYFUNCTION("""COMPUTED_VALUE"""),"VALENCIENNES")</f>
        <v>VALENCIENNES</v>
      </c>
      <c r="D84" s="5" t="str">
        <f>IFERROR(__xludf.DUMMYFUNCTION("""COMPUTED_VALUE"""),"public")</f>
        <v>public</v>
      </c>
      <c r="E84" s="5" t="str">
        <f>IFERROR(__xludf.DUMMYFUNCTION("""COMPUTED_VALUE"""),"LEGT")</f>
        <v>LEGT</v>
      </c>
      <c r="F84" s="9">
        <f>IFERROR(__xludf.DUMMYFUNCTION("""COMPUTED_VALUE"""),99.5)</f>
        <v>99.5</v>
      </c>
      <c r="G84" s="9"/>
      <c r="H84" s="9">
        <f>IFERROR(__xludf.DUMMYFUNCTION("""COMPUTED_VALUE"""),99.5)</f>
        <v>99.5</v>
      </c>
    </row>
    <row r="85">
      <c r="A85" s="5" t="str">
        <f>IFERROR(__xludf.DUMMYFUNCTION("""COMPUTED_VALUE"""),"LILLE")</f>
        <v>LILLE</v>
      </c>
      <c r="B85" s="5" t="str">
        <f>IFERROR(__xludf.DUMMYFUNCTION("""COMPUTED_VALUE"""),"LYCEE PROFESSIONNEL FRANCOIS RABELAIS")</f>
        <v>LYCEE PROFESSIONNEL FRANCOIS RABELAIS</v>
      </c>
      <c r="C85" s="5" t="str">
        <f>IFERROR(__xludf.DUMMYFUNCTION("""COMPUTED_VALUE"""),"DOUAI")</f>
        <v>DOUAI</v>
      </c>
      <c r="D85" s="5" t="str">
        <f>IFERROR(__xludf.DUMMYFUNCTION("""COMPUTED_VALUE"""),"public")</f>
        <v>public</v>
      </c>
      <c r="E85" s="5" t="str">
        <f>IFERROR(__xludf.DUMMYFUNCTION("""COMPUTED_VALUE"""),"LP")</f>
        <v>LP</v>
      </c>
      <c r="F85" s="9"/>
      <c r="G85" s="9">
        <f>IFERROR(__xludf.DUMMYFUNCTION("""COMPUTED_VALUE"""),71.3)</f>
        <v>71.3</v>
      </c>
      <c r="H85" s="9">
        <f>IFERROR(__xludf.DUMMYFUNCTION("""COMPUTED_VALUE"""),71.3)</f>
        <v>71.3</v>
      </c>
    </row>
    <row r="86">
      <c r="A86" s="5" t="str">
        <f>IFERROR(__xludf.DUMMYFUNCTION("""COMPUTED_VALUE"""),"LILLE")</f>
        <v>LILLE</v>
      </c>
      <c r="B86" s="5" t="str">
        <f>IFERROR(__xludf.DUMMYFUNCTION("""COMPUTED_VALUE"""),"LYCEE GENERAL PRIVE JEANNINE MANUEL")</f>
        <v>LYCEE GENERAL PRIVE JEANNINE MANUEL</v>
      </c>
      <c r="C86" s="5" t="str">
        <f>IFERROR(__xludf.DUMMYFUNCTION("""COMPUTED_VALUE"""),"MARCQ EN BAROEUL")</f>
        <v>MARCQ EN BAROEUL</v>
      </c>
      <c r="D86" s="5" t="str">
        <f>IFERROR(__xludf.DUMMYFUNCTION("""COMPUTED_VALUE"""),"privé sous contrat")</f>
        <v>privé sous contrat</v>
      </c>
      <c r="E86" s="5" t="str">
        <f>IFERROR(__xludf.DUMMYFUNCTION("""COMPUTED_VALUE"""),"LEGT")</f>
        <v>LEGT</v>
      </c>
      <c r="F86" s="9">
        <f>IFERROR(__xludf.DUMMYFUNCTION("""COMPUTED_VALUE"""),155.3)</f>
        <v>155.3</v>
      </c>
      <c r="G86" s="9"/>
      <c r="H86" s="9">
        <f>IFERROR(__xludf.DUMMYFUNCTION("""COMPUTED_VALUE"""),155.3)</f>
        <v>155.3</v>
      </c>
    </row>
    <row r="87">
      <c r="A87" s="5" t="str">
        <f>IFERROR(__xludf.DUMMYFUNCTION("""COMPUTED_VALUE"""),"LILLE")</f>
        <v>LILLE</v>
      </c>
      <c r="B87" s="5" t="str">
        <f>IFERROR(__xludf.DUMMYFUNCTION("""COMPUTED_VALUE"""),"LYCEE PROFESSIONNEL JACQUES LE CARON")</f>
        <v>LYCEE PROFESSIONNEL JACQUES LE CARON</v>
      </c>
      <c r="C87" s="5" t="str">
        <f>IFERROR(__xludf.DUMMYFUNCTION("""COMPUTED_VALUE"""),"ARRAS")</f>
        <v>ARRAS</v>
      </c>
      <c r="D87" s="5" t="str">
        <f>IFERROR(__xludf.DUMMYFUNCTION("""COMPUTED_VALUE"""),"public")</f>
        <v>public</v>
      </c>
      <c r="E87" s="5" t="str">
        <f>IFERROR(__xludf.DUMMYFUNCTION("""COMPUTED_VALUE"""),"LP")</f>
        <v>LP</v>
      </c>
      <c r="F87" s="9"/>
      <c r="G87" s="9">
        <f>IFERROR(__xludf.DUMMYFUNCTION("""COMPUTED_VALUE"""),76.3)</f>
        <v>76.3</v>
      </c>
      <c r="H87" s="9">
        <f>IFERROR(__xludf.DUMMYFUNCTION("""COMPUTED_VALUE"""),76.3)</f>
        <v>76.3</v>
      </c>
    </row>
    <row r="88">
      <c r="A88" s="5" t="str">
        <f>IFERROR(__xludf.DUMMYFUNCTION("""COMPUTED_VALUE"""),"LILLE")</f>
        <v>LILLE</v>
      </c>
      <c r="B88" s="5" t="str">
        <f>IFERROR(__xludf.DUMMYFUNCTION("""COMPUTED_VALUE"""),"LYCEE POLYVALENT PABLO PICASSO")</f>
        <v>LYCEE POLYVALENT PABLO PICASSO</v>
      </c>
      <c r="C88" s="5" t="str">
        <f>IFERROR(__xludf.DUMMYFUNCTION("""COMPUTED_VALUE"""),"AVION")</f>
        <v>AVION</v>
      </c>
      <c r="D88" s="5" t="str">
        <f>IFERROR(__xludf.DUMMYFUNCTION("""COMPUTED_VALUE"""),"public")</f>
        <v>public</v>
      </c>
      <c r="E88" s="5" t="str">
        <f>IFERROR(__xludf.DUMMYFUNCTION("""COMPUTED_VALUE"""),"LPO")</f>
        <v>LPO</v>
      </c>
      <c r="F88" s="9">
        <f>IFERROR(__xludf.DUMMYFUNCTION("""COMPUTED_VALUE"""),85.5)</f>
        <v>85.5</v>
      </c>
      <c r="G88" s="9">
        <f>IFERROR(__xludf.DUMMYFUNCTION("""COMPUTED_VALUE"""),68.2)</f>
        <v>68.2</v>
      </c>
      <c r="H88" s="9">
        <f>IFERROR(__xludf.DUMMYFUNCTION("""COMPUTED_VALUE"""),84.3)</f>
        <v>84.3</v>
      </c>
    </row>
    <row r="89">
      <c r="A89" s="5" t="str">
        <f>IFERROR(__xludf.DUMMYFUNCTION("""COMPUTED_VALUE"""),"LILLE")</f>
        <v>LILLE</v>
      </c>
      <c r="B89" s="5" t="str">
        <f>IFERROR(__xludf.DUMMYFUNCTION("""COMPUTED_VALUE"""),"LYCEE GENERAL ET TECHNOLOGIQUE LOUIS BLARINGHEM")</f>
        <v>LYCEE GENERAL ET TECHNOLOGIQUE LOUIS BLARINGHEM</v>
      </c>
      <c r="C89" s="5" t="str">
        <f>IFERROR(__xludf.DUMMYFUNCTION("""COMPUTED_VALUE"""),"BETHUNE")</f>
        <v>BETHUNE</v>
      </c>
      <c r="D89" s="5" t="str">
        <f>IFERROR(__xludf.DUMMYFUNCTION("""COMPUTED_VALUE"""),"public")</f>
        <v>public</v>
      </c>
      <c r="E89" s="5" t="str">
        <f>IFERROR(__xludf.DUMMYFUNCTION("""COMPUTED_VALUE"""),"LEGT")</f>
        <v>LEGT</v>
      </c>
      <c r="F89" s="9">
        <f>IFERROR(__xludf.DUMMYFUNCTION("""COMPUTED_VALUE"""),119.6)</f>
        <v>119.6</v>
      </c>
      <c r="G89" s="9"/>
      <c r="H89" s="9">
        <f>IFERROR(__xludf.DUMMYFUNCTION("""COMPUTED_VALUE"""),119.6)</f>
        <v>119.6</v>
      </c>
    </row>
    <row r="90">
      <c r="A90" s="5" t="str">
        <f>IFERROR(__xludf.DUMMYFUNCTION("""COMPUTED_VALUE"""),"LILLE")</f>
        <v>LILLE</v>
      </c>
      <c r="B90" s="5" t="str">
        <f>IFERROR(__xludf.DUMMYFUNCTION("""COMPUTED_VALUE"""),"LYCEE GENERAL ET TECHNOLOGIQUE PIERRE DE COUBERTIN")</f>
        <v>LYCEE GENERAL ET TECHNOLOGIQUE PIERRE DE COUBERTIN</v>
      </c>
      <c r="C90" s="5" t="str">
        <f>IFERROR(__xludf.DUMMYFUNCTION("""COMPUTED_VALUE"""),"CALAIS")</f>
        <v>CALAIS</v>
      </c>
      <c r="D90" s="5" t="str">
        <f>IFERROR(__xludf.DUMMYFUNCTION("""COMPUTED_VALUE"""),"public")</f>
        <v>public</v>
      </c>
      <c r="E90" s="5" t="str">
        <f>IFERROR(__xludf.DUMMYFUNCTION("""COMPUTED_VALUE"""),"LEGT")</f>
        <v>LEGT</v>
      </c>
      <c r="F90" s="9">
        <f>IFERROR(__xludf.DUMMYFUNCTION("""COMPUTED_VALUE"""),104.0)</f>
        <v>104</v>
      </c>
      <c r="G90" s="9"/>
      <c r="H90" s="9">
        <f>IFERROR(__xludf.DUMMYFUNCTION("""COMPUTED_VALUE"""),104.0)</f>
        <v>104</v>
      </c>
    </row>
    <row r="91">
      <c r="A91" s="5" t="str">
        <f>IFERROR(__xludf.DUMMYFUNCTION("""COMPUTED_VALUE"""),"LILLE")</f>
        <v>LILLE</v>
      </c>
      <c r="B91" s="5" t="str">
        <f>IFERROR(__xludf.DUMMYFUNCTION("""COMPUTED_VALUE"""),"LYCEE GENERAL ET TECHNOLOGIQUE DIDEROT")</f>
        <v>LYCEE GENERAL ET TECHNOLOGIQUE DIDEROT</v>
      </c>
      <c r="C91" s="5" t="str">
        <f>IFERROR(__xludf.DUMMYFUNCTION("""COMPUTED_VALUE"""),"CARVIN")</f>
        <v>CARVIN</v>
      </c>
      <c r="D91" s="5" t="str">
        <f>IFERROR(__xludf.DUMMYFUNCTION("""COMPUTED_VALUE"""),"public")</f>
        <v>public</v>
      </c>
      <c r="E91" s="5" t="str">
        <f>IFERROR(__xludf.DUMMYFUNCTION("""COMPUTED_VALUE"""),"LEGT")</f>
        <v>LEGT</v>
      </c>
      <c r="F91" s="9">
        <f>IFERROR(__xludf.DUMMYFUNCTION("""COMPUTED_VALUE"""),100.0)</f>
        <v>100</v>
      </c>
      <c r="G91" s="9"/>
      <c r="H91" s="9">
        <f>IFERROR(__xludf.DUMMYFUNCTION("""COMPUTED_VALUE"""),100.0)</f>
        <v>100</v>
      </c>
    </row>
    <row r="92">
      <c r="A92" s="5" t="str">
        <f>IFERROR(__xludf.DUMMYFUNCTION("""COMPUTED_VALUE"""),"LILLE")</f>
        <v>LILLE</v>
      </c>
      <c r="B92" s="5" t="str">
        <f>IFERROR(__xludf.DUMMYFUNCTION("""COMPUTED_VALUE"""),"LYCEE PROFESSIONNEL AUGUSTE BEHAL LYCEE DES METIERS DE LA PERSONNE SANTE SOCIAL LYCEE DES METIERS DE CONSTRUCTION BOIS ET MATERIAUX")</f>
        <v>LYCEE PROFESSIONNEL AUGUSTE BEHAL LYCEE DES METIERS DE LA PERSONNE SANTE SOCIAL LYCEE DES METIERS DE CONSTRUCTION BOIS ET MATERIAUX</v>
      </c>
      <c r="C92" s="5" t="str">
        <f>IFERROR(__xludf.DUMMYFUNCTION("""COMPUTED_VALUE"""),"LENS")</f>
        <v>LENS</v>
      </c>
      <c r="D92" s="5" t="str">
        <f>IFERROR(__xludf.DUMMYFUNCTION("""COMPUTED_VALUE"""),"public")</f>
        <v>public</v>
      </c>
      <c r="E92" s="5" t="str">
        <f>IFERROR(__xludf.DUMMYFUNCTION("""COMPUTED_VALUE"""),"LP")</f>
        <v>LP</v>
      </c>
      <c r="F92" s="9"/>
      <c r="G92" s="9">
        <f>IFERROR(__xludf.DUMMYFUNCTION("""COMPUTED_VALUE"""),71.2)</f>
        <v>71.2</v>
      </c>
      <c r="H92" s="9">
        <f>IFERROR(__xludf.DUMMYFUNCTION("""COMPUTED_VALUE"""),71.2)</f>
        <v>71.2</v>
      </c>
    </row>
    <row r="93">
      <c r="A93" s="5" t="str">
        <f>IFERROR(__xludf.DUMMYFUNCTION("""COMPUTED_VALUE"""),"LILLE")</f>
        <v>LILLE</v>
      </c>
      <c r="B93" s="5" t="str">
        <f>IFERROR(__xludf.DUMMYFUNCTION("""COMPUTED_VALUE"""),"LYCEE GENERAL ET TECHNOLOGIQUE HENRI DARRAS")</f>
        <v>LYCEE GENERAL ET TECHNOLOGIQUE HENRI DARRAS</v>
      </c>
      <c r="C93" s="5" t="str">
        <f>IFERROR(__xludf.DUMMYFUNCTION("""COMPUTED_VALUE"""),"LIEVIN")</f>
        <v>LIEVIN</v>
      </c>
      <c r="D93" s="5" t="str">
        <f>IFERROR(__xludf.DUMMYFUNCTION("""COMPUTED_VALUE"""),"public")</f>
        <v>public</v>
      </c>
      <c r="E93" s="5" t="str">
        <f>IFERROR(__xludf.DUMMYFUNCTION("""COMPUTED_VALUE"""),"LEGT")</f>
        <v>LEGT</v>
      </c>
      <c r="F93" s="9">
        <f>IFERROR(__xludf.DUMMYFUNCTION("""COMPUTED_VALUE"""),99.5)</f>
        <v>99.5</v>
      </c>
      <c r="G93" s="9"/>
      <c r="H93" s="9">
        <f>IFERROR(__xludf.DUMMYFUNCTION("""COMPUTED_VALUE"""),99.5)</f>
        <v>99.5</v>
      </c>
    </row>
    <row r="94">
      <c r="A94" s="5" t="str">
        <f>IFERROR(__xludf.DUMMYFUNCTION("""COMPUTED_VALUE"""),"LILLE")</f>
        <v>LILLE</v>
      </c>
      <c r="B94" s="5" t="str">
        <f>IFERROR(__xludf.DUMMYFUNCTION("""COMPUTED_VALUE"""),"LYCEE PROFESSIONNEL JULES VERNE LYCEE DES METIERS DU BATIMENT ET DES ENERGIES RENOUVELABLES")</f>
        <v>LYCEE PROFESSIONNEL JULES VERNE LYCEE DES METIERS DU BATIMENT ET DES ENERGIES RENOUVELABLES</v>
      </c>
      <c r="C94" s="5" t="str">
        <f>IFERROR(__xludf.DUMMYFUNCTION("""COMPUTED_VALUE"""),"ETAPLES")</f>
        <v>ETAPLES</v>
      </c>
      <c r="D94" s="5" t="str">
        <f>IFERROR(__xludf.DUMMYFUNCTION("""COMPUTED_VALUE"""),"public")</f>
        <v>public</v>
      </c>
      <c r="E94" s="5" t="str">
        <f>IFERROR(__xludf.DUMMYFUNCTION("""COMPUTED_VALUE"""),"LP")</f>
        <v>LP</v>
      </c>
      <c r="F94" s="9"/>
      <c r="G94" s="9">
        <f>IFERROR(__xludf.DUMMYFUNCTION("""COMPUTED_VALUE"""),74.3)</f>
        <v>74.3</v>
      </c>
      <c r="H94" s="9">
        <f>IFERROR(__xludf.DUMMYFUNCTION("""COMPUTED_VALUE"""),74.3)</f>
        <v>74.3</v>
      </c>
    </row>
    <row r="95">
      <c r="A95" s="5" t="str">
        <f>IFERROR(__xludf.DUMMYFUNCTION("""COMPUTED_VALUE"""),"LILLE")</f>
        <v>LILLE</v>
      </c>
      <c r="B95" s="5" t="str">
        <f>IFERROR(__xludf.DUMMYFUNCTION("""COMPUTED_VALUE"""),"LYCEE PROFESSIONNEL DU DETROIT LYCEE DES METIERS DE LA MODE ET DES TEXTILES LYCEE DES METIERS DE LA MAINTENANCE INDUSTRIELLE DES TERRES D OPALE")</f>
        <v>LYCEE PROFESSIONNEL DU DETROIT LYCEE DES METIERS DE LA MODE ET DES TEXTILES LYCEE DES METIERS DE LA MAINTENANCE INDUSTRIELLE DES TERRES D OPALE</v>
      </c>
      <c r="C95" s="5" t="str">
        <f>IFERROR(__xludf.DUMMYFUNCTION("""COMPUTED_VALUE"""),"CALAIS")</f>
        <v>CALAIS</v>
      </c>
      <c r="D95" s="5" t="str">
        <f>IFERROR(__xludf.DUMMYFUNCTION("""COMPUTED_VALUE"""),"public")</f>
        <v>public</v>
      </c>
      <c r="E95" s="5" t="str">
        <f>IFERROR(__xludf.DUMMYFUNCTION("""COMPUTED_VALUE"""),"LP")</f>
        <v>LP</v>
      </c>
      <c r="F95" s="9"/>
      <c r="G95" s="9">
        <f>IFERROR(__xludf.DUMMYFUNCTION("""COMPUTED_VALUE"""),69.8)</f>
        <v>69.8</v>
      </c>
      <c r="H95" s="9">
        <f>IFERROR(__xludf.DUMMYFUNCTION("""COMPUTED_VALUE"""),69.8)</f>
        <v>69.8</v>
      </c>
    </row>
    <row r="96">
      <c r="A96" s="5" t="str">
        <f>IFERROR(__xludf.DUMMYFUNCTION("""COMPUTED_VALUE"""),"LILLE")</f>
        <v>LILLE</v>
      </c>
      <c r="B96" s="5" t="str">
        <f>IFERROR(__xludf.DUMMYFUNCTION("""COMPUTED_VALUE"""),"LYCEE PROFESSIONNEL PIERRE DE COUBERTIN")</f>
        <v>LYCEE PROFESSIONNEL PIERRE DE COUBERTIN</v>
      </c>
      <c r="C96" s="5" t="str">
        <f>IFERROR(__xludf.DUMMYFUNCTION("""COMPUTED_VALUE"""),"CALAIS")</f>
        <v>CALAIS</v>
      </c>
      <c r="D96" s="5" t="str">
        <f>IFERROR(__xludf.DUMMYFUNCTION("""COMPUTED_VALUE"""),"public")</f>
        <v>public</v>
      </c>
      <c r="E96" s="5" t="str">
        <f>IFERROR(__xludf.DUMMYFUNCTION("""COMPUTED_VALUE"""),"LP")</f>
        <v>LP</v>
      </c>
      <c r="F96" s="9"/>
      <c r="G96" s="9">
        <f>IFERROR(__xludf.DUMMYFUNCTION("""COMPUTED_VALUE"""),77.5)</f>
        <v>77.5</v>
      </c>
      <c r="H96" s="9">
        <f>IFERROR(__xludf.DUMMYFUNCTION("""COMPUTED_VALUE"""),77.5)</f>
        <v>77.5</v>
      </c>
    </row>
    <row r="97">
      <c r="A97" s="5" t="str">
        <f>IFERROR(__xludf.DUMMYFUNCTION("""COMPUTED_VALUE"""),"LILLE")</f>
        <v>LILLE</v>
      </c>
      <c r="B97" s="5" t="str">
        <f>IFERROR(__xludf.DUMMYFUNCTION("""COMPUTED_VALUE"""),"LYCEE PROFESSIONNEL HENRI DARRAS")</f>
        <v>LYCEE PROFESSIONNEL HENRI DARRAS</v>
      </c>
      <c r="C97" s="5" t="str">
        <f>IFERROR(__xludf.DUMMYFUNCTION("""COMPUTED_VALUE"""),"LIEVIN")</f>
        <v>LIEVIN</v>
      </c>
      <c r="D97" s="5" t="str">
        <f>IFERROR(__xludf.DUMMYFUNCTION("""COMPUTED_VALUE"""),"public")</f>
        <v>public</v>
      </c>
      <c r="E97" s="5" t="str">
        <f>IFERROR(__xludf.DUMMYFUNCTION("""COMPUTED_VALUE"""),"LP")</f>
        <v>LP</v>
      </c>
      <c r="F97" s="9"/>
      <c r="G97" s="9">
        <f>IFERROR(__xludf.DUMMYFUNCTION("""COMPUTED_VALUE"""),77.4)</f>
        <v>77.4</v>
      </c>
      <c r="H97" s="9">
        <f>IFERROR(__xludf.DUMMYFUNCTION("""COMPUTED_VALUE"""),77.4)</f>
        <v>77.4</v>
      </c>
    </row>
    <row r="98">
      <c r="A98" s="5" t="str">
        <f>IFERROR(__xludf.DUMMYFUNCTION("""COMPUTED_VALUE"""),"LILLE")</f>
        <v>LILLE</v>
      </c>
      <c r="B98" s="5" t="str">
        <f>IFERROR(__xludf.DUMMYFUNCTION("""COMPUTED_VALUE"""),"LYCEE PROFESSIONNEL PIERRE MENDES FRANCE LYCEE DES METIERS DES SYSTEMES AUTOMATIQUES ET DE L ELECTRONIQUE COMMUNICANTE")</f>
        <v>LYCEE PROFESSIONNEL PIERRE MENDES FRANCE LYCEE DES METIERS DES SYSTEMES AUTOMATIQUES ET DE L ELECTRONIQUE COMMUNICANTE</v>
      </c>
      <c r="C98" s="5" t="str">
        <f>IFERROR(__xludf.DUMMYFUNCTION("""COMPUTED_VALUE"""),"BRUAY LA BUISSIERE")</f>
        <v>BRUAY LA BUISSIERE</v>
      </c>
      <c r="D98" s="5" t="str">
        <f>IFERROR(__xludf.DUMMYFUNCTION("""COMPUTED_VALUE"""),"public")</f>
        <v>public</v>
      </c>
      <c r="E98" s="5" t="str">
        <f>IFERROR(__xludf.DUMMYFUNCTION("""COMPUTED_VALUE"""),"LP")</f>
        <v>LP</v>
      </c>
      <c r="F98" s="9"/>
      <c r="G98" s="9">
        <f>IFERROR(__xludf.DUMMYFUNCTION("""COMPUTED_VALUE"""),70.4)</f>
        <v>70.4</v>
      </c>
      <c r="H98" s="9">
        <f>IFERROR(__xludf.DUMMYFUNCTION("""COMPUTED_VALUE"""),70.4)</f>
        <v>70.4</v>
      </c>
    </row>
    <row r="99">
      <c r="A99" s="5" t="str">
        <f>IFERROR(__xludf.DUMMYFUNCTION("""COMPUTED_VALUE"""),"LILLE")</f>
        <v>LILLE</v>
      </c>
      <c r="B99" s="5" t="str">
        <f>IFERROR(__xludf.DUMMYFUNCTION("""COMPUTED_VALUE"""),"LYCEE PROFESSIONNEL LA PEUPLERAIE")</f>
        <v>LYCEE PROFESSIONNEL LA PEUPLERAIE</v>
      </c>
      <c r="C99" s="5" t="str">
        <f>IFERROR(__xludf.DUMMYFUNCTION("""COMPUTED_VALUE"""),"SALLAUMINES")</f>
        <v>SALLAUMINES</v>
      </c>
      <c r="D99" s="5" t="str">
        <f>IFERROR(__xludf.DUMMYFUNCTION("""COMPUTED_VALUE"""),"public")</f>
        <v>public</v>
      </c>
      <c r="E99" s="5" t="str">
        <f>IFERROR(__xludf.DUMMYFUNCTION("""COMPUTED_VALUE"""),"LP")</f>
        <v>LP</v>
      </c>
      <c r="F99" s="9"/>
      <c r="G99" s="9">
        <f>IFERROR(__xludf.DUMMYFUNCTION("""COMPUTED_VALUE"""),66.1)</f>
        <v>66.1</v>
      </c>
      <c r="H99" s="9">
        <f>IFERROR(__xludf.DUMMYFUNCTION("""COMPUTED_VALUE"""),66.1)</f>
        <v>66.1</v>
      </c>
    </row>
    <row r="100">
      <c r="A100" s="5" t="str">
        <f>IFERROR(__xludf.DUMMYFUNCTION("""COMPUTED_VALUE"""),"LILLE")</f>
        <v>LILLE</v>
      </c>
      <c r="B100" s="5" t="str">
        <f>IFERROR(__xludf.DUMMYFUNCTION("""COMPUTED_VALUE"""),"LYCEE POLYVALENT GUY MOLLET")</f>
        <v>LYCEE POLYVALENT GUY MOLLET</v>
      </c>
      <c r="C100" s="5" t="str">
        <f>IFERROR(__xludf.DUMMYFUNCTION("""COMPUTED_VALUE"""),"ARRAS")</f>
        <v>ARRAS</v>
      </c>
      <c r="D100" s="5" t="str">
        <f>IFERROR(__xludf.DUMMYFUNCTION("""COMPUTED_VALUE"""),"public")</f>
        <v>public</v>
      </c>
      <c r="E100" s="5" t="str">
        <f>IFERROR(__xludf.DUMMYFUNCTION("""COMPUTED_VALUE"""),"LPO")</f>
        <v>LPO</v>
      </c>
      <c r="F100" s="9">
        <f>IFERROR(__xludf.DUMMYFUNCTION("""COMPUTED_VALUE"""),105.4)</f>
        <v>105.4</v>
      </c>
      <c r="G100" s="9">
        <f>IFERROR(__xludf.DUMMYFUNCTION("""COMPUTED_VALUE"""),95.9)</f>
        <v>95.9</v>
      </c>
      <c r="H100" s="9">
        <f>IFERROR(__xludf.DUMMYFUNCTION("""COMPUTED_VALUE"""),105.3)</f>
        <v>105.3</v>
      </c>
    </row>
    <row r="101">
      <c r="A101" s="5" t="str">
        <f>IFERROR(__xludf.DUMMYFUNCTION("""COMPUTED_VALUE"""),"LILLE")</f>
        <v>LILLE</v>
      </c>
      <c r="B101" s="5" t="str">
        <f>IFERROR(__xludf.DUMMYFUNCTION("""COMPUTED_VALUE"""),"LYCEE PROFESSIONNEL VOLTAIRE")</f>
        <v>LYCEE PROFESSIONNEL VOLTAIRE</v>
      </c>
      <c r="C101" s="5" t="str">
        <f>IFERROR(__xludf.DUMMYFUNCTION("""COMPUTED_VALUE"""),"WINGLES")</f>
        <v>WINGLES</v>
      </c>
      <c r="D101" s="5" t="str">
        <f>IFERROR(__xludf.DUMMYFUNCTION("""COMPUTED_VALUE"""),"public")</f>
        <v>public</v>
      </c>
      <c r="E101" s="5" t="str">
        <f>IFERROR(__xludf.DUMMYFUNCTION("""COMPUTED_VALUE"""),"LP")</f>
        <v>LP</v>
      </c>
      <c r="F101" s="9"/>
      <c r="G101" s="9">
        <f>IFERROR(__xludf.DUMMYFUNCTION("""COMPUTED_VALUE"""),83.2)</f>
        <v>83.2</v>
      </c>
      <c r="H101" s="9">
        <f>IFERROR(__xludf.DUMMYFUNCTION("""COMPUTED_VALUE"""),83.2)</f>
        <v>83.2</v>
      </c>
    </row>
    <row r="102">
      <c r="A102" s="5" t="str">
        <f>IFERROR(__xludf.DUMMYFUNCTION("""COMPUTED_VALUE"""),"LILLE")</f>
        <v>LILLE</v>
      </c>
      <c r="B102" s="5" t="str">
        <f>IFERROR(__xludf.DUMMYFUNCTION("""COMPUTED_VALUE"""),"LYCEE GENERAL PRIVE NAZARETH HAFFREINGUE")</f>
        <v>LYCEE GENERAL PRIVE NAZARETH HAFFREINGUE</v>
      </c>
      <c r="C102" s="5" t="str">
        <f>IFERROR(__xludf.DUMMYFUNCTION("""COMPUTED_VALUE"""),"BOULOGNE SUR MER")</f>
        <v>BOULOGNE SUR MER</v>
      </c>
      <c r="D102" s="5" t="str">
        <f>IFERROR(__xludf.DUMMYFUNCTION("""COMPUTED_VALUE"""),"privé sous contrat")</f>
        <v>privé sous contrat</v>
      </c>
      <c r="E102" s="5" t="str">
        <f>IFERROR(__xludf.DUMMYFUNCTION("""COMPUTED_VALUE"""),"LEGT")</f>
        <v>LEGT</v>
      </c>
      <c r="F102" s="9">
        <f>IFERROR(__xludf.DUMMYFUNCTION("""COMPUTED_VALUE"""),125.7)</f>
        <v>125.7</v>
      </c>
      <c r="G102" s="9"/>
      <c r="H102" s="9">
        <f>IFERROR(__xludf.DUMMYFUNCTION("""COMPUTED_VALUE"""),125.7)</f>
        <v>125.7</v>
      </c>
    </row>
    <row r="103">
      <c r="A103" s="5" t="str">
        <f>IFERROR(__xludf.DUMMYFUNCTION("""COMPUTED_VALUE"""),"LILLE")</f>
        <v>LILLE</v>
      </c>
      <c r="B103" s="5" t="str">
        <f>IFERROR(__xludf.DUMMYFUNCTION("""COMPUTED_VALUE"""),"LYCEE GENERAL PRIVE NOTRE DAME DE SION")</f>
        <v>LYCEE GENERAL PRIVE NOTRE DAME DE SION</v>
      </c>
      <c r="C103" s="5" t="str">
        <f>IFERROR(__xludf.DUMMYFUNCTION("""COMPUTED_VALUE"""),"SAINT OMER")</f>
        <v>SAINT OMER</v>
      </c>
      <c r="D103" s="5" t="str">
        <f>IFERROR(__xludf.DUMMYFUNCTION("""COMPUTED_VALUE"""),"privé sous contrat")</f>
        <v>privé sous contrat</v>
      </c>
      <c r="E103" s="5" t="str">
        <f>IFERROR(__xludf.DUMMYFUNCTION("""COMPUTED_VALUE"""),"LEGT")</f>
        <v>LEGT</v>
      </c>
      <c r="F103" s="9">
        <f>IFERROR(__xludf.DUMMYFUNCTION("""COMPUTED_VALUE"""),123.1)</f>
        <v>123.1</v>
      </c>
      <c r="G103" s="9"/>
      <c r="H103" s="9">
        <f>IFERROR(__xludf.DUMMYFUNCTION("""COMPUTED_VALUE"""),123.1)</f>
        <v>123.1</v>
      </c>
    </row>
    <row r="104">
      <c r="A104" s="5" t="str">
        <f>IFERROR(__xludf.DUMMYFUNCTION("""COMPUTED_VALUE"""),"LILLE")</f>
        <v>LILLE</v>
      </c>
      <c r="B104" s="5" t="str">
        <f>IFERROR(__xludf.DUMMYFUNCTION("""COMPUTED_VALUE"""),"LYCEE PROFESSIONNEL JEAN CHARLES CAZIN")</f>
        <v>LYCEE PROFESSIONNEL JEAN CHARLES CAZIN</v>
      </c>
      <c r="C104" s="5" t="str">
        <f>IFERROR(__xludf.DUMMYFUNCTION("""COMPUTED_VALUE"""),"BOULOGNE SUR MER")</f>
        <v>BOULOGNE SUR MER</v>
      </c>
      <c r="D104" s="5" t="str">
        <f>IFERROR(__xludf.DUMMYFUNCTION("""COMPUTED_VALUE"""),"public")</f>
        <v>public</v>
      </c>
      <c r="E104" s="5" t="str">
        <f>IFERROR(__xludf.DUMMYFUNCTION("""COMPUTED_VALUE"""),"LP")</f>
        <v>LP</v>
      </c>
      <c r="F104" s="9"/>
      <c r="G104" s="9">
        <f>IFERROR(__xludf.DUMMYFUNCTION("""COMPUTED_VALUE"""),68.5)</f>
        <v>68.5</v>
      </c>
      <c r="H104" s="9">
        <f>IFERROR(__xludf.DUMMYFUNCTION("""COMPUTED_VALUE"""),68.5)</f>
        <v>68.5</v>
      </c>
    </row>
    <row r="105">
      <c r="A105" s="5" t="str">
        <f>IFERROR(__xludf.DUMMYFUNCTION("""COMPUTED_VALUE"""),"LILLE")</f>
        <v>LILLE</v>
      </c>
      <c r="B105" s="5" t="str">
        <f>IFERROR(__xludf.DUMMYFUNCTION("""COMPUTED_VALUE"""),"LYCEE POLYVALENT JAN LAVEZZARI")</f>
        <v>LYCEE POLYVALENT JAN LAVEZZARI</v>
      </c>
      <c r="C105" s="5" t="str">
        <f>IFERROR(__xludf.DUMMYFUNCTION("""COMPUTED_VALUE"""),"BERCK")</f>
        <v>BERCK</v>
      </c>
      <c r="D105" s="5" t="str">
        <f>IFERROR(__xludf.DUMMYFUNCTION("""COMPUTED_VALUE"""),"public")</f>
        <v>public</v>
      </c>
      <c r="E105" s="5" t="str">
        <f>IFERROR(__xludf.DUMMYFUNCTION("""COMPUTED_VALUE"""),"LPO")</f>
        <v>LPO</v>
      </c>
      <c r="F105" s="9">
        <f>IFERROR(__xludf.DUMMYFUNCTION("""COMPUTED_VALUE"""),105.9)</f>
        <v>105.9</v>
      </c>
      <c r="G105" s="9">
        <f>IFERROR(__xludf.DUMMYFUNCTION("""COMPUTED_VALUE"""),78.2)</f>
        <v>78.2</v>
      </c>
      <c r="H105" s="9">
        <f>IFERROR(__xludf.DUMMYFUNCTION("""COMPUTED_VALUE"""),98.8)</f>
        <v>98.8</v>
      </c>
    </row>
    <row r="106">
      <c r="A106" s="5" t="str">
        <f>IFERROR(__xludf.DUMMYFUNCTION("""COMPUTED_VALUE"""),"LILLE")</f>
        <v>LILLE</v>
      </c>
      <c r="B106" s="5" t="str">
        <f>IFERROR(__xludf.DUMMYFUNCTION("""COMPUTED_VALUE"""),"LYCEE PROFESSIONNEL JEAN BERTIN LYCEE DES METIERS DES TRAVAUX PUBLICS")</f>
        <v>LYCEE PROFESSIONNEL JEAN BERTIN LYCEE DES METIERS DES TRAVAUX PUBLICS</v>
      </c>
      <c r="C106" s="5" t="str">
        <f>IFERROR(__xludf.DUMMYFUNCTION("""COMPUTED_VALUE"""),"BRUAY LA BUISSIERE")</f>
        <v>BRUAY LA BUISSIERE</v>
      </c>
      <c r="D106" s="5" t="str">
        <f>IFERROR(__xludf.DUMMYFUNCTION("""COMPUTED_VALUE"""),"public")</f>
        <v>public</v>
      </c>
      <c r="E106" s="5" t="str">
        <f>IFERROR(__xludf.DUMMYFUNCTION("""COMPUTED_VALUE"""),"LP")</f>
        <v>LP</v>
      </c>
      <c r="F106" s="9"/>
      <c r="G106" s="9">
        <f>IFERROR(__xludf.DUMMYFUNCTION("""COMPUTED_VALUE"""),92.3)</f>
        <v>92.3</v>
      </c>
      <c r="H106" s="9">
        <f>IFERROR(__xludf.DUMMYFUNCTION("""COMPUTED_VALUE"""),92.3)</f>
        <v>92.3</v>
      </c>
    </row>
    <row r="107">
      <c r="A107" s="5" t="str">
        <f>IFERROR(__xludf.DUMMYFUNCTION("""COMPUTED_VALUE"""),"LILLE")</f>
        <v>LILLE</v>
      </c>
      <c r="B107" s="5" t="str">
        <f>IFERROR(__xludf.DUMMYFUNCTION("""COMPUTED_VALUE"""),"LYCEE GENERAL ET TECHNOLOGIQUE BLAISE PASCAL")</f>
        <v>LYCEE GENERAL ET TECHNOLOGIQUE BLAISE PASCAL</v>
      </c>
      <c r="C107" s="5" t="str">
        <f>IFERROR(__xludf.DUMMYFUNCTION("""COMPUTED_VALUE"""),"LONGUENESSE")</f>
        <v>LONGUENESSE</v>
      </c>
      <c r="D107" s="5" t="str">
        <f>IFERROR(__xludf.DUMMYFUNCTION("""COMPUTED_VALUE"""),"public")</f>
        <v>public</v>
      </c>
      <c r="E107" s="5" t="str">
        <f>IFERROR(__xludf.DUMMYFUNCTION("""COMPUTED_VALUE"""),"LEGT")</f>
        <v>LEGT</v>
      </c>
      <c r="F107" s="9">
        <f>IFERROR(__xludf.DUMMYFUNCTION("""COMPUTED_VALUE"""),107.9)</f>
        <v>107.9</v>
      </c>
      <c r="G107" s="9"/>
      <c r="H107" s="9">
        <f>IFERROR(__xludf.DUMMYFUNCTION("""COMPUTED_VALUE"""),107.9)</f>
        <v>107.9</v>
      </c>
    </row>
    <row r="108">
      <c r="A108" s="5" t="str">
        <f>IFERROR(__xludf.DUMMYFUNCTION("""COMPUTED_VALUE"""),"LILLE")</f>
        <v>LILLE</v>
      </c>
      <c r="B108" s="5" t="str">
        <f>IFERROR(__xludf.DUMMYFUNCTION("""COMPUTED_VALUE"""),"LYCEE PROFESSIONNEL DU BATIMENT FRANCOIS HENNEBIQUE")</f>
        <v>LYCEE PROFESSIONNEL DU BATIMENT FRANCOIS HENNEBIQUE</v>
      </c>
      <c r="C108" s="5" t="str">
        <f>IFERROR(__xludf.DUMMYFUNCTION("""COMPUTED_VALUE"""),"LIEVIN")</f>
        <v>LIEVIN</v>
      </c>
      <c r="D108" s="5" t="str">
        <f>IFERROR(__xludf.DUMMYFUNCTION("""COMPUTED_VALUE"""),"public")</f>
        <v>public</v>
      </c>
      <c r="E108" s="5" t="str">
        <f>IFERROR(__xludf.DUMMYFUNCTION("""COMPUTED_VALUE"""),"LP")</f>
        <v>LP</v>
      </c>
      <c r="F108" s="9"/>
      <c r="G108" s="9">
        <f>IFERROR(__xludf.DUMMYFUNCTION("""COMPUTED_VALUE"""),70.0)</f>
        <v>70</v>
      </c>
      <c r="H108" s="9">
        <f>IFERROR(__xludf.DUMMYFUNCTION("""COMPUTED_VALUE"""),70.0)</f>
        <v>70</v>
      </c>
    </row>
    <row r="109">
      <c r="A109" s="5" t="str">
        <f>IFERROR(__xludf.DUMMYFUNCTION("""COMPUTED_VALUE"""),"LILLE")</f>
        <v>LILLE</v>
      </c>
      <c r="B109" s="5" t="str">
        <f>IFERROR(__xludf.DUMMYFUNCTION("""COMPUTED_VALUE"""),"LYCEE POLYVALENT GUSTAVE EIFFEL LYCEE DES METIERS")</f>
        <v>LYCEE POLYVALENT GUSTAVE EIFFEL LYCEE DES METIERS</v>
      </c>
      <c r="C109" s="5" t="str">
        <f>IFERROR(__xludf.DUMMYFUNCTION("""COMPUTED_VALUE"""),"ARMENTIERES")</f>
        <v>ARMENTIERES</v>
      </c>
      <c r="D109" s="5" t="str">
        <f>IFERROR(__xludf.DUMMYFUNCTION("""COMPUTED_VALUE"""),"public")</f>
        <v>public</v>
      </c>
      <c r="E109" s="5" t="str">
        <f>IFERROR(__xludf.DUMMYFUNCTION("""COMPUTED_VALUE"""),"LPO")</f>
        <v>LPO</v>
      </c>
      <c r="F109" s="9">
        <f>IFERROR(__xludf.DUMMYFUNCTION("""COMPUTED_VALUE"""),118.4)</f>
        <v>118.4</v>
      </c>
      <c r="G109" s="9">
        <f>IFERROR(__xludf.DUMMYFUNCTION("""COMPUTED_VALUE"""),89.7)</f>
        <v>89.7</v>
      </c>
      <c r="H109" s="9">
        <f>IFERROR(__xludf.DUMMYFUNCTION("""COMPUTED_VALUE"""),112.6)</f>
        <v>112.6</v>
      </c>
    </row>
    <row r="110">
      <c r="A110" s="5" t="str">
        <f>IFERROR(__xludf.DUMMYFUNCTION("""COMPUTED_VALUE"""),"LILLE")</f>
        <v>LILLE</v>
      </c>
      <c r="B110" s="5" t="str">
        <f>IFERROR(__xludf.DUMMYFUNCTION("""COMPUTED_VALUE"""),"LYCEE PROFESSIONNEL PIERRE ET MARIE CURIE")</f>
        <v>LYCEE PROFESSIONNEL PIERRE ET MARIE CURIE</v>
      </c>
      <c r="C110" s="5" t="str">
        <f>IFERROR(__xludf.DUMMYFUNCTION("""COMPUTED_VALUE"""),"AULNOYE AYMERIES")</f>
        <v>AULNOYE AYMERIES</v>
      </c>
      <c r="D110" s="5" t="str">
        <f>IFERROR(__xludf.DUMMYFUNCTION("""COMPUTED_VALUE"""),"public")</f>
        <v>public</v>
      </c>
      <c r="E110" s="5" t="str">
        <f>IFERROR(__xludf.DUMMYFUNCTION("""COMPUTED_VALUE"""),"LP")</f>
        <v>LP</v>
      </c>
      <c r="F110" s="9"/>
      <c r="G110" s="9">
        <f>IFERROR(__xludf.DUMMYFUNCTION("""COMPUTED_VALUE"""),71.4)</f>
        <v>71.4</v>
      </c>
      <c r="H110" s="9">
        <f>IFERROR(__xludf.DUMMYFUNCTION("""COMPUTED_VALUE"""),71.4)</f>
        <v>71.4</v>
      </c>
    </row>
    <row r="111">
      <c r="A111" s="5" t="str">
        <f>IFERROR(__xludf.DUMMYFUNCTION("""COMPUTED_VALUE"""),"LILLE")</f>
        <v>LILLE</v>
      </c>
      <c r="B111" s="5" t="str">
        <f>IFERROR(__xludf.DUMMYFUNCTION("""COMPUTED_VALUE"""),"LYCEE GENERAL ET TECHNOLOGIQUE PAUL DUEZ")</f>
        <v>LYCEE GENERAL ET TECHNOLOGIQUE PAUL DUEZ</v>
      </c>
      <c r="C111" s="5" t="str">
        <f>IFERROR(__xludf.DUMMYFUNCTION("""COMPUTED_VALUE"""),"CAMBRAI")</f>
        <v>CAMBRAI</v>
      </c>
      <c r="D111" s="5" t="str">
        <f>IFERROR(__xludf.DUMMYFUNCTION("""COMPUTED_VALUE"""),"public")</f>
        <v>public</v>
      </c>
      <c r="E111" s="5" t="str">
        <f>IFERROR(__xludf.DUMMYFUNCTION("""COMPUTED_VALUE"""),"LEGT")</f>
        <v>LEGT</v>
      </c>
      <c r="F111" s="9">
        <f>IFERROR(__xludf.DUMMYFUNCTION("""COMPUTED_VALUE"""),103.9)</f>
        <v>103.9</v>
      </c>
      <c r="G111" s="9"/>
      <c r="H111" s="9">
        <f>IFERROR(__xludf.DUMMYFUNCTION("""COMPUTED_VALUE"""),103.9)</f>
        <v>103.9</v>
      </c>
    </row>
    <row r="112">
      <c r="A112" s="5" t="str">
        <f>IFERROR(__xludf.DUMMYFUNCTION("""COMPUTED_VALUE"""),"LILLE")</f>
        <v>LILLE</v>
      </c>
      <c r="B112" s="5" t="str">
        <f>IFERROR(__xludf.DUMMYFUNCTION("""COMPUTED_VALUE"""),"LYCEE GENERAL ET TECHNOLOGIQUE JEAN BAPTISTE COROT")</f>
        <v>LYCEE GENERAL ET TECHNOLOGIQUE JEAN BAPTISTE COROT</v>
      </c>
      <c r="C112" s="5" t="str">
        <f>IFERROR(__xludf.DUMMYFUNCTION("""COMPUTED_VALUE"""),"DOUAI")</f>
        <v>DOUAI</v>
      </c>
      <c r="D112" s="5" t="str">
        <f>IFERROR(__xludf.DUMMYFUNCTION("""COMPUTED_VALUE"""),"public")</f>
        <v>public</v>
      </c>
      <c r="E112" s="5" t="str">
        <f>IFERROR(__xludf.DUMMYFUNCTION("""COMPUTED_VALUE"""),"LEGT")</f>
        <v>LEGT</v>
      </c>
      <c r="F112" s="9">
        <f>IFERROR(__xludf.DUMMYFUNCTION("""COMPUTED_VALUE"""),100.8)</f>
        <v>100.8</v>
      </c>
      <c r="G112" s="9"/>
      <c r="H112" s="9">
        <f>IFERROR(__xludf.DUMMYFUNCTION("""COMPUTED_VALUE"""),100.8)</f>
        <v>100.8</v>
      </c>
    </row>
    <row r="113">
      <c r="A113" s="5" t="str">
        <f>IFERROR(__xludf.DUMMYFUNCTION("""COMPUTED_VALUE"""),"LILLE")</f>
        <v>LILLE</v>
      </c>
      <c r="B113" s="5" t="str">
        <f>IFERROR(__xludf.DUMMYFUNCTION("""COMPUTED_VALUE"""),"LYCEE GENERAL ET TECHNOLOGIQUE EDMOND LABBE")</f>
        <v>LYCEE GENERAL ET TECHNOLOGIQUE EDMOND LABBE</v>
      </c>
      <c r="C113" s="5" t="str">
        <f>IFERROR(__xludf.DUMMYFUNCTION("""COMPUTED_VALUE"""),"DOUAI")</f>
        <v>DOUAI</v>
      </c>
      <c r="D113" s="5" t="str">
        <f>IFERROR(__xludf.DUMMYFUNCTION("""COMPUTED_VALUE"""),"public")</f>
        <v>public</v>
      </c>
      <c r="E113" s="5" t="str">
        <f>IFERROR(__xludf.DUMMYFUNCTION("""COMPUTED_VALUE"""),"LEGT")</f>
        <v>LEGT</v>
      </c>
      <c r="F113" s="9">
        <f>IFERROR(__xludf.DUMMYFUNCTION("""COMPUTED_VALUE"""),88.5)</f>
        <v>88.5</v>
      </c>
      <c r="G113" s="9"/>
      <c r="H113" s="9">
        <f>IFERROR(__xludf.DUMMYFUNCTION("""COMPUTED_VALUE"""),88.5)</f>
        <v>88.5</v>
      </c>
    </row>
    <row r="114">
      <c r="A114" s="5" t="str">
        <f>IFERROR(__xludf.DUMMYFUNCTION("""COMPUTED_VALUE"""),"LILLE")</f>
        <v>LILLE</v>
      </c>
      <c r="B114" s="5" t="str">
        <f>IFERROR(__xludf.DUMMYFUNCTION("""COMPUTED_VALUE"""),"LYCEE POLYVALENT BEAUPRE LYCEE DES METIERS DE LA PLASTURGIE")</f>
        <v>LYCEE POLYVALENT BEAUPRE LYCEE DES METIERS DE LA PLASTURGIE</v>
      </c>
      <c r="C114" s="5" t="str">
        <f>IFERROR(__xludf.DUMMYFUNCTION("""COMPUTED_VALUE"""),"HAUBOURDIN")</f>
        <v>HAUBOURDIN</v>
      </c>
      <c r="D114" s="5" t="str">
        <f>IFERROR(__xludf.DUMMYFUNCTION("""COMPUTED_VALUE"""),"public")</f>
        <v>public</v>
      </c>
      <c r="E114" s="5" t="str">
        <f>IFERROR(__xludf.DUMMYFUNCTION("""COMPUTED_VALUE"""),"LPO")</f>
        <v>LPO</v>
      </c>
      <c r="F114" s="9">
        <f>IFERROR(__xludf.DUMMYFUNCTION("""COMPUTED_VALUE"""),114.4)</f>
        <v>114.4</v>
      </c>
      <c r="G114" s="9">
        <f>IFERROR(__xludf.DUMMYFUNCTION("""COMPUTED_VALUE"""),84.2)</f>
        <v>84.2</v>
      </c>
      <c r="H114" s="9">
        <f>IFERROR(__xludf.DUMMYFUNCTION("""COMPUTED_VALUE"""),106.3)</f>
        <v>106.3</v>
      </c>
    </row>
    <row r="115">
      <c r="A115" s="5" t="str">
        <f>IFERROR(__xludf.DUMMYFUNCTION("""COMPUTED_VALUE"""),"LILLE")</f>
        <v>LILLE</v>
      </c>
      <c r="B115" s="5" t="str">
        <f>IFERROR(__xludf.DUMMYFUNCTION("""COMPUTED_VALUE"""),"LYCEE PROFESSIONNEL DES MONTS DE FLANDRE")</f>
        <v>LYCEE PROFESSIONNEL DES MONTS DE FLANDRE</v>
      </c>
      <c r="C115" s="5" t="str">
        <f>IFERROR(__xludf.DUMMYFUNCTION("""COMPUTED_VALUE"""),"HAZEBROUCK")</f>
        <v>HAZEBROUCK</v>
      </c>
      <c r="D115" s="5" t="str">
        <f>IFERROR(__xludf.DUMMYFUNCTION("""COMPUTED_VALUE"""),"public")</f>
        <v>public</v>
      </c>
      <c r="E115" s="5" t="str">
        <f>IFERROR(__xludf.DUMMYFUNCTION("""COMPUTED_VALUE"""),"LP")</f>
        <v>LP</v>
      </c>
      <c r="F115" s="9"/>
      <c r="G115" s="9">
        <f>IFERROR(__xludf.DUMMYFUNCTION("""COMPUTED_VALUE"""),79.0)</f>
        <v>79</v>
      </c>
      <c r="H115" s="9">
        <f>IFERROR(__xludf.DUMMYFUNCTION("""COMPUTED_VALUE"""),79.0)</f>
        <v>79</v>
      </c>
    </row>
    <row r="116">
      <c r="A116" s="5" t="str">
        <f>IFERROR(__xludf.DUMMYFUNCTION("""COMPUTED_VALUE"""),"LILLE")</f>
        <v>LILLE</v>
      </c>
      <c r="B116" s="5" t="str">
        <f>IFERROR(__xludf.DUMMYFUNCTION("""COMPUTED_VALUE"""),"LYCEE PROFESSIONNEL SONIA DELAUNAY")</f>
        <v>LYCEE PROFESSIONNEL SONIA DELAUNAY</v>
      </c>
      <c r="C116" s="5" t="str">
        <f>IFERROR(__xludf.DUMMYFUNCTION("""COMPUTED_VALUE"""),"LILLE")</f>
        <v>LILLE</v>
      </c>
      <c r="D116" s="5" t="str">
        <f>IFERROR(__xludf.DUMMYFUNCTION("""COMPUTED_VALUE"""),"public")</f>
        <v>public</v>
      </c>
      <c r="E116" s="5" t="str">
        <f>IFERROR(__xludf.DUMMYFUNCTION("""COMPUTED_VALUE"""),"LP")</f>
        <v>LP</v>
      </c>
      <c r="F116" s="9"/>
      <c r="G116" s="9">
        <f>IFERROR(__xludf.DUMMYFUNCTION("""COMPUTED_VALUE"""),73.6)</f>
        <v>73.6</v>
      </c>
      <c r="H116" s="9">
        <f>IFERROR(__xludf.DUMMYFUNCTION("""COMPUTED_VALUE"""),73.6)</f>
        <v>73.6</v>
      </c>
    </row>
    <row r="117">
      <c r="A117" s="5" t="str">
        <f>IFERROR(__xludf.DUMMYFUNCTION("""COMPUTED_VALUE"""),"LILLE")</f>
        <v>LILLE</v>
      </c>
      <c r="B117" s="5" t="str">
        <f>IFERROR(__xludf.DUMMYFUNCTION("""COMPUTED_VALUE"""),"LYCEE POLYVALENT VALENTINE LABBE")</f>
        <v>LYCEE POLYVALENT VALENTINE LABBE</v>
      </c>
      <c r="C117" s="5" t="str">
        <f>IFERROR(__xludf.DUMMYFUNCTION("""COMPUTED_VALUE"""),"LA MADELEINE")</f>
        <v>LA MADELEINE</v>
      </c>
      <c r="D117" s="5" t="str">
        <f>IFERROR(__xludf.DUMMYFUNCTION("""COMPUTED_VALUE"""),"public")</f>
        <v>public</v>
      </c>
      <c r="E117" s="5" t="str">
        <f>IFERROR(__xludf.DUMMYFUNCTION("""COMPUTED_VALUE"""),"LPO")</f>
        <v>LPO</v>
      </c>
      <c r="F117" s="9">
        <f>IFERROR(__xludf.DUMMYFUNCTION("""COMPUTED_VALUE"""),91.4)</f>
        <v>91.4</v>
      </c>
      <c r="G117" s="9">
        <f>IFERROR(__xludf.DUMMYFUNCTION("""COMPUTED_VALUE"""),75.9)</f>
        <v>75.9</v>
      </c>
      <c r="H117" s="9">
        <f>IFERROR(__xludf.DUMMYFUNCTION("""COMPUTED_VALUE"""),86.3)</f>
        <v>86.3</v>
      </c>
    </row>
    <row r="118">
      <c r="A118" s="5" t="str">
        <f>IFERROR(__xludf.DUMMYFUNCTION("""COMPUTED_VALUE"""),"LILLE")</f>
        <v>LILLE</v>
      </c>
      <c r="B118" s="5" t="str">
        <f>IFERROR(__xludf.DUMMYFUNCTION("""COMPUTED_VALUE"""),"LYCEE GENERAL BAUDELAIRE")</f>
        <v>LYCEE GENERAL BAUDELAIRE</v>
      </c>
      <c r="C118" s="5" t="str">
        <f>IFERROR(__xludf.DUMMYFUNCTION("""COMPUTED_VALUE"""),"ROUBAIX")</f>
        <v>ROUBAIX</v>
      </c>
      <c r="D118" s="5" t="str">
        <f>IFERROR(__xludf.DUMMYFUNCTION("""COMPUTED_VALUE"""),"public")</f>
        <v>public</v>
      </c>
      <c r="E118" s="5" t="str">
        <f>IFERROR(__xludf.DUMMYFUNCTION("""COMPUTED_VALUE"""),"LEGT")</f>
        <v>LEGT</v>
      </c>
      <c r="F118" s="9">
        <f>IFERROR(__xludf.DUMMYFUNCTION("""COMPUTED_VALUE"""),89.6)</f>
        <v>89.6</v>
      </c>
      <c r="G118" s="9"/>
      <c r="H118" s="9">
        <f>IFERROR(__xludf.DUMMYFUNCTION("""COMPUTED_VALUE"""),89.6)</f>
        <v>89.6</v>
      </c>
    </row>
    <row r="119">
      <c r="A119" s="5" t="str">
        <f>IFERROR(__xludf.DUMMYFUNCTION("""COMPUTED_VALUE"""),"LILLE")</f>
        <v>LILLE</v>
      </c>
      <c r="B119" s="5" t="str">
        <f>IFERROR(__xludf.DUMMYFUNCTION("""COMPUTED_VALUE"""),"LPO JEAN MOULIN LYCEE DES METIERS DE LA SECURITE ET DE LA PREVENTION LYCEE DES METIERS DES SERVICES ADMINISTRATIFS ET DE LA RELATION AUX CLIENTS")</f>
        <v>LPO JEAN MOULIN LYCEE DES METIERS DE LA SECURITE ET DE LA PREVENTION LYCEE DES METIERS DES SERVICES ADMINISTRATIFS ET DE LA RELATION AUX CLIENTS</v>
      </c>
      <c r="C119" s="5" t="str">
        <f>IFERROR(__xludf.DUMMYFUNCTION("""COMPUTED_VALUE"""),"ROUBAIX")</f>
        <v>ROUBAIX</v>
      </c>
      <c r="D119" s="5" t="str">
        <f>IFERROR(__xludf.DUMMYFUNCTION("""COMPUTED_VALUE"""),"public")</f>
        <v>public</v>
      </c>
      <c r="E119" s="5" t="str">
        <f>IFERROR(__xludf.DUMMYFUNCTION("""COMPUTED_VALUE"""),"LPO")</f>
        <v>LPO</v>
      </c>
      <c r="F119" s="9">
        <f>IFERROR(__xludf.DUMMYFUNCTION("""COMPUTED_VALUE"""),67.1)</f>
        <v>67.1</v>
      </c>
      <c r="G119" s="9">
        <f>IFERROR(__xludf.DUMMYFUNCTION("""COMPUTED_VALUE"""),69.8)</f>
        <v>69.8</v>
      </c>
      <c r="H119" s="9">
        <f>IFERROR(__xludf.DUMMYFUNCTION("""COMPUTED_VALUE"""),68.2)</f>
        <v>68.2</v>
      </c>
    </row>
    <row r="120">
      <c r="A120" s="5" t="str">
        <f>IFERROR(__xludf.DUMMYFUNCTION("""COMPUTED_VALUE"""),"LILLE")</f>
        <v>LILLE</v>
      </c>
      <c r="B120" s="5" t="str">
        <f>IFERROR(__xludf.DUMMYFUNCTION("""COMPUTED_VALUE"""),"LYCEE PROFESSIONNEL LOUIS LOUCHEUR")</f>
        <v>LYCEE PROFESSIONNEL LOUIS LOUCHEUR</v>
      </c>
      <c r="C120" s="5" t="str">
        <f>IFERROR(__xludf.DUMMYFUNCTION("""COMPUTED_VALUE"""),"ROUBAIX")</f>
        <v>ROUBAIX</v>
      </c>
      <c r="D120" s="5" t="str">
        <f>IFERROR(__xludf.DUMMYFUNCTION("""COMPUTED_VALUE"""),"public")</f>
        <v>public</v>
      </c>
      <c r="E120" s="5" t="str">
        <f>IFERROR(__xludf.DUMMYFUNCTION("""COMPUTED_VALUE"""),"LP")</f>
        <v>LP</v>
      </c>
      <c r="F120" s="9"/>
      <c r="G120" s="9">
        <f>IFERROR(__xludf.DUMMYFUNCTION("""COMPUTED_VALUE"""),64.3)</f>
        <v>64.3</v>
      </c>
      <c r="H120" s="9">
        <f>IFERROR(__xludf.DUMMYFUNCTION("""COMPUTED_VALUE"""),64.3)</f>
        <v>64.3</v>
      </c>
    </row>
    <row r="121">
      <c r="A121" s="5" t="str">
        <f>IFERROR(__xludf.DUMMYFUNCTION("""COMPUTED_VALUE"""),"LILLE")</f>
        <v>LILLE</v>
      </c>
      <c r="B121" s="5" t="str">
        <f>IFERROR(__xludf.DUMMYFUNCTION("""COMPUTED_VALUE"""),"LYCEE POLYVALENT COLBERT LYCEE DES METIERS DU NUMERIQUE ET DES TECHNOLOGIES INNOVANTES")</f>
        <v>LYCEE POLYVALENT COLBERT LYCEE DES METIERS DU NUMERIQUE ET DES TECHNOLOGIES INNOVANTES</v>
      </c>
      <c r="C121" s="5" t="str">
        <f>IFERROR(__xludf.DUMMYFUNCTION("""COMPUTED_VALUE"""),"TOURCOING")</f>
        <v>TOURCOING</v>
      </c>
      <c r="D121" s="5" t="str">
        <f>IFERROR(__xludf.DUMMYFUNCTION("""COMPUTED_VALUE"""),"public")</f>
        <v>public</v>
      </c>
      <c r="E121" s="5" t="str">
        <f>IFERROR(__xludf.DUMMYFUNCTION("""COMPUTED_VALUE"""),"LPO")</f>
        <v>LPO</v>
      </c>
      <c r="F121" s="9">
        <f>IFERROR(__xludf.DUMMYFUNCTION("""COMPUTED_VALUE"""),94.0)</f>
        <v>94</v>
      </c>
      <c r="G121" s="9">
        <f>IFERROR(__xludf.DUMMYFUNCTION("""COMPUTED_VALUE"""),80.0)</f>
        <v>80</v>
      </c>
      <c r="H121" s="9">
        <f>IFERROR(__xludf.DUMMYFUNCTION("""COMPUTED_VALUE"""),90.1)</f>
        <v>90.1</v>
      </c>
    </row>
    <row r="122">
      <c r="A122" s="5" t="str">
        <f>IFERROR(__xludf.DUMMYFUNCTION("""COMPUTED_VALUE"""),"LILLE")</f>
        <v>LILLE</v>
      </c>
      <c r="B122" s="5" t="str">
        <f>IFERROR(__xludf.DUMMYFUNCTION("""COMPUTED_VALUE"""),"LYCEE PROFESSIONNEL SEVIGNE LYCEE DES METIERS")</f>
        <v>LYCEE PROFESSIONNEL SEVIGNE LYCEE DES METIERS</v>
      </c>
      <c r="C122" s="5" t="str">
        <f>IFERROR(__xludf.DUMMYFUNCTION("""COMPUTED_VALUE"""),"TOURCOING")</f>
        <v>TOURCOING</v>
      </c>
      <c r="D122" s="5" t="str">
        <f>IFERROR(__xludf.DUMMYFUNCTION("""COMPUTED_VALUE"""),"public")</f>
        <v>public</v>
      </c>
      <c r="E122" s="5" t="str">
        <f>IFERROR(__xludf.DUMMYFUNCTION("""COMPUTED_VALUE"""),"LP")</f>
        <v>LP</v>
      </c>
      <c r="F122" s="9"/>
      <c r="G122" s="9">
        <f>IFERROR(__xludf.DUMMYFUNCTION("""COMPUTED_VALUE"""),70.9)</f>
        <v>70.9</v>
      </c>
      <c r="H122" s="9">
        <f>IFERROR(__xludf.DUMMYFUNCTION("""COMPUTED_VALUE"""),70.9)</f>
        <v>70.9</v>
      </c>
    </row>
    <row r="123">
      <c r="A123" s="5" t="str">
        <f>IFERROR(__xludf.DUMMYFUNCTION("""COMPUTED_VALUE"""),"LILLE")</f>
        <v>LILLE</v>
      </c>
      <c r="B123" s="5" t="str">
        <f>IFERROR(__xludf.DUMMYFUNCTION("""COMPUTED_VALUE"""),"LYCEE PROFESSIONNEL LOUIS LEOPOLD BOILLY")</f>
        <v>LYCEE PROFESSIONNEL LOUIS LEOPOLD BOILLY</v>
      </c>
      <c r="C123" s="5" t="str">
        <f>IFERROR(__xludf.DUMMYFUNCTION("""COMPUTED_VALUE"""),"LA BASSEE")</f>
        <v>LA BASSEE</v>
      </c>
      <c r="D123" s="5" t="str">
        <f>IFERROR(__xludf.DUMMYFUNCTION("""COMPUTED_VALUE"""),"public")</f>
        <v>public</v>
      </c>
      <c r="E123" s="5" t="str">
        <f>IFERROR(__xludf.DUMMYFUNCTION("""COMPUTED_VALUE"""),"LP")</f>
        <v>LP</v>
      </c>
      <c r="F123" s="9"/>
      <c r="G123" s="9">
        <f>IFERROR(__xludf.DUMMYFUNCTION("""COMPUTED_VALUE"""),84.4)</f>
        <v>84.4</v>
      </c>
      <c r="H123" s="9">
        <f>IFERROR(__xludf.DUMMYFUNCTION("""COMPUTED_VALUE"""),84.4)</f>
        <v>84.4</v>
      </c>
    </row>
    <row r="124">
      <c r="A124" s="5" t="str">
        <f>IFERROR(__xludf.DUMMYFUNCTION("""COMPUTED_VALUE"""),"LILLE")</f>
        <v>LILLE</v>
      </c>
      <c r="B124" s="5" t="str">
        <f>IFERROR(__xludf.DUMMYFUNCTION("""COMPUTED_VALUE"""),"LYCEE PROFESSIONNEL GUY DEBEYRE")</f>
        <v>LYCEE PROFESSIONNEL GUY DEBEYRE</v>
      </c>
      <c r="C124" s="5" t="str">
        <f>IFERROR(__xludf.DUMMYFUNCTION("""COMPUTED_VALUE"""),"DUNKERQUE")</f>
        <v>DUNKERQUE</v>
      </c>
      <c r="D124" s="5" t="str">
        <f>IFERROR(__xludf.DUMMYFUNCTION("""COMPUTED_VALUE"""),"public")</f>
        <v>public</v>
      </c>
      <c r="E124" s="5" t="str">
        <f>IFERROR(__xludf.DUMMYFUNCTION("""COMPUTED_VALUE"""),"LP")</f>
        <v>LP</v>
      </c>
      <c r="F124" s="9"/>
      <c r="G124" s="9">
        <f>IFERROR(__xludf.DUMMYFUNCTION("""COMPUTED_VALUE"""),76.3)</f>
        <v>76.3</v>
      </c>
      <c r="H124" s="9">
        <f>IFERROR(__xludf.DUMMYFUNCTION("""COMPUTED_VALUE"""),76.3)</f>
        <v>76.3</v>
      </c>
    </row>
    <row r="125">
      <c r="A125" s="5" t="str">
        <f>IFERROR(__xludf.DUMMYFUNCTION("""COMPUTED_VALUE"""),"LILLE")</f>
        <v>LILLE</v>
      </c>
      <c r="B125" s="5" t="str">
        <f>IFERROR(__xludf.DUMMYFUNCTION("""COMPUTED_VALUE"""),"LYCEE PROFESSIONNEL LES HAUTS DE FLANDRE")</f>
        <v>LYCEE PROFESSIONNEL LES HAUTS DE FLANDRE</v>
      </c>
      <c r="C125" s="5" t="str">
        <f>IFERROR(__xludf.DUMMYFUNCTION("""COMPUTED_VALUE"""),"SECLIN")</f>
        <v>SECLIN</v>
      </c>
      <c r="D125" s="5" t="str">
        <f>IFERROR(__xludf.DUMMYFUNCTION("""COMPUTED_VALUE"""),"public")</f>
        <v>public</v>
      </c>
      <c r="E125" s="5" t="str">
        <f>IFERROR(__xludf.DUMMYFUNCTION("""COMPUTED_VALUE"""),"LPO")</f>
        <v>LPO</v>
      </c>
      <c r="F125" s="9">
        <f>IFERROR(__xludf.DUMMYFUNCTION("""COMPUTED_VALUE"""),101.3)</f>
        <v>101.3</v>
      </c>
      <c r="G125" s="9">
        <f>IFERROR(__xludf.DUMMYFUNCTION("""COMPUTED_VALUE"""),78.9)</f>
        <v>78.9</v>
      </c>
      <c r="H125" s="9">
        <f>IFERROR(__xludf.DUMMYFUNCTION("""COMPUTED_VALUE"""),80.4)</f>
        <v>80.4</v>
      </c>
    </row>
    <row r="126">
      <c r="A126" s="5" t="str">
        <f>IFERROR(__xludf.DUMMYFUNCTION("""COMPUTED_VALUE"""),"LILLE")</f>
        <v>LILLE</v>
      </c>
      <c r="B126" s="5" t="str">
        <f>IFERROR(__xludf.DUMMYFUNCTION("""COMPUTED_VALUE"""),"LYCEE PROFESSIONNEL ANTOINE DE SAINT EXUPERY")</f>
        <v>LYCEE PROFESSIONNEL ANTOINE DE SAINT EXUPERY</v>
      </c>
      <c r="C126" s="5" t="str">
        <f>IFERROR(__xludf.DUMMYFUNCTION("""COMPUTED_VALUE"""),"HALLUIN")</f>
        <v>HALLUIN</v>
      </c>
      <c r="D126" s="5" t="str">
        <f>IFERROR(__xludf.DUMMYFUNCTION("""COMPUTED_VALUE"""),"public")</f>
        <v>public</v>
      </c>
      <c r="E126" s="5" t="str">
        <f>IFERROR(__xludf.DUMMYFUNCTION("""COMPUTED_VALUE"""),"LP")</f>
        <v>LP</v>
      </c>
      <c r="F126" s="9"/>
      <c r="G126" s="9">
        <f>IFERROR(__xludf.DUMMYFUNCTION("""COMPUTED_VALUE"""),74.7)</f>
        <v>74.7</v>
      </c>
      <c r="H126" s="9">
        <f>IFERROR(__xludf.DUMMYFUNCTION("""COMPUTED_VALUE"""),74.7)</f>
        <v>74.7</v>
      </c>
    </row>
    <row r="127">
      <c r="A127" s="5" t="str">
        <f>IFERROR(__xludf.DUMMYFUNCTION("""COMPUTED_VALUE"""),"LILLE")</f>
        <v>LILLE</v>
      </c>
      <c r="B127" s="5" t="str">
        <f>IFERROR(__xludf.DUMMYFUNCTION("""COMPUTED_VALUE"""),"LYCEE POLYVALENT PRIVE LA SAGESSE")</f>
        <v>LYCEE POLYVALENT PRIVE LA SAGESSE</v>
      </c>
      <c r="C127" s="5" t="str">
        <f>IFERROR(__xludf.DUMMYFUNCTION("""COMPUTED_VALUE"""),"VALENCIENNES")</f>
        <v>VALENCIENNES</v>
      </c>
      <c r="D127" s="5" t="str">
        <f>IFERROR(__xludf.DUMMYFUNCTION("""COMPUTED_VALUE"""),"privé sous contrat")</f>
        <v>privé sous contrat</v>
      </c>
      <c r="E127" s="5" t="str">
        <f>IFERROR(__xludf.DUMMYFUNCTION("""COMPUTED_VALUE"""),"LPO")</f>
        <v>LPO</v>
      </c>
      <c r="F127" s="9">
        <f>IFERROR(__xludf.DUMMYFUNCTION("""COMPUTED_VALUE"""),93.9)</f>
        <v>93.9</v>
      </c>
      <c r="G127" s="9">
        <f>IFERROR(__xludf.DUMMYFUNCTION("""COMPUTED_VALUE"""),85.6)</f>
        <v>85.6</v>
      </c>
      <c r="H127" s="9">
        <f>IFERROR(__xludf.DUMMYFUNCTION("""COMPUTED_VALUE"""),90.0)</f>
        <v>90</v>
      </c>
    </row>
    <row r="128">
      <c r="A128" s="5" t="str">
        <f>IFERROR(__xludf.DUMMYFUNCTION("""COMPUTED_VALUE"""),"LILLE")</f>
        <v>LILLE</v>
      </c>
      <c r="B128" s="5" t="str">
        <f>IFERROR(__xludf.DUMMYFUNCTION("""COMPUTED_VALUE"""),"LYCEE POLYVALENT PRIVE DAMPIERRE")</f>
        <v>LYCEE POLYVALENT PRIVE DAMPIERRE</v>
      </c>
      <c r="C128" s="5" t="str">
        <f>IFERROR(__xludf.DUMMYFUNCTION("""COMPUTED_VALUE"""),"VALENCIENNES")</f>
        <v>VALENCIENNES</v>
      </c>
      <c r="D128" s="5" t="str">
        <f>IFERROR(__xludf.DUMMYFUNCTION("""COMPUTED_VALUE"""),"privé sous contrat")</f>
        <v>privé sous contrat</v>
      </c>
      <c r="E128" s="5" t="str">
        <f>IFERROR(__xludf.DUMMYFUNCTION("""COMPUTED_VALUE"""),"LPO")</f>
        <v>LPO</v>
      </c>
      <c r="F128" s="9">
        <f>IFERROR(__xludf.DUMMYFUNCTION("""COMPUTED_VALUE"""),103.6)</f>
        <v>103.6</v>
      </c>
      <c r="G128" s="9">
        <f>IFERROR(__xludf.DUMMYFUNCTION("""COMPUTED_VALUE"""),85.2)</f>
        <v>85.2</v>
      </c>
      <c r="H128" s="9">
        <f>IFERROR(__xludf.DUMMYFUNCTION("""COMPUTED_VALUE"""),91.7)</f>
        <v>91.7</v>
      </c>
    </row>
    <row r="129">
      <c r="A129" s="5" t="str">
        <f>IFERROR(__xludf.DUMMYFUNCTION("""COMPUTED_VALUE"""),"LILLE")</f>
        <v>LILLE</v>
      </c>
      <c r="B129" s="5" t="str">
        <f>IFERROR(__xludf.DUMMYFUNCTION("""COMPUTED_VALUE"""),"LYCEE POLYVALENT PRIVE EIC MARIE NOËL")</f>
        <v>LYCEE POLYVALENT PRIVE EIC MARIE NOËL</v>
      </c>
      <c r="C129" s="5" t="str">
        <f>IFERROR(__xludf.DUMMYFUNCTION("""COMPUTED_VALUE"""),"TOURCOING")</f>
        <v>TOURCOING</v>
      </c>
      <c r="D129" s="5" t="str">
        <f>IFERROR(__xludf.DUMMYFUNCTION("""COMPUTED_VALUE"""),"privé sous contrat")</f>
        <v>privé sous contrat</v>
      </c>
      <c r="E129" s="5" t="str">
        <f>IFERROR(__xludf.DUMMYFUNCTION("""COMPUTED_VALUE"""),"LPO")</f>
        <v>LPO</v>
      </c>
      <c r="F129" s="9">
        <f>IFERROR(__xludf.DUMMYFUNCTION("""COMPUTED_VALUE"""),94.4)</f>
        <v>94.4</v>
      </c>
      <c r="G129" s="9">
        <f>IFERROR(__xludf.DUMMYFUNCTION("""COMPUTED_VALUE"""),77.7)</f>
        <v>77.7</v>
      </c>
      <c r="H129" s="9">
        <f>IFERROR(__xludf.DUMMYFUNCTION("""COMPUTED_VALUE"""),84.9)</f>
        <v>84.9</v>
      </c>
    </row>
    <row r="130">
      <c r="A130" s="5" t="str">
        <f>IFERROR(__xludf.DUMMYFUNCTION("""COMPUTED_VALUE"""),"LILLE")</f>
        <v>LILLE</v>
      </c>
      <c r="B130" s="5" t="str">
        <f>IFERROR(__xludf.DUMMYFUNCTION("""COMPUTED_VALUE"""),"LYCEE POLYVALENT PRIVE INSTITUT NICOLAS BARRE LYCEE DES METIERS DE LA SECURITE PREVENTION DE L AUTOMOBILE ET DE LA MAINTENANCE DES MATERIELS")</f>
        <v>LYCEE POLYVALENT PRIVE INSTITUT NICOLAS BARRE LYCEE DES METIERS DE LA SECURITE PREVENTION DE L AUTOMOBILE ET DE LA MAINTENANCE DES MATERIELS</v>
      </c>
      <c r="C130" s="5" t="str">
        <f>IFERROR(__xludf.DUMMYFUNCTION("""COMPUTED_VALUE"""),"ARMENTIERES")</f>
        <v>ARMENTIERES</v>
      </c>
      <c r="D130" s="5" t="str">
        <f>IFERROR(__xludf.DUMMYFUNCTION("""COMPUTED_VALUE"""),"privé sous contrat")</f>
        <v>privé sous contrat</v>
      </c>
      <c r="E130" s="5" t="str">
        <f>IFERROR(__xludf.DUMMYFUNCTION("""COMPUTED_VALUE"""),"LP")</f>
        <v>LP</v>
      </c>
      <c r="F130" s="9"/>
      <c r="G130" s="9">
        <f>IFERROR(__xludf.DUMMYFUNCTION("""COMPUTED_VALUE"""),96.0)</f>
        <v>96</v>
      </c>
      <c r="H130" s="9">
        <f>IFERROR(__xludf.DUMMYFUNCTION("""COMPUTED_VALUE"""),96.0)</f>
        <v>96</v>
      </c>
    </row>
    <row r="131">
      <c r="A131" s="5" t="str">
        <f>IFERROR(__xludf.DUMMYFUNCTION("""COMPUTED_VALUE"""),"LILLE")</f>
        <v>LILLE</v>
      </c>
      <c r="B131" s="5" t="str">
        <f>IFERROR(__xludf.DUMMYFUNCTION("""COMPUTED_VALUE"""),"LYCEE POLYVALENT PRIVE FONDATION DEPOORTER LYCEE DES METIERS DE LA SANTE ET DU SOCIAL")</f>
        <v>LYCEE POLYVALENT PRIVE FONDATION DEPOORTER LYCEE DES METIERS DE LA SANTE ET DU SOCIAL</v>
      </c>
      <c r="C131" s="5" t="str">
        <f>IFERROR(__xludf.DUMMYFUNCTION("""COMPUTED_VALUE"""),"HAZEBROUCK")</f>
        <v>HAZEBROUCK</v>
      </c>
      <c r="D131" s="5" t="str">
        <f>IFERROR(__xludf.DUMMYFUNCTION("""COMPUTED_VALUE"""),"privé sous contrat")</f>
        <v>privé sous contrat</v>
      </c>
      <c r="E131" s="5" t="str">
        <f>IFERROR(__xludf.DUMMYFUNCTION("""COMPUTED_VALUE"""),"LPO")</f>
        <v>LPO</v>
      </c>
      <c r="F131" s="9">
        <f>IFERROR(__xludf.DUMMYFUNCTION("""COMPUTED_VALUE"""),103.4)</f>
        <v>103.4</v>
      </c>
      <c r="G131" s="9">
        <f>IFERROR(__xludf.DUMMYFUNCTION("""COMPUTED_VALUE"""),85.8)</f>
        <v>85.8</v>
      </c>
      <c r="H131" s="9">
        <f>IFERROR(__xludf.DUMMYFUNCTION("""COMPUTED_VALUE"""),93.8)</f>
        <v>93.8</v>
      </c>
    </row>
    <row r="132">
      <c r="A132" s="5" t="str">
        <f>IFERROR(__xludf.DUMMYFUNCTION("""COMPUTED_VALUE"""),"LILLE")</f>
        <v>LILLE</v>
      </c>
      <c r="B132" s="5" t="str">
        <f>IFERROR(__xludf.DUMMYFUNCTION("""COMPUTED_VALUE"""),"LYCEE GENERAL PRIVE NOTRE DAME DES DUNES")</f>
        <v>LYCEE GENERAL PRIVE NOTRE DAME DES DUNES</v>
      </c>
      <c r="C132" s="5" t="str">
        <f>IFERROR(__xludf.DUMMYFUNCTION("""COMPUTED_VALUE"""),"DUNKERQUE")</f>
        <v>DUNKERQUE</v>
      </c>
      <c r="D132" s="5" t="str">
        <f>IFERROR(__xludf.DUMMYFUNCTION("""COMPUTED_VALUE"""),"privé sous contrat")</f>
        <v>privé sous contrat</v>
      </c>
      <c r="E132" s="5" t="str">
        <f>IFERROR(__xludf.DUMMYFUNCTION("""COMPUTED_VALUE"""),"LEGT")</f>
        <v>LEGT</v>
      </c>
      <c r="F132" s="9">
        <f>IFERROR(__xludf.DUMMYFUNCTION("""COMPUTED_VALUE"""),121.3)</f>
        <v>121.3</v>
      </c>
      <c r="G132" s="9"/>
      <c r="H132" s="9">
        <f>IFERROR(__xludf.DUMMYFUNCTION("""COMPUTED_VALUE"""),121.3)</f>
        <v>121.3</v>
      </c>
    </row>
    <row r="133">
      <c r="A133" s="5" t="str">
        <f>IFERROR(__xludf.DUMMYFUNCTION("""COMPUTED_VALUE"""),"LILLE")</f>
        <v>LILLE</v>
      </c>
      <c r="B133" s="5" t="str">
        <f>IFERROR(__xludf.DUMMYFUNCTION("""COMPUTED_VALUE"""),"LYCEE GENERAL PRIVE SAINT PAUL")</f>
        <v>LYCEE GENERAL PRIVE SAINT PAUL</v>
      </c>
      <c r="C133" s="5" t="str">
        <f>IFERROR(__xludf.DUMMYFUNCTION("""COMPUTED_VALUE"""),"LILLE")</f>
        <v>LILLE</v>
      </c>
      <c r="D133" s="5" t="str">
        <f>IFERROR(__xludf.DUMMYFUNCTION("""COMPUTED_VALUE"""),"privé sous contrat")</f>
        <v>privé sous contrat</v>
      </c>
      <c r="E133" s="5" t="str">
        <f>IFERROR(__xludf.DUMMYFUNCTION("""COMPUTED_VALUE"""),"LEGT")</f>
        <v>LEGT</v>
      </c>
      <c r="F133" s="9">
        <f>IFERROR(__xludf.DUMMYFUNCTION("""COMPUTED_VALUE"""),149.0)</f>
        <v>149</v>
      </c>
      <c r="G133" s="9"/>
      <c r="H133" s="9">
        <f>IFERROR(__xludf.DUMMYFUNCTION("""COMPUTED_VALUE"""),149.0)</f>
        <v>149</v>
      </c>
    </row>
    <row r="134">
      <c r="A134" s="5" t="str">
        <f>IFERROR(__xludf.DUMMYFUNCTION("""COMPUTED_VALUE"""),"LILLE")</f>
        <v>LILLE</v>
      </c>
      <c r="B134" s="5" t="str">
        <f>IFERROR(__xludf.DUMMYFUNCTION("""COMPUTED_VALUE"""),"LYCEE POLYVALENT PRIVE LA SALLE")</f>
        <v>LYCEE POLYVALENT PRIVE LA SALLE</v>
      </c>
      <c r="C134" s="5" t="str">
        <f>IFERROR(__xludf.DUMMYFUNCTION("""COMPUTED_VALUE"""),"LILLE")</f>
        <v>LILLE</v>
      </c>
      <c r="D134" s="5" t="str">
        <f>IFERROR(__xludf.DUMMYFUNCTION("""COMPUTED_VALUE"""),"privé sous contrat")</f>
        <v>privé sous contrat</v>
      </c>
      <c r="E134" s="5" t="str">
        <f>IFERROR(__xludf.DUMMYFUNCTION("""COMPUTED_VALUE"""),"LPO")</f>
        <v>LPO</v>
      </c>
      <c r="F134" s="9">
        <f>IFERROR(__xludf.DUMMYFUNCTION("""COMPUTED_VALUE"""),124.2)</f>
        <v>124.2</v>
      </c>
      <c r="G134" s="9">
        <f>IFERROR(__xludf.DUMMYFUNCTION("""COMPUTED_VALUE"""),112.6)</f>
        <v>112.6</v>
      </c>
      <c r="H134" s="9">
        <f>IFERROR(__xludf.DUMMYFUNCTION("""COMPUTED_VALUE"""),122.1)</f>
        <v>122.1</v>
      </c>
    </row>
    <row r="135">
      <c r="A135" s="5" t="str">
        <f>IFERROR(__xludf.DUMMYFUNCTION("""COMPUTED_VALUE"""),"LILLE")</f>
        <v>LILLE</v>
      </c>
      <c r="B135" s="5" t="str">
        <f>IFERROR(__xludf.DUMMYFUNCTION("""COMPUTED_VALUE"""),"LYCEE GENERAL PRIVE SACRE COEUR")</f>
        <v>LYCEE GENERAL PRIVE SACRE COEUR</v>
      </c>
      <c r="C135" s="5" t="str">
        <f>IFERROR(__xludf.DUMMYFUNCTION("""COMPUTED_VALUE"""),"TOURCOING")</f>
        <v>TOURCOING</v>
      </c>
      <c r="D135" s="5" t="str">
        <f>IFERROR(__xludf.DUMMYFUNCTION("""COMPUTED_VALUE"""),"privé sous contrat")</f>
        <v>privé sous contrat</v>
      </c>
      <c r="E135" s="5" t="str">
        <f>IFERROR(__xludf.DUMMYFUNCTION("""COMPUTED_VALUE"""),"LEGT")</f>
        <v>LEGT</v>
      </c>
      <c r="F135" s="9">
        <f>IFERROR(__xludf.DUMMYFUNCTION("""COMPUTED_VALUE"""),117.7)</f>
        <v>117.7</v>
      </c>
      <c r="G135" s="9"/>
      <c r="H135" s="9">
        <f>IFERROR(__xludf.DUMMYFUNCTION("""COMPUTED_VALUE"""),117.7)</f>
        <v>117.7</v>
      </c>
    </row>
    <row r="136">
      <c r="A136" s="5" t="str">
        <f>IFERROR(__xludf.DUMMYFUNCTION("""COMPUTED_VALUE"""),"LILLE")</f>
        <v>LILLE</v>
      </c>
      <c r="B136" s="5" t="str">
        <f>IFERROR(__xludf.DUMMYFUNCTION("""COMPUTED_VALUE"""),"LYCEE PROFESSIONNEL DINAH DERYCKE")</f>
        <v>LYCEE PROFESSIONNEL DINAH DERYCKE</v>
      </c>
      <c r="C136" s="5" t="str">
        <f>IFERROR(__xludf.DUMMYFUNCTION("""COMPUTED_VALUE"""),"VILLENEUVE D ASCQ")</f>
        <v>VILLENEUVE D ASCQ</v>
      </c>
      <c r="D136" s="5" t="str">
        <f>IFERROR(__xludf.DUMMYFUNCTION("""COMPUTED_VALUE"""),"public")</f>
        <v>public</v>
      </c>
      <c r="E136" s="5" t="str">
        <f>IFERROR(__xludf.DUMMYFUNCTION("""COMPUTED_VALUE"""),"LP")</f>
        <v>LP</v>
      </c>
      <c r="F136" s="9"/>
      <c r="G136" s="9">
        <f>IFERROR(__xludf.DUMMYFUNCTION("""COMPUTED_VALUE"""),80.1)</f>
        <v>80.1</v>
      </c>
      <c r="H136" s="9">
        <f>IFERROR(__xludf.DUMMYFUNCTION("""COMPUTED_VALUE"""),80.1)</f>
        <v>80.1</v>
      </c>
    </row>
    <row r="137">
      <c r="A137" s="5" t="str">
        <f>IFERROR(__xludf.DUMMYFUNCTION("""COMPUTED_VALUE"""),"LILLE")</f>
        <v>LILLE</v>
      </c>
      <c r="B137" s="5" t="str">
        <f>IFERROR(__xludf.DUMMYFUNCTION("""COMPUTED_VALUE"""),"LYCEE PROFESSIONNEL ILE JEANTY")</f>
        <v>LYCEE PROFESSIONNEL ILE JEANTY</v>
      </c>
      <c r="C137" s="5" t="str">
        <f>IFERROR(__xludf.DUMMYFUNCTION("""COMPUTED_VALUE"""),"DUNKERQUE")</f>
        <v>DUNKERQUE</v>
      </c>
      <c r="D137" s="5" t="str">
        <f>IFERROR(__xludf.DUMMYFUNCTION("""COMPUTED_VALUE"""),"public")</f>
        <v>public</v>
      </c>
      <c r="E137" s="5" t="str">
        <f>IFERROR(__xludf.DUMMYFUNCTION("""COMPUTED_VALUE"""),"LP")</f>
        <v>LP</v>
      </c>
      <c r="F137" s="9"/>
      <c r="G137" s="9">
        <f>IFERROR(__xludf.DUMMYFUNCTION("""COMPUTED_VALUE"""),69.4)</f>
        <v>69.4</v>
      </c>
      <c r="H137" s="9">
        <f>IFERROR(__xludf.DUMMYFUNCTION("""COMPUTED_VALUE"""),69.4)</f>
        <v>69.4</v>
      </c>
    </row>
    <row r="138">
      <c r="A138" s="5" t="str">
        <f>IFERROR(__xludf.DUMMYFUNCTION("""COMPUTED_VALUE"""),"LILLE")</f>
        <v>LILLE</v>
      </c>
      <c r="B138" s="5" t="str">
        <f>IFERROR(__xludf.DUMMYFUNCTION("""COMPUTED_VALUE"""),"LYCEE GENERAL ET TECHNOLOGIQUE PRIVE AVERROES")</f>
        <v>LYCEE GENERAL ET TECHNOLOGIQUE PRIVE AVERROES</v>
      </c>
      <c r="C138" s="5" t="str">
        <f>IFERROR(__xludf.DUMMYFUNCTION("""COMPUTED_VALUE"""),"LILLE")</f>
        <v>LILLE</v>
      </c>
      <c r="D138" s="5" t="str">
        <f>IFERROR(__xludf.DUMMYFUNCTION("""COMPUTED_VALUE"""),"privé sous contrat")</f>
        <v>privé sous contrat</v>
      </c>
      <c r="E138" s="5" t="str">
        <f>IFERROR(__xludf.DUMMYFUNCTION("""COMPUTED_VALUE"""),"LEGT")</f>
        <v>LEGT</v>
      </c>
      <c r="F138" s="9">
        <f>IFERROR(__xludf.DUMMYFUNCTION("""COMPUTED_VALUE"""),102.0)</f>
        <v>102</v>
      </c>
      <c r="G138" s="9"/>
      <c r="H138" s="9">
        <f>IFERROR(__xludf.DUMMYFUNCTION("""COMPUTED_VALUE"""),102.0)</f>
        <v>102</v>
      </c>
    </row>
    <row r="139">
      <c r="A139" s="5" t="str">
        <f>IFERROR(__xludf.DUMMYFUNCTION("""COMPUTED_VALUE"""),"LILLE")</f>
        <v>LILLE</v>
      </c>
      <c r="B139" s="5" t="str">
        <f>IFERROR(__xludf.DUMMYFUNCTION("""COMPUTED_VALUE"""),"LYCEE POLYVALENT DU PAYS DE CONDE")</f>
        <v>LYCEE POLYVALENT DU PAYS DE CONDE</v>
      </c>
      <c r="C139" s="5" t="str">
        <f>IFERROR(__xludf.DUMMYFUNCTION("""COMPUTED_VALUE"""),"CONDE SUR L ESCAUT")</f>
        <v>CONDE SUR L ESCAUT</v>
      </c>
      <c r="D139" s="5" t="str">
        <f>IFERROR(__xludf.DUMMYFUNCTION("""COMPUTED_VALUE"""),"public")</f>
        <v>public</v>
      </c>
      <c r="E139" s="5" t="str">
        <f>IFERROR(__xludf.DUMMYFUNCTION("""COMPUTED_VALUE"""),"LPO")</f>
        <v>LPO</v>
      </c>
      <c r="F139" s="9">
        <f>IFERROR(__xludf.DUMMYFUNCTION("""COMPUTED_VALUE"""),84.1)</f>
        <v>84.1</v>
      </c>
      <c r="G139" s="9">
        <f>IFERROR(__xludf.DUMMYFUNCTION("""COMPUTED_VALUE"""),67.1)</f>
        <v>67.1</v>
      </c>
      <c r="H139" s="9">
        <f>IFERROR(__xludf.DUMMYFUNCTION("""COMPUTED_VALUE"""),76.4)</f>
        <v>76.4</v>
      </c>
    </row>
    <row r="140">
      <c r="A140" s="5" t="str">
        <f>IFERROR(__xludf.DUMMYFUNCTION("""COMPUTED_VALUE"""),"LILLE")</f>
        <v>LILLE</v>
      </c>
      <c r="B140" s="5" t="str">
        <f>IFERROR(__xludf.DUMMYFUNCTION("""COMPUTED_VALUE"""),"LYCEE D EXCELLENCE EDGAR MORIN")</f>
        <v>LYCEE D EXCELLENCE EDGAR MORIN</v>
      </c>
      <c r="C140" s="5" t="str">
        <f>IFERROR(__xludf.DUMMYFUNCTION("""COMPUTED_VALUE"""),"DOUAI")</f>
        <v>DOUAI</v>
      </c>
      <c r="D140" s="5" t="str">
        <f>IFERROR(__xludf.DUMMYFUNCTION("""COMPUTED_VALUE"""),"public")</f>
        <v>public</v>
      </c>
      <c r="E140" s="5" t="str">
        <f>IFERROR(__xludf.DUMMYFUNCTION("""COMPUTED_VALUE"""),"LEGT")</f>
        <v>LEGT</v>
      </c>
      <c r="F140" s="9">
        <f>IFERROR(__xludf.DUMMYFUNCTION("""COMPUTED_VALUE"""),89.6)</f>
        <v>89.6</v>
      </c>
      <c r="G140" s="9"/>
      <c r="H140" s="9">
        <f>IFERROR(__xludf.DUMMYFUNCTION("""COMPUTED_VALUE"""),89.6)</f>
        <v>89.6</v>
      </c>
    </row>
    <row r="141">
      <c r="A141" s="5" t="str">
        <f>IFERROR(__xludf.DUMMYFUNCTION("""COMPUTED_VALUE"""),"LILLE")</f>
        <v>LILLE</v>
      </c>
      <c r="B141" s="5" t="str">
        <f>IFERROR(__xludf.DUMMYFUNCTION("""COMPUTED_VALUE"""),"LYCEE PROFESSIONNEL AIME CESAIRE")</f>
        <v>LYCEE PROFESSIONNEL AIME CESAIRE</v>
      </c>
      <c r="C141" s="5" t="str">
        <f>IFERROR(__xludf.DUMMYFUNCTION("""COMPUTED_VALUE"""),"LILLE")</f>
        <v>LILLE</v>
      </c>
      <c r="D141" s="5" t="str">
        <f>IFERROR(__xludf.DUMMYFUNCTION("""COMPUTED_VALUE"""),"public")</f>
        <v>public</v>
      </c>
      <c r="E141" s="5" t="str">
        <f>IFERROR(__xludf.DUMMYFUNCTION("""COMPUTED_VALUE"""),"LP")</f>
        <v>LP</v>
      </c>
      <c r="F141" s="9"/>
      <c r="G141" s="9">
        <f>IFERROR(__xludf.DUMMYFUNCTION("""COMPUTED_VALUE"""),70.5)</f>
        <v>70.5</v>
      </c>
      <c r="H141" s="9">
        <f>IFERROR(__xludf.DUMMYFUNCTION("""COMPUTED_VALUE"""),70.5)</f>
        <v>70.5</v>
      </c>
    </row>
    <row r="142">
      <c r="A142" s="5" t="str">
        <f>IFERROR(__xludf.DUMMYFUNCTION("""COMPUTED_VALUE"""),"LILLE")</f>
        <v>LILLE</v>
      </c>
      <c r="B142" s="5" t="str">
        <f>IFERROR(__xludf.DUMMYFUNCTION("""COMPUTED_VALUE"""),"LYCEE GENERAL ET TECHNOLOGIQUE ROBESPIERRE")</f>
        <v>LYCEE GENERAL ET TECHNOLOGIQUE ROBESPIERRE</v>
      </c>
      <c r="C142" s="5" t="str">
        <f>IFERROR(__xludf.DUMMYFUNCTION("""COMPUTED_VALUE"""),"ARRAS")</f>
        <v>ARRAS</v>
      </c>
      <c r="D142" s="5" t="str">
        <f>IFERROR(__xludf.DUMMYFUNCTION("""COMPUTED_VALUE"""),"public")</f>
        <v>public</v>
      </c>
      <c r="E142" s="5" t="str">
        <f>IFERROR(__xludf.DUMMYFUNCTION("""COMPUTED_VALUE"""),"LEGT")</f>
        <v>LEGT</v>
      </c>
      <c r="F142" s="9">
        <f>IFERROR(__xludf.DUMMYFUNCTION("""COMPUTED_VALUE"""),120.0)</f>
        <v>120</v>
      </c>
      <c r="G142" s="9"/>
      <c r="H142" s="9">
        <f>IFERROR(__xludf.DUMMYFUNCTION("""COMPUTED_VALUE"""),120.0)</f>
        <v>120</v>
      </c>
    </row>
    <row r="143">
      <c r="A143" s="5" t="str">
        <f>IFERROR(__xludf.DUMMYFUNCTION("""COMPUTED_VALUE"""),"LILLE")</f>
        <v>LILLE</v>
      </c>
      <c r="B143" s="5" t="str">
        <f>IFERROR(__xludf.DUMMYFUNCTION("""COMPUTED_VALUE"""),"LYCEE PROFESSIONNEL PHILIPPE AUGUSTE")</f>
        <v>LYCEE PROFESSIONNEL PHILIPPE AUGUSTE</v>
      </c>
      <c r="C143" s="5" t="str">
        <f>IFERROR(__xludf.DUMMYFUNCTION("""COMPUTED_VALUE"""),"BAPAUME")</f>
        <v>BAPAUME</v>
      </c>
      <c r="D143" s="5" t="str">
        <f>IFERROR(__xludf.DUMMYFUNCTION("""COMPUTED_VALUE"""),"public")</f>
        <v>public</v>
      </c>
      <c r="E143" s="5" t="str">
        <f>IFERROR(__xludf.DUMMYFUNCTION("""COMPUTED_VALUE"""),"LP")</f>
        <v>LP</v>
      </c>
      <c r="F143" s="9"/>
      <c r="G143" s="9">
        <f>IFERROR(__xludf.DUMMYFUNCTION("""COMPUTED_VALUE"""),80.1)</f>
        <v>80.1</v>
      </c>
      <c r="H143" s="9">
        <f>IFERROR(__xludf.DUMMYFUNCTION("""COMPUTED_VALUE"""),80.1)</f>
        <v>80.1</v>
      </c>
    </row>
    <row r="144">
      <c r="A144" s="5" t="str">
        <f>IFERROR(__xludf.DUMMYFUNCTION("""COMPUTED_VALUE"""),"LILLE")</f>
        <v>LILLE</v>
      </c>
      <c r="B144" s="5" t="str">
        <f>IFERROR(__xludf.DUMMYFUNCTION("""COMPUTED_VALUE"""),"LYCEE POLYVALENT EDOUARD BRANLY LYCEE DES METIERS DU BATIMENT ET DES ENERGIES RENOUVELABLES DE L INDUSTRIE DES TERRES D OPALE")</f>
        <v>LYCEE POLYVALENT EDOUARD BRANLY LYCEE DES METIERS DU BATIMENT ET DES ENERGIES RENOUVELABLES DE L INDUSTRIE DES TERRES D OPALE</v>
      </c>
      <c r="C144" s="5" t="str">
        <f>IFERROR(__xludf.DUMMYFUNCTION("""COMPUTED_VALUE"""),"BOULOGNE SUR MER")</f>
        <v>BOULOGNE SUR MER</v>
      </c>
      <c r="D144" s="5" t="str">
        <f>IFERROR(__xludf.DUMMYFUNCTION("""COMPUTED_VALUE"""),"public")</f>
        <v>public</v>
      </c>
      <c r="E144" s="5" t="str">
        <f>IFERROR(__xludf.DUMMYFUNCTION("""COMPUTED_VALUE"""),"LPO")</f>
        <v>LPO</v>
      </c>
      <c r="F144" s="9">
        <f>IFERROR(__xludf.DUMMYFUNCTION("""COMPUTED_VALUE"""),105.1)</f>
        <v>105.1</v>
      </c>
      <c r="G144" s="9">
        <f>IFERROR(__xludf.DUMMYFUNCTION("""COMPUTED_VALUE"""),83.6)</f>
        <v>83.6</v>
      </c>
      <c r="H144" s="9">
        <f>IFERROR(__xludf.DUMMYFUNCTION("""COMPUTED_VALUE"""),101.7)</f>
        <v>101.7</v>
      </c>
    </row>
    <row r="145">
      <c r="A145" s="5" t="str">
        <f>IFERROR(__xludf.DUMMYFUNCTION("""COMPUTED_VALUE"""),"LILLE")</f>
        <v>LILLE</v>
      </c>
      <c r="B145" s="5" t="str">
        <f>IFERROR(__xludf.DUMMYFUNCTION("""COMPUTED_VALUE"""),"LYCEE GENERAL ET TECHNOLOGIQUE CONDORCET")</f>
        <v>LYCEE GENERAL ET TECHNOLOGIQUE CONDORCET</v>
      </c>
      <c r="C145" s="5" t="str">
        <f>IFERROR(__xludf.DUMMYFUNCTION("""COMPUTED_VALUE"""),"LENS")</f>
        <v>LENS</v>
      </c>
      <c r="D145" s="5" t="str">
        <f>IFERROR(__xludf.DUMMYFUNCTION("""COMPUTED_VALUE"""),"public")</f>
        <v>public</v>
      </c>
      <c r="E145" s="5" t="str">
        <f>IFERROR(__xludf.DUMMYFUNCTION("""COMPUTED_VALUE"""),"LEGT")</f>
        <v>LEGT</v>
      </c>
      <c r="F145" s="9">
        <f>IFERROR(__xludf.DUMMYFUNCTION("""COMPUTED_VALUE"""),87.4)</f>
        <v>87.4</v>
      </c>
      <c r="G145" s="9"/>
      <c r="H145" s="9">
        <f>IFERROR(__xludf.DUMMYFUNCTION("""COMPUTED_VALUE"""),87.4)</f>
        <v>87.4</v>
      </c>
    </row>
    <row r="146">
      <c r="A146" s="5" t="str">
        <f>IFERROR(__xludf.DUMMYFUNCTION("""COMPUTED_VALUE"""),"LILLE")</f>
        <v>LILLE</v>
      </c>
      <c r="B146" s="5" t="str">
        <f>IFERROR(__xludf.DUMMYFUNCTION("""COMPUTED_VALUE"""),"LYCEE GENERAL ET TECHNOLOGIQUE ANATOLE FRANCE")</f>
        <v>LYCEE GENERAL ET TECHNOLOGIQUE ANATOLE FRANCE</v>
      </c>
      <c r="C146" s="5" t="str">
        <f>IFERROR(__xludf.DUMMYFUNCTION("""COMPUTED_VALUE"""),"LILLERS")</f>
        <v>LILLERS</v>
      </c>
      <c r="D146" s="5" t="str">
        <f>IFERROR(__xludf.DUMMYFUNCTION("""COMPUTED_VALUE"""),"public")</f>
        <v>public</v>
      </c>
      <c r="E146" s="5" t="str">
        <f>IFERROR(__xludf.DUMMYFUNCTION("""COMPUTED_VALUE"""),"LEGT")</f>
        <v>LEGT</v>
      </c>
      <c r="F146" s="9">
        <f>IFERROR(__xludf.DUMMYFUNCTION("""COMPUTED_VALUE"""),109.2)</f>
        <v>109.2</v>
      </c>
      <c r="G146" s="9"/>
      <c r="H146" s="9">
        <f>IFERROR(__xludf.DUMMYFUNCTION("""COMPUTED_VALUE"""),109.2)</f>
        <v>109.2</v>
      </c>
    </row>
    <row r="147">
      <c r="A147" s="5" t="str">
        <f>IFERROR(__xludf.DUMMYFUNCTION("""COMPUTED_VALUE"""),"LILLE")</f>
        <v>LILLE</v>
      </c>
      <c r="B147" s="5" t="str">
        <f>IFERROR(__xludf.DUMMYFUNCTION("""COMPUTED_VALUE"""),"LYCEE PROFESSIONNEL HENRI SENEZ LYCEE DES METIERS")</f>
        <v>LYCEE PROFESSIONNEL HENRI SENEZ LYCEE DES METIERS</v>
      </c>
      <c r="C147" s="5" t="str">
        <f>IFERROR(__xludf.DUMMYFUNCTION("""COMPUTED_VALUE"""),"HENIN BEAUMONT")</f>
        <v>HENIN BEAUMONT</v>
      </c>
      <c r="D147" s="5" t="str">
        <f>IFERROR(__xludf.DUMMYFUNCTION("""COMPUTED_VALUE"""),"public")</f>
        <v>public</v>
      </c>
      <c r="E147" s="5" t="str">
        <f>IFERROR(__xludf.DUMMYFUNCTION("""COMPUTED_VALUE"""),"LP")</f>
        <v>LP</v>
      </c>
      <c r="F147" s="9"/>
      <c r="G147" s="9">
        <f>IFERROR(__xludf.DUMMYFUNCTION("""COMPUTED_VALUE"""),72.5)</f>
        <v>72.5</v>
      </c>
      <c r="H147" s="9">
        <f>IFERROR(__xludf.DUMMYFUNCTION("""COMPUTED_VALUE"""),72.5)</f>
        <v>72.5</v>
      </c>
    </row>
    <row r="148">
      <c r="A148" s="5" t="str">
        <f>IFERROR(__xludf.DUMMYFUNCTION("""COMPUTED_VALUE"""),"LILLE")</f>
        <v>LILLE</v>
      </c>
      <c r="B148" s="5" t="str">
        <f>IFERROR(__xludf.DUMMYFUNCTION("""COMPUTED_VALUE"""),"LYCEE POLYVALENT GIRAUX SANNIER")</f>
        <v>LYCEE POLYVALENT GIRAUX SANNIER</v>
      </c>
      <c r="C148" s="5" t="str">
        <f>IFERROR(__xludf.DUMMYFUNCTION("""COMPUTED_VALUE"""),"SAINT MARTIN BOULOGNE")</f>
        <v>SAINT MARTIN BOULOGNE</v>
      </c>
      <c r="D148" s="5" t="str">
        <f>IFERROR(__xludf.DUMMYFUNCTION("""COMPUTED_VALUE"""),"public")</f>
        <v>public</v>
      </c>
      <c r="E148" s="5" t="str">
        <f>IFERROR(__xludf.DUMMYFUNCTION("""COMPUTED_VALUE"""),"LPO")</f>
        <v>LPO</v>
      </c>
      <c r="F148" s="9">
        <f>IFERROR(__xludf.DUMMYFUNCTION("""COMPUTED_VALUE"""),105.6)</f>
        <v>105.6</v>
      </c>
      <c r="G148" s="9">
        <f>IFERROR(__xludf.DUMMYFUNCTION("""COMPUTED_VALUE"""),76.4)</f>
        <v>76.4</v>
      </c>
      <c r="H148" s="9">
        <f>IFERROR(__xludf.DUMMYFUNCTION("""COMPUTED_VALUE"""),96.2)</f>
        <v>96.2</v>
      </c>
    </row>
    <row r="149">
      <c r="A149" s="5" t="str">
        <f>IFERROR(__xludf.DUMMYFUNCTION("""COMPUTED_VALUE"""),"LILLE")</f>
        <v>LILLE</v>
      </c>
      <c r="B149" s="5" t="str">
        <f>IFERROR(__xludf.DUMMYFUNCTION("""COMPUTED_VALUE"""),"LYCEE POLYVALENT LEONARD DE VINCI")</f>
        <v>LYCEE POLYVALENT LEONARD DE VINCI</v>
      </c>
      <c r="C149" s="5" t="str">
        <f>IFERROR(__xludf.DUMMYFUNCTION("""COMPUTED_VALUE"""),"CALAIS")</f>
        <v>CALAIS</v>
      </c>
      <c r="D149" s="5" t="str">
        <f>IFERROR(__xludf.DUMMYFUNCTION("""COMPUTED_VALUE"""),"public")</f>
        <v>public</v>
      </c>
      <c r="E149" s="5" t="str">
        <f>IFERROR(__xludf.DUMMYFUNCTION("""COMPUTED_VALUE"""),"LPO")</f>
        <v>LPO</v>
      </c>
      <c r="F149" s="9">
        <f>IFERROR(__xludf.DUMMYFUNCTION("""COMPUTED_VALUE"""),99.1)</f>
        <v>99.1</v>
      </c>
      <c r="G149" s="9">
        <f>IFERROR(__xludf.DUMMYFUNCTION("""COMPUTED_VALUE"""),79.4)</f>
        <v>79.4</v>
      </c>
      <c r="H149" s="9">
        <f>IFERROR(__xludf.DUMMYFUNCTION("""COMPUTED_VALUE"""),97.8)</f>
        <v>97.8</v>
      </c>
    </row>
    <row r="150">
      <c r="A150" s="5" t="str">
        <f>IFERROR(__xludf.DUMMYFUNCTION("""COMPUTED_VALUE"""),"LILLE")</f>
        <v>LILLE</v>
      </c>
      <c r="B150" s="5" t="str">
        <f>IFERROR(__xludf.DUMMYFUNCTION("""COMPUTED_VALUE"""),"LYCEE POLYVALENT CAMILLE DESMOULINS")</f>
        <v>LYCEE POLYVALENT CAMILLE DESMOULINS</v>
      </c>
      <c r="C150" s="5" t="str">
        <f>IFERROR(__xludf.DUMMYFUNCTION("""COMPUTED_VALUE"""),"LE CATEAU CAMBRESIS")</f>
        <v>LE CATEAU CAMBRESIS</v>
      </c>
      <c r="D150" s="5" t="str">
        <f>IFERROR(__xludf.DUMMYFUNCTION("""COMPUTED_VALUE"""),"public")</f>
        <v>public</v>
      </c>
      <c r="E150" s="5" t="str">
        <f>IFERROR(__xludf.DUMMYFUNCTION("""COMPUTED_VALUE"""),"LPO")</f>
        <v>LPO</v>
      </c>
      <c r="F150" s="9">
        <f>IFERROR(__xludf.DUMMYFUNCTION("""COMPUTED_VALUE"""),89.4)</f>
        <v>89.4</v>
      </c>
      <c r="G150" s="9">
        <f>IFERROR(__xludf.DUMMYFUNCTION("""COMPUTED_VALUE"""),68.8)</f>
        <v>68.8</v>
      </c>
      <c r="H150" s="9">
        <f>IFERROR(__xludf.DUMMYFUNCTION("""COMPUTED_VALUE"""),80.7)</f>
        <v>80.7</v>
      </c>
    </row>
    <row r="151">
      <c r="A151" s="5" t="str">
        <f>IFERROR(__xludf.DUMMYFUNCTION("""COMPUTED_VALUE"""),"LILLE")</f>
        <v>LILLE</v>
      </c>
      <c r="B151" s="5" t="str">
        <f>IFERROR(__xludf.DUMMYFUNCTION("""COMPUTED_VALUE"""),"LYCEE GENERAL ET TECHNOLOGIQUE AUGUSTE ANGELLIER")</f>
        <v>LYCEE GENERAL ET TECHNOLOGIQUE AUGUSTE ANGELLIER</v>
      </c>
      <c r="C151" s="5" t="str">
        <f>IFERROR(__xludf.DUMMYFUNCTION("""COMPUTED_VALUE"""),"DUNKERQUE")</f>
        <v>DUNKERQUE</v>
      </c>
      <c r="D151" s="5" t="str">
        <f>IFERROR(__xludf.DUMMYFUNCTION("""COMPUTED_VALUE"""),"public")</f>
        <v>public</v>
      </c>
      <c r="E151" s="5" t="str">
        <f>IFERROR(__xludf.DUMMYFUNCTION("""COMPUTED_VALUE"""),"LEGT")</f>
        <v>LEGT</v>
      </c>
      <c r="F151" s="9">
        <f>IFERROR(__xludf.DUMMYFUNCTION("""COMPUTED_VALUE"""),114.8)</f>
        <v>114.8</v>
      </c>
      <c r="G151" s="9"/>
      <c r="H151" s="9">
        <f>IFERROR(__xludf.DUMMYFUNCTION("""COMPUTED_VALUE"""),114.8)</f>
        <v>114.8</v>
      </c>
    </row>
    <row r="152">
      <c r="A152" s="5" t="str">
        <f>IFERROR(__xludf.DUMMYFUNCTION("""COMPUTED_VALUE"""),"LILLE")</f>
        <v>LILLE</v>
      </c>
      <c r="B152" s="5" t="str">
        <f>IFERROR(__xludf.DUMMYFUNCTION("""COMPUTED_VALUE"""),"LYCEE GENERAL ET TECHNOLOGIQUE JEAN PERRIN")</f>
        <v>LYCEE GENERAL ET TECHNOLOGIQUE JEAN PERRIN</v>
      </c>
      <c r="C152" s="5" t="str">
        <f>IFERROR(__xludf.DUMMYFUNCTION("""COMPUTED_VALUE"""),"LAMBERSART")</f>
        <v>LAMBERSART</v>
      </c>
      <c r="D152" s="5" t="str">
        <f>IFERROR(__xludf.DUMMYFUNCTION("""COMPUTED_VALUE"""),"public")</f>
        <v>public</v>
      </c>
      <c r="E152" s="5" t="str">
        <f>IFERROR(__xludf.DUMMYFUNCTION("""COMPUTED_VALUE"""),"LEGT")</f>
        <v>LEGT</v>
      </c>
      <c r="F152" s="9">
        <f>IFERROR(__xludf.DUMMYFUNCTION("""COMPUTED_VALUE"""),121.3)</f>
        <v>121.3</v>
      </c>
      <c r="G152" s="9"/>
      <c r="H152" s="9">
        <f>IFERROR(__xludf.DUMMYFUNCTION("""COMPUTED_VALUE"""),121.3)</f>
        <v>121.3</v>
      </c>
    </row>
    <row r="153">
      <c r="A153" s="5" t="str">
        <f>IFERROR(__xludf.DUMMYFUNCTION("""COMPUTED_VALUE"""),"LILLE")</f>
        <v>LILLE</v>
      </c>
      <c r="B153" s="5" t="str">
        <f>IFERROR(__xludf.DUMMYFUNCTION("""COMPUTED_VALUE"""),"LYCEE GENERAL ET TECHNOLOGIQUE LOUIS PASTEUR")</f>
        <v>LYCEE GENERAL ET TECHNOLOGIQUE LOUIS PASTEUR</v>
      </c>
      <c r="C153" s="5" t="str">
        <f>IFERROR(__xludf.DUMMYFUNCTION("""COMPUTED_VALUE"""),"LILLE")</f>
        <v>LILLE</v>
      </c>
      <c r="D153" s="5" t="str">
        <f>IFERROR(__xludf.DUMMYFUNCTION("""COMPUTED_VALUE"""),"public")</f>
        <v>public</v>
      </c>
      <c r="E153" s="5" t="str">
        <f>IFERROR(__xludf.DUMMYFUNCTION("""COMPUTED_VALUE"""),"LEGT")</f>
        <v>LEGT</v>
      </c>
      <c r="F153" s="9">
        <f>IFERROR(__xludf.DUMMYFUNCTION("""COMPUTED_VALUE"""),114.7)</f>
        <v>114.7</v>
      </c>
      <c r="G153" s="9"/>
      <c r="H153" s="9">
        <f>IFERROR(__xludf.DUMMYFUNCTION("""COMPUTED_VALUE"""),114.7)</f>
        <v>114.7</v>
      </c>
    </row>
    <row r="154">
      <c r="A154" s="5" t="str">
        <f>IFERROR(__xludf.DUMMYFUNCTION("""COMPUTED_VALUE"""),"LILLE")</f>
        <v>LILLE</v>
      </c>
      <c r="B154" s="5" t="str">
        <f>IFERROR(__xludf.DUMMYFUNCTION("""COMPUTED_VALUE"""),"LYCEE GENERAL ET TECHNOLOGIQUE FAIDHERBE")</f>
        <v>LYCEE GENERAL ET TECHNOLOGIQUE FAIDHERBE</v>
      </c>
      <c r="C154" s="5" t="str">
        <f>IFERROR(__xludf.DUMMYFUNCTION("""COMPUTED_VALUE"""),"LILLE")</f>
        <v>LILLE</v>
      </c>
      <c r="D154" s="5" t="str">
        <f>IFERROR(__xludf.DUMMYFUNCTION("""COMPUTED_VALUE"""),"public")</f>
        <v>public</v>
      </c>
      <c r="E154" s="5" t="str">
        <f>IFERROR(__xludf.DUMMYFUNCTION("""COMPUTED_VALUE"""),"LEGT")</f>
        <v>LEGT</v>
      </c>
      <c r="F154" s="9">
        <f>IFERROR(__xludf.DUMMYFUNCTION("""COMPUTED_VALUE"""),113.8)</f>
        <v>113.8</v>
      </c>
      <c r="G154" s="9"/>
      <c r="H154" s="9">
        <f>IFERROR(__xludf.DUMMYFUNCTION("""COMPUTED_VALUE"""),113.8)</f>
        <v>113.8</v>
      </c>
    </row>
    <row r="155">
      <c r="A155" s="5" t="str">
        <f>IFERROR(__xludf.DUMMYFUNCTION("""COMPUTED_VALUE"""),"LILLE")</f>
        <v>LILLE</v>
      </c>
      <c r="B155" s="5" t="str">
        <f>IFERROR(__xludf.DUMMYFUNCTION("""COMPUTED_VALUE"""),"LYCEE HOTELIER INTERNATIONAL DE LILLE")</f>
        <v>LYCEE HOTELIER INTERNATIONAL DE LILLE</v>
      </c>
      <c r="C155" s="5" t="str">
        <f>IFERROR(__xludf.DUMMYFUNCTION("""COMPUTED_VALUE"""),"LILLE")</f>
        <v>LILLE</v>
      </c>
      <c r="D155" s="5" t="str">
        <f>IFERROR(__xludf.DUMMYFUNCTION("""COMPUTED_VALUE"""),"public")</f>
        <v>public</v>
      </c>
      <c r="E155" s="5" t="str">
        <f>IFERROR(__xludf.DUMMYFUNCTION("""COMPUTED_VALUE"""),"LPO")</f>
        <v>LPO</v>
      </c>
      <c r="F155" s="9">
        <f>IFERROR(__xludf.DUMMYFUNCTION("""COMPUTED_VALUE"""),116.9)</f>
        <v>116.9</v>
      </c>
      <c r="G155" s="9">
        <f>IFERROR(__xludf.DUMMYFUNCTION("""COMPUTED_VALUE"""),87.2)</f>
        <v>87.2</v>
      </c>
      <c r="H155" s="9">
        <f>IFERROR(__xludf.DUMMYFUNCTION("""COMPUTED_VALUE"""),91.2)</f>
        <v>91.2</v>
      </c>
    </row>
    <row r="156">
      <c r="A156" s="5" t="str">
        <f>IFERROR(__xludf.DUMMYFUNCTION("""COMPUTED_VALUE"""),"LILLE")</f>
        <v>LILLE</v>
      </c>
      <c r="B156" s="5" t="str">
        <f>IFERROR(__xludf.DUMMYFUNCTION("""COMPUTED_VALUE"""),"LYCEE GENERAL YVES KERNANEC")</f>
        <v>LYCEE GENERAL YVES KERNANEC</v>
      </c>
      <c r="C156" s="5" t="str">
        <f>IFERROR(__xludf.DUMMYFUNCTION("""COMPUTED_VALUE"""),"MARCQ EN BAROEUL")</f>
        <v>MARCQ EN BAROEUL</v>
      </c>
      <c r="D156" s="5" t="str">
        <f>IFERROR(__xludf.DUMMYFUNCTION("""COMPUTED_VALUE"""),"public")</f>
        <v>public</v>
      </c>
      <c r="E156" s="5" t="str">
        <f>IFERROR(__xludf.DUMMYFUNCTION("""COMPUTED_VALUE"""),"LEGT")</f>
        <v>LEGT</v>
      </c>
      <c r="F156" s="9">
        <f>IFERROR(__xludf.DUMMYFUNCTION("""COMPUTED_VALUE"""),127.1)</f>
        <v>127.1</v>
      </c>
      <c r="G156" s="9"/>
      <c r="H156" s="9">
        <f>IFERROR(__xludf.DUMMYFUNCTION("""COMPUTED_VALUE"""),127.1)</f>
        <v>127.1</v>
      </c>
    </row>
    <row r="157">
      <c r="A157" s="5" t="str">
        <f>IFERROR(__xludf.DUMMYFUNCTION("""COMPUTED_VALUE"""),"LILLE")</f>
        <v>LILLE</v>
      </c>
      <c r="B157" s="5" t="str">
        <f>IFERROR(__xludf.DUMMYFUNCTION("""COMPUTED_VALUE"""),"LYCEE GENERAL JEAN ROSTAND")</f>
        <v>LYCEE GENERAL JEAN ROSTAND</v>
      </c>
      <c r="C157" s="5" t="str">
        <f>IFERROR(__xludf.DUMMYFUNCTION("""COMPUTED_VALUE"""),"ROUBAIX")</f>
        <v>ROUBAIX</v>
      </c>
      <c r="D157" s="5" t="str">
        <f>IFERROR(__xludf.DUMMYFUNCTION("""COMPUTED_VALUE"""),"public")</f>
        <v>public</v>
      </c>
      <c r="E157" s="5" t="str">
        <f>IFERROR(__xludf.DUMMYFUNCTION("""COMPUTED_VALUE"""),"LEGT")</f>
        <v>LEGT</v>
      </c>
      <c r="F157" s="9">
        <f>IFERROR(__xludf.DUMMYFUNCTION("""COMPUTED_VALUE"""),74.9)</f>
        <v>74.9</v>
      </c>
      <c r="G157" s="9"/>
      <c r="H157" s="9">
        <f>IFERROR(__xludf.DUMMYFUNCTION("""COMPUTED_VALUE"""),74.9)</f>
        <v>74.9</v>
      </c>
    </row>
    <row r="158">
      <c r="A158" s="5" t="str">
        <f>IFERROR(__xludf.DUMMYFUNCTION("""COMPUTED_VALUE"""),"LILLE")</f>
        <v>LILLE</v>
      </c>
      <c r="B158" s="5" t="str">
        <f>IFERROR(__xludf.DUMMYFUNCTION("""COMPUTED_VALUE"""),"LYCEE PROFESSIONNEL LE CORBUSIER")</f>
        <v>LYCEE PROFESSIONNEL LE CORBUSIER</v>
      </c>
      <c r="C158" s="5" t="str">
        <f>IFERROR(__xludf.DUMMYFUNCTION("""COMPUTED_VALUE"""),"TOURCOING")</f>
        <v>TOURCOING</v>
      </c>
      <c r="D158" s="5" t="str">
        <f>IFERROR(__xludf.DUMMYFUNCTION("""COMPUTED_VALUE"""),"public")</f>
        <v>public</v>
      </c>
      <c r="E158" s="5" t="str">
        <f>IFERROR(__xludf.DUMMYFUNCTION("""COMPUTED_VALUE"""),"LP")</f>
        <v>LP</v>
      </c>
      <c r="F158" s="9"/>
      <c r="G158" s="9">
        <f>IFERROR(__xludf.DUMMYFUNCTION("""COMPUTED_VALUE"""),78.8)</f>
        <v>78.8</v>
      </c>
      <c r="H158" s="9">
        <f>IFERROR(__xludf.DUMMYFUNCTION("""COMPUTED_VALUE"""),78.8)</f>
        <v>78.8</v>
      </c>
    </row>
    <row r="159">
      <c r="A159" s="5" t="str">
        <f>IFERROR(__xludf.DUMMYFUNCTION("""COMPUTED_VALUE"""),"LILLE")</f>
        <v>LILLE</v>
      </c>
      <c r="B159" s="5" t="str">
        <f>IFERROR(__xludf.DUMMYFUNCTION("""COMPUTED_VALUE"""),"LYCEE POLYVALENT EMILE ZOLA")</f>
        <v>LYCEE POLYVALENT EMILE ZOLA</v>
      </c>
      <c r="C159" s="5" t="str">
        <f>IFERROR(__xludf.DUMMYFUNCTION("""COMPUTED_VALUE"""),"WATTRELOS")</f>
        <v>WATTRELOS</v>
      </c>
      <c r="D159" s="5" t="str">
        <f>IFERROR(__xludf.DUMMYFUNCTION("""COMPUTED_VALUE"""),"public")</f>
        <v>public</v>
      </c>
      <c r="E159" s="5" t="str">
        <f>IFERROR(__xludf.DUMMYFUNCTION("""COMPUTED_VALUE"""),"LPO")</f>
        <v>LPO</v>
      </c>
      <c r="F159" s="9">
        <f>IFERROR(__xludf.DUMMYFUNCTION("""COMPUTED_VALUE"""),83.8)</f>
        <v>83.8</v>
      </c>
      <c r="G159" s="9">
        <f>IFERROR(__xludf.DUMMYFUNCTION("""COMPUTED_VALUE"""),71.7)</f>
        <v>71.7</v>
      </c>
      <c r="H159" s="9">
        <f>IFERROR(__xludf.DUMMYFUNCTION("""COMPUTED_VALUE"""),79.5)</f>
        <v>79.5</v>
      </c>
    </row>
    <row r="160">
      <c r="A160" s="5" t="str">
        <f>IFERROR(__xludf.DUMMYFUNCTION("""COMPUTED_VALUE"""),"LILLE")</f>
        <v>LILLE</v>
      </c>
      <c r="B160" s="5" t="str">
        <f>IFERROR(__xludf.DUMMYFUNCTION("""COMPUTED_VALUE"""),"LYCEE PROFESSIONNEL ILE DE FLANDRE")</f>
        <v>LYCEE PROFESSIONNEL ILE DE FLANDRE</v>
      </c>
      <c r="C160" s="5" t="str">
        <f>IFERROR(__xludf.DUMMYFUNCTION("""COMPUTED_VALUE"""),"ARMENTIERES")</f>
        <v>ARMENTIERES</v>
      </c>
      <c r="D160" s="5" t="str">
        <f>IFERROR(__xludf.DUMMYFUNCTION("""COMPUTED_VALUE"""),"public")</f>
        <v>public</v>
      </c>
      <c r="E160" s="5" t="str">
        <f>IFERROR(__xludf.DUMMYFUNCTION("""COMPUTED_VALUE"""),"LP")</f>
        <v>LP</v>
      </c>
      <c r="F160" s="9"/>
      <c r="G160" s="9">
        <f>IFERROR(__xludf.DUMMYFUNCTION("""COMPUTED_VALUE"""),76.7)</f>
        <v>76.7</v>
      </c>
      <c r="H160" s="9">
        <f>IFERROR(__xludf.DUMMYFUNCTION("""COMPUTED_VALUE"""),76.7)</f>
        <v>76.7</v>
      </c>
    </row>
    <row r="161">
      <c r="A161" s="5" t="str">
        <f>IFERROR(__xludf.DUMMYFUNCTION("""COMPUTED_VALUE"""),"LILLE")</f>
        <v>LILLE</v>
      </c>
      <c r="B161" s="5" t="str">
        <f>IFERROR(__xludf.DUMMYFUNCTION("""COMPUTED_VALUE"""),"LYCEE PROFESSIONNEL CESAR BAGGIO")</f>
        <v>LYCEE PROFESSIONNEL CESAR BAGGIO</v>
      </c>
      <c r="C161" s="5" t="str">
        <f>IFERROR(__xludf.DUMMYFUNCTION("""COMPUTED_VALUE"""),"LILLE")</f>
        <v>LILLE</v>
      </c>
      <c r="D161" s="5" t="str">
        <f>IFERROR(__xludf.DUMMYFUNCTION("""COMPUTED_VALUE"""),"public")</f>
        <v>public</v>
      </c>
      <c r="E161" s="5" t="str">
        <f>IFERROR(__xludf.DUMMYFUNCTION("""COMPUTED_VALUE"""),"LP")</f>
        <v>LP</v>
      </c>
      <c r="F161" s="9"/>
      <c r="G161" s="9">
        <f>IFERROR(__xludf.DUMMYFUNCTION("""COMPUTED_VALUE"""),77.9)</f>
        <v>77.9</v>
      </c>
      <c r="H161" s="9">
        <f>IFERROR(__xludf.DUMMYFUNCTION("""COMPUTED_VALUE"""),77.9)</f>
        <v>77.9</v>
      </c>
    </row>
    <row r="162">
      <c r="A162" s="5" t="str">
        <f>IFERROR(__xludf.DUMMYFUNCTION("""COMPUTED_VALUE"""),"LILLE")</f>
        <v>LILLE</v>
      </c>
      <c r="B162" s="5" t="str">
        <f>IFERROR(__xludf.DUMMYFUNCTION("""COMPUTED_VALUE"""),"LYCEE GENERAL PRIVE LA CROIX BLANCHE")</f>
        <v>LYCEE GENERAL PRIVE LA CROIX BLANCHE</v>
      </c>
      <c r="C162" s="5" t="str">
        <f>IFERROR(__xludf.DUMMYFUNCTION("""COMPUTED_VALUE"""),"BONDUES")</f>
        <v>BONDUES</v>
      </c>
      <c r="D162" s="5" t="str">
        <f>IFERROR(__xludf.DUMMYFUNCTION("""COMPUTED_VALUE"""),"privé sous contrat")</f>
        <v>privé sous contrat</v>
      </c>
      <c r="E162" s="5" t="str">
        <f>IFERROR(__xludf.DUMMYFUNCTION("""COMPUTED_VALUE"""),"LEGT")</f>
        <v>LEGT</v>
      </c>
      <c r="F162" s="9">
        <f>IFERROR(__xludf.DUMMYFUNCTION("""COMPUTED_VALUE"""),141.7)</f>
        <v>141.7</v>
      </c>
      <c r="G162" s="9"/>
      <c r="H162" s="9">
        <f>IFERROR(__xludf.DUMMYFUNCTION("""COMPUTED_VALUE"""),141.7)</f>
        <v>141.7</v>
      </c>
    </row>
    <row r="163">
      <c r="A163" s="5" t="str">
        <f>IFERROR(__xludf.DUMMYFUNCTION("""COMPUTED_VALUE"""),"LILLE")</f>
        <v>LILLE</v>
      </c>
      <c r="B163" s="5" t="str">
        <f>IFERROR(__xludf.DUMMYFUNCTION("""COMPUTED_VALUE"""),"LYCEE GENERAL PRIVE SAINT ADRIEN LA SALLE")</f>
        <v>LYCEE GENERAL PRIVE SAINT ADRIEN LA SALLE</v>
      </c>
      <c r="C163" s="5" t="str">
        <f>IFERROR(__xludf.DUMMYFUNCTION("""COMPUTED_VALUE"""),"VILLENEUVE D ASCQ")</f>
        <v>VILLENEUVE D ASCQ</v>
      </c>
      <c r="D163" s="5" t="str">
        <f>IFERROR(__xludf.DUMMYFUNCTION("""COMPUTED_VALUE"""),"privé sous contrat")</f>
        <v>privé sous contrat</v>
      </c>
      <c r="E163" s="5" t="str">
        <f>IFERROR(__xludf.DUMMYFUNCTION("""COMPUTED_VALUE"""),"LEGT")</f>
        <v>LEGT</v>
      </c>
      <c r="F163" s="9">
        <f>IFERROR(__xludf.DUMMYFUNCTION("""COMPUTED_VALUE"""),142.1)</f>
        <v>142.1</v>
      </c>
      <c r="G163" s="9"/>
      <c r="H163" s="9">
        <f>IFERROR(__xludf.DUMMYFUNCTION("""COMPUTED_VALUE"""),142.1)</f>
        <v>142.1</v>
      </c>
    </row>
    <row r="164">
      <c r="A164" s="5" t="str">
        <f>IFERROR(__xludf.DUMMYFUNCTION("""COMPUTED_VALUE"""),"LILLE")</f>
        <v>LILLE</v>
      </c>
      <c r="B164" s="5" t="str">
        <f>IFERROR(__xludf.DUMMYFUNCTION("""COMPUTED_VALUE"""),"LYCEE POLYVALENT PRIVE SAINT MARTIN")</f>
        <v>LYCEE POLYVALENT PRIVE SAINT MARTIN</v>
      </c>
      <c r="C164" s="5" t="str">
        <f>IFERROR(__xludf.DUMMYFUNCTION("""COMPUTED_VALUE"""),"ROUBAIX")</f>
        <v>ROUBAIX</v>
      </c>
      <c r="D164" s="5" t="str">
        <f>IFERROR(__xludf.DUMMYFUNCTION("""COMPUTED_VALUE"""),"privé sous contrat")</f>
        <v>privé sous contrat</v>
      </c>
      <c r="E164" s="5" t="str">
        <f>IFERROR(__xludf.DUMMYFUNCTION("""COMPUTED_VALUE"""),"LPO")</f>
        <v>LPO</v>
      </c>
      <c r="F164" s="9">
        <f>IFERROR(__xludf.DUMMYFUNCTION("""COMPUTED_VALUE"""),79.6)</f>
        <v>79.6</v>
      </c>
      <c r="G164" s="9">
        <f>IFERROR(__xludf.DUMMYFUNCTION("""COMPUTED_VALUE"""),74.1)</f>
        <v>74.1</v>
      </c>
      <c r="H164" s="9">
        <f>IFERROR(__xludf.DUMMYFUNCTION("""COMPUTED_VALUE"""),76.8)</f>
        <v>76.8</v>
      </c>
    </row>
    <row r="165">
      <c r="A165" s="5" t="str">
        <f>IFERROR(__xludf.DUMMYFUNCTION("""COMPUTED_VALUE"""),"LILLE")</f>
        <v>LILLE</v>
      </c>
      <c r="B165" s="5" t="str">
        <f>IFERROR(__xludf.DUMMYFUNCTION("""COMPUTED_VALUE"""),"LYCEE POLYVALENT PRIVE VAUBAN LYCEE DES METIERS")</f>
        <v>LYCEE POLYVALENT PRIVE VAUBAN LYCEE DES METIERS</v>
      </c>
      <c r="C165" s="5" t="str">
        <f>IFERROR(__xludf.DUMMYFUNCTION("""COMPUTED_VALUE"""),"DUNKERQUE")</f>
        <v>DUNKERQUE</v>
      </c>
      <c r="D165" s="5" t="str">
        <f>IFERROR(__xludf.DUMMYFUNCTION("""COMPUTED_VALUE"""),"privé sous contrat")</f>
        <v>privé sous contrat</v>
      </c>
      <c r="E165" s="5" t="str">
        <f>IFERROR(__xludf.DUMMYFUNCTION("""COMPUTED_VALUE"""),"LPO")</f>
        <v>LPO</v>
      </c>
      <c r="F165" s="9">
        <f>IFERROR(__xludf.DUMMYFUNCTION("""COMPUTED_VALUE"""),98.2)</f>
        <v>98.2</v>
      </c>
      <c r="G165" s="9">
        <f>IFERROR(__xludf.DUMMYFUNCTION("""COMPUTED_VALUE"""),89.5)</f>
        <v>89.5</v>
      </c>
      <c r="H165" s="9">
        <f>IFERROR(__xludf.DUMMYFUNCTION("""COMPUTED_VALUE"""),92.4)</f>
        <v>92.4</v>
      </c>
    </row>
    <row r="166">
      <c r="A166" s="5" t="str">
        <f>IFERROR(__xludf.DUMMYFUNCTION("""COMPUTED_VALUE"""),"LILLE")</f>
        <v>LILLE</v>
      </c>
      <c r="B166" s="5" t="str">
        <f>IFERROR(__xludf.DUMMYFUNCTION("""COMPUTED_VALUE"""),"LYCEE POLYVALENT PRIVE SAINT LUC")</f>
        <v>LYCEE POLYVALENT PRIVE SAINT LUC</v>
      </c>
      <c r="C166" s="5" t="str">
        <f>IFERROR(__xludf.DUMMYFUNCTION("""COMPUTED_VALUE"""),"CAMBRAI")</f>
        <v>CAMBRAI</v>
      </c>
      <c r="D166" s="5" t="str">
        <f>IFERROR(__xludf.DUMMYFUNCTION("""COMPUTED_VALUE"""),"privé sous contrat")</f>
        <v>privé sous contrat</v>
      </c>
      <c r="E166" s="5" t="str">
        <f>IFERROR(__xludf.DUMMYFUNCTION("""COMPUTED_VALUE"""),"LPO")</f>
        <v>LPO</v>
      </c>
      <c r="F166" s="9">
        <f>IFERROR(__xludf.DUMMYFUNCTION("""COMPUTED_VALUE"""),120.6)</f>
        <v>120.6</v>
      </c>
      <c r="G166" s="9">
        <f>IFERROR(__xludf.DUMMYFUNCTION("""COMPUTED_VALUE"""),93.6)</f>
        <v>93.6</v>
      </c>
      <c r="H166" s="9">
        <f>IFERROR(__xludf.DUMMYFUNCTION("""COMPUTED_VALUE"""),109.0)</f>
        <v>109</v>
      </c>
    </row>
    <row r="167">
      <c r="A167" s="5" t="str">
        <f>IFERROR(__xludf.DUMMYFUNCTION("""COMPUTED_VALUE"""),"LILLE")</f>
        <v>LILLE</v>
      </c>
      <c r="B167" s="5" t="str">
        <f>IFERROR(__xludf.DUMMYFUNCTION("""COMPUTED_VALUE"""),"LYCEE PROFESSIONNEL PRIVE SAINTE MARIE")</f>
        <v>LYCEE PROFESSIONNEL PRIVE SAINTE MARIE</v>
      </c>
      <c r="C167" s="5" t="str">
        <f>IFERROR(__xludf.DUMMYFUNCTION("""COMPUTED_VALUE"""),"BAILLEUL")</f>
        <v>BAILLEUL</v>
      </c>
      <c r="D167" s="5" t="str">
        <f>IFERROR(__xludf.DUMMYFUNCTION("""COMPUTED_VALUE"""),"privé sous contrat")</f>
        <v>privé sous contrat</v>
      </c>
      <c r="E167" s="5" t="str">
        <f>IFERROR(__xludf.DUMMYFUNCTION("""COMPUTED_VALUE"""),"LP")</f>
        <v>LP</v>
      </c>
      <c r="F167" s="9"/>
      <c r="G167" s="9">
        <f>IFERROR(__xludf.DUMMYFUNCTION("""COMPUTED_VALUE"""),93.4)</f>
        <v>93.4</v>
      </c>
      <c r="H167" s="9">
        <f>IFERROR(__xludf.DUMMYFUNCTION("""COMPUTED_VALUE"""),93.4)</f>
        <v>93.4</v>
      </c>
    </row>
    <row r="168">
      <c r="A168" s="5" t="str">
        <f>IFERROR(__xludf.DUMMYFUNCTION("""COMPUTED_VALUE"""),"LILLE")</f>
        <v>LILLE</v>
      </c>
      <c r="B168" s="5" t="str">
        <f>IFERROR(__xludf.DUMMYFUNCTION("""COMPUTED_VALUE"""),"LYCEE PROFESSIONNEL PRIVE SAINTE BERNADETTE")</f>
        <v>LYCEE PROFESSIONNEL PRIVE SAINTE BERNADETTE</v>
      </c>
      <c r="C168" s="5" t="str">
        <f>IFERROR(__xludf.DUMMYFUNCTION("""COMPUTED_VALUE"""),"JEUMONT")</f>
        <v>JEUMONT</v>
      </c>
      <c r="D168" s="5" t="str">
        <f>IFERROR(__xludf.DUMMYFUNCTION("""COMPUTED_VALUE"""),"privé sous contrat")</f>
        <v>privé sous contrat</v>
      </c>
      <c r="E168" s="5" t="str">
        <f>IFERROR(__xludf.DUMMYFUNCTION("""COMPUTED_VALUE"""),"LP")</f>
        <v>LP</v>
      </c>
      <c r="F168" s="9"/>
      <c r="G168" s="9">
        <f>IFERROR(__xludf.DUMMYFUNCTION("""COMPUTED_VALUE"""),76.5)</f>
        <v>76.5</v>
      </c>
      <c r="H168" s="9">
        <f>IFERROR(__xludf.DUMMYFUNCTION("""COMPUTED_VALUE"""),76.5)</f>
        <v>76.5</v>
      </c>
    </row>
    <row r="169">
      <c r="A169" s="5" t="str">
        <f>IFERROR(__xludf.DUMMYFUNCTION("""COMPUTED_VALUE"""),"LILLE")</f>
        <v>LILLE</v>
      </c>
      <c r="B169" s="5" t="str">
        <f>IFERROR(__xludf.DUMMYFUNCTION("""COMPUTED_VALUE"""),"LYCEE GENERAL PRIVE SAINTE CLAIRE")</f>
        <v>LYCEE GENERAL PRIVE SAINTE CLAIRE</v>
      </c>
      <c r="C169" s="5" t="str">
        <f>IFERROR(__xludf.DUMMYFUNCTION("""COMPUTED_VALUE"""),"LILLE")</f>
        <v>LILLE</v>
      </c>
      <c r="D169" s="5" t="str">
        <f>IFERROR(__xludf.DUMMYFUNCTION("""COMPUTED_VALUE"""),"privé sous contrat")</f>
        <v>privé sous contrat</v>
      </c>
      <c r="E169" s="5" t="str">
        <f>IFERROR(__xludf.DUMMYFUNCTION("""COMPUTED_VALUE"""),"LEGT")</f>
        <v>LEGT</v>
      </c>
      <c r="F169" s="9">
        <f>IFERROR(__xludf.DUMMYFUNCTION("""COMPUTED_VALUE"""),128.8)</f>
        <v>128.8</v>
      </c>
      <c r="G169" s="9"/>
      <c r="H169" s="9">
        <f>IFERROR(__xludf.DUMMYFUNCTION("""COMPUTED_VALUE"""),128.8)</f>
        <v>128.8</v>
      </c>
    </row>
    <row r="170">
      <c r="A170" s="5" t="str">
        <f>IFERROR(__xludf.DUMMYFUNCTION("""COMPUTED_VALUE"""),"LILLE")</f>
        <v>LILLE</v>
      </c>
      <c r="B170" s="5" t="str">
        <f>IFERROR(__xludf.DUMMYFUNCTION("""COMPUTED_VALUE"""),"LYCEE GENERAL PRIVE NOTRE DAME")</f>
        <v>LYCEE GENERAL PRIVE NOTRE DAME</v>
      </c>
      <c r="C170" s="5" t="str">
        <f>IFERROR(__xludf.DUMMYFUNCTION("""COMPUTED_VALUE"""),"VALENCIENNES")</f>
        <v>VALENCIENNES</v>
      </c>
      <c r="D170" s="5" t="str">
        <f>IFERROR(__xludf.DUMMYFUNCTION("""COMPUTED_VALUE"""),"privé sous contrat")</f>
        <v>privé sous contrat</v>
      </c>
      <c r="E170" s="5" t="str">
        <f>IFERROR(__xludf.DUMMYFUNCTION("""COMPUTED_VALUE"""),"LEGT")</f>
        <v>LEGT</v>
      </c>
      <c r="F170" s="9">
        <f>IFERROR(__xludf.DUMMYFUNCTION("""COMPUTED_VALUE"""),125.5)</f>
        <v>125.5</v>
      </c>
      <c r="G170" s="9"/>
      <c r="H170" s="9">
        <f>IFERROR(__xludf.DUMMYFUNCTION("""COMPUTED_VALUE"""),125.5)</f>
        <v>125.5</v>
      </c>
    </row>
    <row r="171">
      <c r="A171" s="5" t="str">
        <f>IFERROR(__xludf.DUMMYFUNCTION("""COMPUTED_VALUE"""),"LILLE")</f>
        <v>LILLE</v>
      </c>
      <c r="B171" s="5" t="str">
        <f>IFERROR(__xludf.DUMMYFUNCTION("""COMPUTED_VALUE"""),"LYCEE PROFESSIONNEL AUTOMOBILE ET TRANSPORTS")</f>
        <v>LYCEE PROFESSIONNEL AUTOMOBILE ET TRANSPORTS</v>
      </c>
      <c r="C171" s="5" t="str">
        <f>IFERROR(__xludf.DUMMYFUNCTION("""COMPUTED_VALUE"""),"GRANDE SYNTHE")</f>
        <v>GRANDE SYNTHE</v>
      </c>
      <c r="D171" s="5" t="str">
        <f>IFERROR(__xludf.DUMMYFUNCTION("""COMPUTED_VALUE"""),"public")</f>
        <v>public</v>
      </c>
      <c r="E171" s="5" t="str">
        <f>IFERROR(__xludf.DUMMYFUNCTION("""COMPUTED_VALUE"""),"LP")</f>
        <v>LP</v>
      </c>
      <c r="F171" s="9"/>
      <c r="G171" s="9">
        <f>IFERROR(__xludf.DUMMYFUNCTION("""COMPUTED_VALUE"""),73.3)</f>
        <v>73.3</v>
      </c>
      <c r="H171" s="9">
        <f>IFERROR(__xludf.DUMMYFUNCTION("""COMPUTED_VALUE"""),73.3)</f>
        <v>73.3</v>
      </c>
    </row>
    <row r="172">
      <c r="A172" s="5" t="str">
        <f>IFERROR(__xludf.DUMMYFUNCTION("""COMPUTED_VALUE"""),"LILLE")</f>
        <v>LILLE</v>
      </c>
      <c r="B172" s="5" t="str">
        <f>IFERROR(__xludf.DUMMYFUNCTION("""COMPUTED_VALUE"""),"LYCEE PROFESSIONNEL RENE CASSIN")</f>
        <v>LYCEE PROFESSIONNEL RENE CASSIN</v>
      </c>
      <c r="C172" s="5" t="str">
        <f>IFERROR(__xludf.DUMMYFUNCTION("""COMPUTED_VALUE"""),"MONTIGNY EN OSTREVENT")</f>
        <v>MONTIGNY EN OSTREVENT</v>
      </c>
      <c r="D172" s="5" t="str">
        <f>IFERROR(__xludf.DUMMYFUNCTION("""COMPUTED_VALUE"""),"public")</f>
        <v>public</v>
      </c>
      <c r="E172" s="5" t="str">
        <f>IFERROR(__xludf.DUMMYFUNCTION("""COMPUTED_VALUE"""),"LP")</f>
        <v>LP</v>
      </c>
      <c r="F172" s="9"/>
      <c r="G172" s="9">
        <f>IFERROR(__xludf.DUMMYFUNCTION("""COMPUTED_VALUE"""),67.6)</f>
        <v>67.6</v>
      </c>
      <c r="H172" s="9">
        <f>IFERROR(__xludf.DUMMYFUNCTION("""COMPUTED_VALUE"""),67.6)</f>
        <v>67.6</v>
      </c>
    </row>
    <row r="173">
      <c r="A173" s="5" t="str">
        <f>IFERROR(__xludf.DUMMYFUNCTION("""COMPUTED_VALUE"""),"LILLE")</f>
        <v>LILLE</v>
      </c>
      <c r="B173" s="5" t="str">
        <f>IFERROR(__xludf.DUMMYFUNCTION("""COMPUTED_VALUE"""),"LYCEE PROFESSIONNEL ANDRE JURENIL")</f>
        <v>LYCEE PROFESSIONNEL ANDRE JURENIL</v>
      </c>
      <c r="C173" s="5" t="str">
        <f>IFERROR(__xludf.DUMMYFUNCTION("""COMPUTED_VALUE"""),"DENAIN")</f>
        <v>DENAIN</v>
      </c>
      <c r="D173" s="5" t="str">
        <f>IFERROR(__xludf.DUMMYFUNCTION("""COMPUTED_VALUE"""),"public")</f>
        <v>public</v>
      </c>
      <c r="E173" s="5" t="str">
        <f>IFERROR(__xludf.DUMMYFUNCTION("""COMPUTED_VALUE"""),"LP")</f>
        <v>LP</v>
      </c>
      <c r="F173" s="9"/>
      <c r="G173" s="9">
        <f>IFERROR(__xludf.DUMMYFUNCTION("""COMPUTED_VALUE"""),68.5)</f>
        <v>68.5</v>
      </c>
      <c r="H173" s="9">
        <f>IFERROR(__xludf.DUMMYFUNCTION("""COMPUTED_VALUE"""),68.5)</f>
        <v>68.5</v>
      </c>
    </row>
    <row r="174">
      <c r="A174" s="5" t="str">
        <f>IFERROR(__xludf.DUMMYFUNCTION("""COMPUTED_VALUE"""),"LILLE")</f>
        <v>LILLE</v>
      </c>
      <c r="B174" s="5" t="str">
        <f>IFERROR(__xludf.DUMMYFUNCTION("""COMPUTED_VALUE"""),"LYCEE GENERAL ET TECHNOLOGIQUE ARTHUR RIMBAUD")</f>
        <v>LYCEE GENERAL ET TECHNOLOGIQUE ARTHUR RIMBAUD</v>
      </c>
      <c r="C174" s="5" t="str">
        <f>IFERROR(__xludf.DUMMYFUNCTION("""COMPUTED_VALUE"""),"SIN LE NOBLE")</f>
        <v>SIN LE NOBLE</v>
      </c>
      <c r="D174" s="5" t="str">
        <f>IFERROR(__xludf.DUMMYFUNCTION("""COMPUTED_VALUE"""),"public")</f>
        <v>public</v>
      </c>
      <c r="E174" s="5" t="str">
        <f>IFERROR(__xludf.DUMMYFUNCTION("""COMPUTED_VALUE"""),"LEGT")</f>
        <v>LEGT</v>
      </c>
      <c r="F174" s="9">
        <f>IFERROR(__xludf.DUMMYFUNCTION("""COMPUTED_VALUE"""),103.4)</f>
        <v>103.4</v>
      </c>
      <c r="G174" s="9"/>
      <c r="H174" s="9">
        <f>IFERROR(__xludf.DUMMYFUNCTION("""COMPUTED_VALUE"""),103.4)</f>
        <v>103.4</v>
      </c>
    </row>
    <row r="175">
      <c r="A175" s="5" t="str">
        <f>IFERROR(__xludf.DUMMYFUNCTION("""COMPUTED_VALUE"""),"LILLE")</f>
        <v>LILLE</v>
      </c>
      <c r="B175" s="5" t="str">
        <f>IFERROR(__xludf.DUMMYFUNCTION("""COMPUTED_VALUE"""),"LYCEE PROFESSIONNEL PRIVE EPID LYCEE DES METIERS DES INDUSTRIES ET DES INNOVATIONS TECHNOLOGIQUES")</f>
        <v>LYCEE PROFESSIONNEL PRIVE EPID LYCEE DES METIERS DES INDUSTRIES ET DES INNOVATIONS TECHNOLOGIQUES</v>
      </c>
      <c r="C175" s="5" t="str">
        <f>IFERROR(__xludf.DUMMYFUNCTION("""COMPUTED_VALUE"""),"DUNKERQUE")</f>
        <v>DUNKERQUE</v>
      </c>
      <c r="D175" s="5" t="str">
        <f>IFERROR(__xludf.DUMMYFUNCTION("""COMPUTED_VALUE"""),"privé sous contrat")</f>
        <v>privé sous contrat</v>
      </c>
      <c r="E175" s="5" t="str">
        <f>IFERROR(__xludf.DUMMYFUNCTION("""COMPUTED_VALUE"""),"LP")</f>
        <v>LP</v>
      </c>
      <c r="F175" s="9"/>
      <c r="G175" s="9">
        <f>IFERROR(__xludf.DUMMYFUNCTION("""COMPUTED_VALUE"""),99.5)</f>
        <v>99.5</v>
      </c>
      <c r="H175" s="9">
        <f>IFERROR(__xludf.DUMMYFUNCTION("""COMPUTED_VALUE"""),99.5)</f>
        <v>99.5</v>
      </c>
    </row>
    <row r="176">
      <c r="A176" s="5" t="str">
        <f>IFERROR(__xludf.DUMMYFUNCTION("""COMPUTED_VALUE"""),"LILLE")</f>
        <v>LILLE</v>
      </c>
      <c r="B176" s="5" t="str">
        <f>IFERROR(__xludf.DUMMYFUNCTION("""COMPUTED_VALUE"""),"LYCEE GENERAL PRIVE INSTITUT D ANCHIN")</f>
        <v>LYCEE GENERAL PRIVE INSTITUT D ANCHIN</v>
      </c>
      <c r="C176" s="5" t="str">
        <f>IFERROR(__xludf.DUMMYFUNCTION("""COMPUTED_VALUE"""),"PECQUENCOURT")</f>
        <v>PECQUENCOURT</v>
      </c>
      <c r="D176" s="5" t="str">
        <f>IFERROR(__xludf.DUMMYFUNCTION("""COMPUTED_VALUE"""),"privé sous contrat")</f>
        <v>privé sous contrat</v>
      </c>
      <c r="E176" s="5" t="str">
        <f>IFERROR(__xludf.DUMMYFUNCTION("""COMPUTED_VALUE"""),"LEGT")</f>
        <v>LEGT</v>
      </c>
      <c r="F176" s="9">
        <f>IFERROR(__xludf.DUMMYFUNCTION("""COMPUTED_VALUE"""),121.8)</f>
        <v>121.8</v>
      </c>
      <c r="G176" s="9"/>
      <c r="H176" s="9">
        <f>IFERROR(__xludf.DUMMYFUNCTION("""COMPUTED_VALUE"""),121.8)</f>
        <v>121.8</v>
      </c>
    </row>
    <row r="177">
      <c r="A177" s="5" t="str">
        <f>IFERROR(__xludf.DUMMYFUNCTION("""COMPUTED_VALUE"""),"LILLE")</f>
        <v>LILLE</v>
      </c>
      <c r="B177" s="5" t="str">
        <f>IFERROR(__xludf.DUMMYFUNCTION("""COMPUTED_VALUE"""),"LYCEE GENERAL ET TECHNOLOGIQUE ANDRE MALRAUX")</f>
        <v>LYCEE GENERAL ET TECHNOLOGIQUE ANDRE MALRAUX</v>
      </c>
      <c r="C177" s="5" t="str">
        <f>IFERROR(__xludf.DUMMYFUNCTION("""COMPUTED_VALUE"""),"BETHUNE")</f>
        <v>BETHUNE</v>
      </c>
      <c r="D177" s="5" t="str">
        <f>IFERROR(__xludf.DUMMYFUNCTION("""COMPUTED_VALUE"""),"public")</f>
        <v>public</v>
      </c>
      <c r="E177" s="5" t="str">
        <f>IFERROR(__xludf.DUMMYFUNCTION("""COMPUTED_VALUE"""),"LEGT")</f>
        <v>LEGT</v>
      </c>
      <c r="F177" s="9">
        <f>IFERROR(__xludf.DUMMYFUNCTION("""COMPUTED_VALUE"""),105.0)</f>
        <v>105</v>
      </c>
      <c r="G177" s="9"/>
      <c r="H177" s="9">
        <f>IFERROR(__xludf.DUMMYFUNCTION("""COMPUTED_VALUE"""),105.0)</f>
        <v>105</v>
      </c>
    </row>
    <row r="178">
      <c r="A178" s="5" t="str">
        <f>IFERROR(__xludf.DUMMYFUNCTION("""COMPUTED_VALUE"""),"LILLE")</f>
        <v>LILLE</v>
      </c>
      <c r="B178" s="5" t="str">
        <f>IFERROR(__xludf.DUMMYFUNCTION("""COMPUTED_VALUE"""),"LYCEE PROFESSIONNEL SALVADOR ALLENDE")</f>
        <v>LYCEE PROFESSIONNEL SALVADOR ALLENDE</v>
      </c>
      <c r="C178" s="5" t="str">
        <f>IFERROR(__xludf.DUMMYFUNCTION("""COMPUTED_VALUE"""),"BETHUNE")</f>
        <v>BETHUNE</v>
      </c>
      <c r="D178" s="5" t="str">
        <f>IFERROR(__xludf.DUMMYFUNCTION("""COMPUTED_VALUE"""),"public")</f>
        <v>public</v>
      </c>
      <c r="E178" s="5" t="str">
        <f>IFERROR(__xludf.DUMMYFUNCTION("""COMPUTED_VALUE"""),"LP")</f>
        <v>LP</v>
      </c>
      <c r="F178" s="9"/>
      <c r="G178" s="9">
        <f>IFERROR(__xludf.DUMMYFUNCTION("""COMPUTED_VALUE"""),75.3)</f>
        <v>75.3</v>
      </c>
      <c r="H178" s="9">
        <f>IFERROR(__xludf.DUMMYFUNCTION("""COMPUTED_VALUE"""),75.3)</f>
        <v>75.3</v>
      </c>
    </row>
    <row r="179">
      <c r="A179" s="5" t="str">
        <f>IFERROR(__xludf.DUMMYFUNCTION("""COMPUTED_VALUE"""),"LILLE")</f>
        <v>LILLE</v>
      </c>
      <c r="B179" s="5" t="str">
        <f>IFERROR(__xludf.DUMMYFUNCTION("""COMPUTED_VALUE"""),"LYCEE GENERAL ET TECHNOLOGIQUE FERNAND DARCHICOURT")</f>
        <v>LYCEE GENERAL ET TECHNOLOGIQUE FERNAND DARCHICOURT</v>
      </c>
      <c r="C179" s="5" t="str">
        <f>IFERROR(__xludf.DUMMYFUNCTION("""COMPUTED_VALUE"""),"HENIN BEAUMONT")</f>
        <v>HENIN BEAUMONT</v>
      </c>
      <c r="D179" s="5" t="str">
        <f>IFERROR(__xludf.DUMMYFUNCTION("""COMPUTED_VALUE"""),"public")</f>
        <v>public</v>
      </c>
      <c r="E179" s="5" t="str">
        <f>IFERROR(__xludf.DUMMYFUNCTION("""COMPUTED_VALUE"""),"LEGT")</f>
        <v>LEGT</v>
      </c>
      <c r="F179" s="9">
        <f>IFERROR(__xludf.DUMMYFUNCTION("""COMPUTED_VALUE"""),97.2)</f>
        <v>97.2</v>
      </c>
      <c r="G179" s="9"/>
      <c r="H179" s="9">
        <f>IFERROR(__xludf.DUMMYFUNCTION("""COMPUTED_VALUE"""),97.2)</f>
        <v>97.2</v>
      </c>
    </row>
    <row r="180">
      <c r="A180" s="5" t="str">
        <f>IFERROR(__xludf.DUMMYFUNCTION("""COMPUTED_VALUE"""),"LILLE")</f>
        <v>LILLE</v>
      </c>
      <c r="B180" s="5" t="str">
        <f>IFERROR(__xludf.DUMMYFUNCTION("""COMPUTED_VALUE"""),"LYCEE GENERAL ET TECHNOLOGIQUE AUGUSTE BEHAL")</f>
        <v>LYCEE GENERAL ET TECHNOLOGIQUE AUGUSTE BEHAL</v>
      </c>
      <c r="C180" s="5" t="str">
        <f>IFERROR(__xludf.DUMMYFUNCTION("""COMPUTED_VALUE"""),"LENS")</f>
        <v>LENS</v>
      </c>
      <c r="D180" s="5" t="str">
        <f>IFERROR(__xludf.DUMMYFUNCTION("""COMPUTED_VALUE"""),"public")</f>
        <v>public</v>
      </c>
      <c r="E180" s="5" t="str">
        <f>IFERROR(__xludf.DUMMYFUNCTION("""COMPUTED_VALUE"""),"LEGT")</f>
        <v>LEGT</v>
      </c>
      <c r="F180" s="9">
        <f>IFERROR(__xludf.DUMMYFUNCTION("""COMPUTED_VALUE"""),82.4)</f>
        <v>82.4</v>
      </c>
      <c r="G180" s="9"/>
      <c r="H180" s="9">
        <f>IFERROR(__xludf.DUMMYFUNCTION("""COMPUTED_VALUE"""),82.4)</f>
        <v>82.4</v>
      </c>
    </row>
    <row r="181">
      <c r="A181" s="5" t="str">
        <f>IFERROR(__xludf.DUMMYFUNCTION("""COMPUTED_VALUE"""),"LILLE")</f>
        <v>LILLE</v>
      </c>
      <c r="B181" s="5" t="str">
        <f>IFERROR(__xludf.DUMMYFUNCTION("""COMPUTED_VALUE"""),"LYCEE PROFESSIONNEL DES DEUX CAPS")</f>
        <v>LYCEE PROFESSIONNEL DES DEUX CAPS</v>
      </c>
      <c r="C181" s="5" t="str">
        <f>IFERROR(__xludf.DUMMYFUNCTION("""COMPUTED_VALUE"""),"MARQUISE")</f>
        <v>MARQUISE</v>
      </c>
      <c r="D181" s="5" t="str">
        <f>IFERROR(__xludf.DUMMYFUNCTION("""COMPUTED_VALUE"""),"public")</f>
        <v>public</v>
      </c>
      <c r="E181" s="5" t="str">
        <f>IFERROR(__xludf.DUMMYFUNCTION("""COMPUTED_VALUE"""),"LP")</f>
        <v>LP</v>
      </c>
      <c r="F181" s="9"/>
      <c r="G181" s="9">
        <f>IFERROR(__xludf.DUMMYFUNCTION("""COMPUTED_VALUE"""),74.0)</f>
        <v>74</v>
      </c>
      <c r="H181" s="9">
        <f>IFERROR(__xludf.DUMMYFUNCTION("""COMPUTED_VALUE"""),74.0)</f>
        <v>74</v>
      </c>
    </row>
    <row r="182">
      <c r="A182" s="5" t="str">
        <f>IFERROR(__xludf.DUMMYFUNCTION("""COMPUTED_VALUE"""),"LILLE")</f>
        <v>LILLE</v>
      </c>
      <c r="B182" s="5" t="str">
        <f>IFERROR(__xludf.DUMMYFUNCTION("""COMPUTED_VALUE"""),"LYCEE POLYVALENT EUGENE WOILLEZ")</f>
        <v>LYCEE POLYVALENT EUGENE WOILLEZ</v>
      </c>
      <c r="C182" s="5" t="str">
        <f>IFERROR(__xludf.DUMMYFUNCTION("""COMPUTED_VALUE"""),"MONTREUIL")</f>
        <v>MONTREUIL</v>
      </c>
      <c r="D182" s="5" t="str">
        <f>IFERROR(__xludf.DUMMYFUNCTION("""COMPUTED_VALUE"""),"public")</f>
        <v>public</v>
      </c>
      <c r="E182" s="5" t="str">
        <f>IFERROR(__xludf.DUMMYFUNCTION("""COMPUTED_VALUE"""),"LPO")</f>
        <v>LPO</v>
      </c>
      <c r="F182" s="9">
        <f>IFERROR(__xludf.DUMMYFUNCTION("""COMPUTED_VALUE"""),109.7)</f>
        <v>109.7</v>
      </c>
      <c r="G182" s="9">
        <f>IFERROR(__xludf.DUMMYFUNCTION("""COMPUTED_VALUE"""),83.6)</f>
        <v>83.6</v>
      </c>
      <c r="H182" s="9">
        <f>IFERROR(__xludf.DUMMYFUNCTION("""COMPUTED_VALUE"""),105.6)</f>
        <v>105.6</v>
      </c>
    </row>
    <row r="183">
      <c r="A183" s="5" t="str">
        <f>IFERROR(__xludf.DUMMYFUNCTION("""COMPUTED_VALUE"""),"LILLE")</f>
        <v>LILLE</v>
      </c>
      <c r="B183" s="5" t="str">
        <f>IFERROR(__xludf.DUMMYFUNCTION("""COMPUTED_VALUE"""),"LYCEE PROFESSIONNEL IRENE JOLIOT CURIE")</f>
        <v>LYCEE PROFESSIONNEL IRENE JOLIOT CURIE</v>
      </c>
      <c r="C183" s="5" t="str">
        <f>IFERROR(__xludf.DUMMYFUNCTION("""COMPUTED_VALUE"""),"OIGNIES")</f>
        <v>OIGNIES</v>
      </c>
      <c r="D183" s="5" t="str">
        <f>IFERROR(__xludf.DUMMYFUNCTION("""COMPUTED_VALUE"""),"public")</f>
        <v>public</v>
      </c>
      <c r="E183" s="5" t="str">
        <f>IFERROR(__xludf.DUMMYFUNCTION("""COMPUTED_VALUE"""),"LP")</f>
        <v>LP</v>
      </c>
      <c r="F183" s="9"/>
      <c r="G183" s="9">
        <f>IFERROR(__xludf.DUMMYFUNCTION("""COMPUTED_VALUE"""),71.0)</f>
        <v>71</v>
      </c>
      <c r="H183" s="9">
        <f>IFERROR(__xludf.DUMMYFUNCTION("""COMPUTED_VALUE"""),71.0)</f>
        <v>71</v>
      </c>
    </row>
    <row r="184">
      <c r="A184" s="5" t="str">
        <f>IFERROR(__xludf.DUMMYFUNCTION("""COMPUTED_VALUE"""),"LILLE")</f>
        <v>LILLE</v>
      </c>
      <c r="B184" s="5" t="str">
        <f>IFERROR(__xludf.DUMMYFUNCTION("""COMPUTED_VALUE"""),"LYCEE PROFESSIONNEL DU PAYS DE SAINT OMER")</f>
        <v>LYCEE PROFESSIONNEL DU PAYS DE SAINT OMER</v>
      </c>
      <c r="C184" s="5" t="str">
        <f>IFERROR(__xludf.DUMMYFUNCTION("""COMPUTED_VALUE"""),"SAINT OMER")</f>
        <v>SAINT OMER</v>
      </c>
      <c r="D184" s="5" t="str">
        <f>IFERROR(__xludf.DUMMYFUNCTION("""COMPUTED_VALUE"""),"public")</f>
        <v>public</v>
      </c>
      <c r="E184" s="5" t="str">
        <f>IFERROR(__xludf.DUMMYFUNCTION("""COMPUTED_VALUE"""),"LP")</f>
        <v>LP</v>
      </c>
      <c r="F184" s="9"/>
      <c r="G184" s="9">
        <f>IFERROR(__xludf.DUMMYFUNCTION("""COMPUTED_VALUE"""),76.1)</f>
        <v>76.1</v>
      </c>
      <c r="H184" s="9">
        <f>IFERROR(__xludf.DUMMYFUNCTION("""COMPUTED_VALUE"""),76.1)</f>
        <v>76.1</v>
      </c>
    </row>
    <row r="185">
      <c r="A185" s="5" t="str">
        <f>IFERROR(__xludf.DUMMYFUNCTION("""COMPUTED_VALUE"""),"LILLE")</f>
        <v>LILLE</v>
      </c>
      <c r="B185" s="5" t="str">
        <f>IFERROR(__xludf.DUMMYFUNCTION("""COMPUTED_VALUE"""),"LYCEE GENERAL ET TECHNOLOGIQUE PRIVE SAINT PIERRE")</f>
        <v>LYCEE GENERAL ET TECHNOLOGIQUE PRIVE SAINT PIERRE</v>
      </c>
      <c r="C185" s="5" t="str">
        <f>IFERROR(__xludf.DUMMYFUNCTION("""COMPUTED_VALUE"""),"CALAIS")</f>
        <v>CALAIS</v>
      </c>
      <c r="D185" s="5" t="str">
        <f>IFERROR(__xludf.DUMMYFUNCTION("""COMPUTED_VALUE"""),"privé sous contrat")</f>
        <v>privé sous contrat</v>
      </c>
      <c r="E185" s="5" t="str">
        <f>IFERROR(__xludf.DUMMYFUNCTION("""COMPUTED_VALUE"""),"LEGT")</f>
        <v>LEGT</v>
      </c>
      <c r="F185" s="9">
        <f>IFERROR(__xludf.DUMMYFUNCTION("""COMPUTED_VALUE"""),122.9)</f>
        <v>122.9</v>
      </c>
      <c r="G185" s="9"/>
      <c r="H185" s="9">
        <f>IFERROR(__xludf.DUMMYFUNCTION("""COMPUTED_VALUE"""),122.9)</f>
        <v>122.9</v>
      </c>
    </row>
    <row r="186">
      <c r="A186" s="5" t="str">
        <f>IFERROR(__xludf.DUMMYFUNCTION("""COMPUTED_VALUE"""),"LILLE")</f>
        <v>LILLE</v>
      </c>
      <c r="B186" s="5" t="str">
        <f>IFERROR(__xludf.DUMMYFUNCTION("""COMPUTED_VALUE"""),"LYCEE POLYVALENT PRIVE JEAN BOSCO")</f>
        <v>LYCEE POLYVALENT PRIVE JEAN BOSCO</v>
      </c>
      <c r="C186" s="5" t="str">
        <f>IFERROR(__xludf.DUMMYFUNCTION("""COMPUTED_VALUE"""),"GUINES")</f>
        <v>GUINES</v>
      </c>
      <c r="D186" s="5" t="str">
        <f>IFERROR(__xludf.DUMMYFUNCTION("""COMPUTED_VALUE"""),"privé sous contrat")</f>
        <v>privé sous contrat</v>
      </c>
      <c r="E186" s="5" t="str">
        <f>IFERROR(__xludf.DUMMYFUNCTION("""COMPUTED_VALUE"""),"LPO")</f>
        <v>LPO</v>
      </c>
      <c r="F186" s="9">
        <f>IFERROR(__xludf.DUMMYFUNCTION("""COMPUTED_VALUE"""),95.0)</f>
        <v>95</v>
      </c>
      <c r="G186" s="9">
        <f>IFERROR(__xludf.DUMMYFUNCTION("""COMPUTED_VALUE"""),78.6)</f>
        <v>78.6</v>
      </c>
      <c r="H186" s="9">
        <f>IFERROR(__xludf.DUMMYFUNCTION("""COMPUTED_VALUE"""),80.8)</f>
        <v>80.8</v>
      </c>
    </row>
    <row r="187">
      <c r="A187" s="5" t="str">
        <f>IFERROR(__xludf.DUMMYFUNCTION("""COMPUTED_VALUE"""),"LILLE")</f>
        <v>LILLE</v>
      </c>
      <c r="B187" s="5" t="str">
        <f>IFERROR(__xludf.DUMMYFUNCTION("""COMPUTED_VALUE"""),"LYCEE PROFESSIONNEL PRIVE SAINT JOSEPH LYCEE DES METIERS MANAGEMENT GESTION COMMUNICATION")</f>
        <v>LYCEE PROFESSIONNEL PRIVE SAINT JOSEPH LYCEE DES METIERS MANAGEMENT GESTION COMMUNICATION</v>
      </c>
      <c r="C187" s="5" t="str">
        <f>IFERROR(__xludf.DUMMYFUNCTION("""COMPUTED_VALUE"""),"ETAPLES")</f>
        <v>ETAPLES</v>
      </c>
      <c r="D187" s="5" t="str">
        <f>IFERROR(__xludf.DUMMYFUNCTION("""COMPUTED_VALUE"""),"privé sous contrat")</f>
        <v>privé sous contrat</v>
      </c>
      <c r="E187" s="5" t="str">
        <f>IFERROR(__xludf.DUMMYFUNCTION("""COMPUTED_VALUE"""),"LP")</f>
        <v>LP</v>
      </c>
      <c r="F187" s="9"/>
      <c r="G187" s="9">
        <f>IFERROR(__xludf.DUMMYFUNCTION("""COMPUTED_VALUE"""),87.8)</f>
        <v>87.8</v>
      </c>
      <c r="H187" s="9">
        <f>IFERROR(__xludf.DUMMYFUNCTION("""COMPUTED_VALUE"""),87.8)</f>
        <v>87.8</v>
      </c>
    </row>
    <row r="188">
      <c r="A188" s="5" t="str">
        <f>IFERROR(__xludf.DUMMYFUNCTION("""COMPUTED_VALUE"""),"LILLE")</f>
        <v>LILLE</v>
      </c>
      <c r="B188" s="5" t="str">
        <f>IFERROR(__xludf.DUMMYFUNCTION("""COMPUTED_VALUE"""),"LYCEE PROFESSIONNEL PRIVE SAINTE MARIE")</f>
        <v>LYCEE PROFESSIONNEL PRIVE SAINTE MARIE</v>
      </c>
      <c r="C188" s="5" t="str">
        <f>IFERROR(__xludf.DUMMYFUNCTION("""COMPUTED_VALUE"""),"FRUGES")</f>
        <v>FRUGES</v>
      </c>
      <c r="D188" s="5" t="str">
        <f>IFERROR(__xludf.DUMMYFUNCTION("""COMPUTED_VALUE"""),"privé sous contrat")</f>
        <v>privé sous contrat</v>
      </c>
      <c r="E188" s="5" t="str">
        <f>IFERROR(__xludf.DUMMYFUNCTION("""COMPUTED_VALUE"""),"LP")</f>
        <v>LP</v>
      </c>
      <c r="F188" s="9"/>
      <c r="G188" s="9">
        <f>IFERROR(__xludf.DUMMYFUNCTION("""COMPUTED_VALUE"""),92.3)</f>
        <v>92.3</v>
      </c>
      <c r="H188" s="9">
        <f>IFERROR(__xludf.DUMMYFUNCTION("""COMPUTED_VALUE"""),92.3)</f>
        <v>92.3</v>
      </c>
    </row>
    <row r="189">
      <c r="A189" s="5" t="str">
        <f>IFERROR(__xludf.DUMMYFUNCTION("""COMPUTED_VALUE"""),"LILLE")</f>
        <v>LILLE</v>
      </c>
      <c r="B189" s="5" t="str">
        <f>IFERROR(__xludf.DUMMYFUNCTION("""COMPUTED_VALUE"""),"LYCEE POLYVALENT PRIVE SAINT JOSEPH LYCEE DES METIERS DES ENERGIES DU NUMERIQUE ET DE L AUTOMATION MANAGEMENT GESTION COMMUNICATION SANTE SOCIAL")</f>
        <v>LYCEE POLYVALENT PRIVE SAINT JOSEPH LYCEE DES METIERS DES ENERGIES DU NUMERIQUE ET DE L AUTOMATION MANAGEMENT GESTION COMMUNICATION SANTE SOCIAL</v>
      </c>
      <c r="C189" s="5" t="str">
        <f>IFERROR(__xludf.DUMMYFUNCTION("""COMPUTED_VALUE"""),"SAINT MARTIN BOULOGNE")</f>
        <v>SAINT MARTIN BOULOGNE</v>
      </c>
      <c r="D189" s="5" t="str">
        <f>IFERROR(__xludf.DUMMYFUNCTION("""COMPUTED_VALUE"""),"privé sous contrat")</f>
        <v>privé sous contrat</v>
      </c>
      <c r="E189" s="5" t="str">
        <f>IFERROR(__xludf.DUMMYFUNCTION("""COMPUTED_VALUE"""),"LPO")</f>
        <v>LPO</v>
      </c>
      <c r="F189" s="9">
        <f>IFERROR(__xludf.DUMMYFUNCTION("""COMPUTED_VALUE"""),109.9)</f>
        <v>109.9</v>
      </c>
      <c r="G189" s="9">
        <f>IFERROR(__xludf.DUMMYFUNCTION("""COMPUTED_VALUE"""),92.5)</f>
        <v>92.5</v>
      </c>
      <c r="H189" s="9">
        <f>IFERROR(__xludf.DUMMYFUNCTION("""COMPUTED_VALUE"""),104.1)</f>
        <v>104.1</v>
      </c>
    </row>
    <row r="190">
      <c r="A190" s="5" t="str">
        <f>IFERROR(__xludf.DUMMYFUNCTION("""COMPUTED_VALUE"""),"LILLE")</f>
        <v>LILLE</v>
      </c>
      <c r="B190" s="5" t="str">
        <f>IFERROR(__xludf.DUMMYFUNCTION("""COMPUTED_VALUE"""),"LYCEE POLYVALENT HOTELIER")</f>
        <v>LYCEE POLYVALENT HOTELIER</v>
      </c>
      <c r="C190" s="5" t="str">
        <f>IFERROR(__xludf.DUMMYFUNCTION("""COMPUTED_VALUE"""),"LE TOUQUET PARIS PLAGE")</f>
        <v>LE TOUQUET PARIS PLAGE</v>
      </c>
      <c r="D190" s="5" t="str">
        <f>IFERROR(__xludf.DUMMYFUNCTION("""COMPUTED_VALUE"""),"public")</f>
        <v>public</v>
      </c>
      <c r="E190" s="5" t="str">
        <f>IFERROR(__xludf.DUMMYFUNCTION("""COMPUTED_VALUE"""),"LPO")</f>
        <v>LPO</v>
      </c>
      <c r="F190" s="9">
        <f>IFERROR(__xludf.DUMMYFUNCTION("""COMPUTED_VALUE"""),120.1)</f>
        <v>120.1</v>
      </c>
      <c r="G190" s="9">
        <f>IFERROR(__xludf.DUMMYFUNCTION("""COMPUTED_VALUE"""),109.1)</f>
        <v>109.1</v>
      </c>
      <c r="H190" s="9">
        <f>IFERROR(__xludf.DUMMYFUNCTION("""COMPUTED_VALUE"""),114.0)</f>
        <v>114</v>
      </c>
    </row>
    <row r="191">
      <c r="A191" s="5" t="str">
        <f>IFERROR(__xludf.DUMMYFUNCTION("""COMPUTED_VALUE"""),"LILLE")</f>
        <v>LILLE</v>
      </c>
      <c r="B191" s="5" t="str">
        <f>IFERROR(__xludf.DUMMYFUNCTION("""COMPUTED_VALUE"""),"LYCEE GENERAL ET TECHNOLOGIQUE MARIETTE")</f>
        <v>LYCEE GENERAL ET TECHNOLOGIQUE MARIETTE</v>
      </c>
      <c r="C191" s="5" t="str">
        <f>IFERROR(__xludf.DUMMYFUNCTION("""COMPUTED_VALUE"""),"BOULOGNE SUR MER")</f>
        <v>BOULOGNE SUR MER</v>
      </c>
      <c r="D191" s="5" t="str">
        <f>IFERROR(__xludf.DUMMYFUNCTION("""COMPUTED_VALUE"""),"public")</f>
        <v>public</v>
      </c>
      <c r="E191" s="5" t="str">
        <f>IFERROR(__xludf.DUMMYFUNCTION("""COMPUTED_VALUE"""),"LEGT")</f>
        <v>LEGT</v>
      </c>
      <c r="F191" s="9">
        <f>IFERROR(__xludf.DUMMYFUNCTION("""COMPUTED_VALUE"""),103.0)</f>
        <v>103</v>
      </c>
      <c r="G191" s="9"/>
      <c r="H191" s="9">
        <f>IFERROR(__xludf.DUMMYFUNCTION("""COMPUTED_VALUE"""),103.0)</f>
        <v>103</v>
      </c>
    </row>
    <row r="192">
      <c r="A192" s="5" t="str">
        <f>IFERROR(__xludf.DUMMYFUNCTION("""COMPUTED_VALUE"""),"LILLE")</f>
        <v>LILLE</v>
      </c>
      <c r="B192" s="5" t="str">
        <f>IFERROR(__xludf.DUMMYFUNCTION("""COMPUTED_VALUE"""),"LYCEE POLYVALENT MARGUERITE YOURCENAR LYCEE DES METIERS DE LA PERSONNE SANTE SOCIAL ET DE L HOTELLERIE RESTAURATION")</f>
        <v>LYCEE POLYVALENT MARGUERITE YOURCENAR LYCEE DES METIERS DE LA PERSONNE SANTE SOCIAL ET DE L HOTELLERIE RESTAURATION</v>
      </c>
      <c r="C192" s="5" t="str">
        <f>IFERROR(__xludf.DUMMYFUNCTION("""COMPUTED_VALUE"""),"BEUVRY")</f>
        <v>BEUVRY</v>
      </c>
      <c r="D192" s="5" t="str">
        <f>IFERROR(__xludf.DUMMYFUNCTION("""COMPUTED_VALUE"""),"public")</f>
        <v>public</v>
      </c>
      <c r="E192" s="5" t="str">
        <f>IFERROR(__xludf.DUMMYFUNCTION("""COMPUTED_VALUE"""),"LPO")</f>
        <v>LPO</v>
      </c>
      <c r="F192" s="9">
        <f>IFERROR(__xludf.DUMMYFUNCTION("""COMPUTED_VALUE"""),97.2)</f>
        <v>97.2</v>
      </c>
      <c r="G192" s="9">
        <f>IFERROR(__xludf.DUMMYFUNCTION("""COMPUTED_VALUE"""),78.7)</f>
        <v>78.7</v>
      </c>
      <c r="H192" s="9">
        <f>IFERROR(__xludf.DUMMYFUNCTION("""COMPUTED_VALUE"""),91.7)</f>
        <v>91.7</v>
      </c>
    </row>
    <row r="193">
      <c r="A193" s="5" t="str">
        <f>IFERROR(__xludf.DUMMYFUNCTION("""COMPUTED_VALUE"""),"LILLE")</f>
        <v>LILLE</v>
      </c>
      <c r="B193" s="5" t="str">
        <f>IFERROR(__xludf.DUMMYFUNCTION("""COMPUTED_VALUE"""),"LYCEE GENERAL ET TECHNOLOGIQUE VOLTAIRE")</f>
        <v>LYCEE GENERAL ET TECHNOLOGIQUE VOLTAIRE</v>
      </c>
      <c r="C193" s="5" t="str">
        <f>IFERROR(__xludf.DUMMYFUNCTION("""COMPUTED_VALUE"""),"WINGLES")</f>
        <v>WINGLES</v>
      </c>
      <c r="D193" s="5" t="str">
        <f>IFERROR(__xludf.DUMMYFUNCTION("""COMPUTED_VALUE"""),"public")</f>
        <v>public</v>
      </c>
      <c r="E193" s="5" t="str">
        <f>IFERROR(__xludf.DUMMYFUNCTION("""COMPUTED_VALUE"""),"LEGT")</f>
        <v>LEGT</v>
      </c>
      <c r="F193" s="9">
        <f>IFERROR(__xludf.DUMMYFUNCTION("""COMPUTED_VALUE"""),109.4)</f>
        <v>109.4</v>
      </c>
      <c r="G193" s="9"/>
      <c r="H193" s="9">
        <f>IFERROR(__xludf.DUMMYFUNCTION("""COMPUTED_VALUE"""),109.4)</f>
        <v>109.4</v>
      </c>
    </row>
    <row r="194">
      <c r="A194" s="5" t="str">
        <f>IFERROR(__xludf.DUMMYFUNCTION("""COMPUTED_VALUE"""),"LILLE")</f>
        <v>LILLE</v>
      </c>
      <c r="B194" s="5" t="str">
        <f>IFERROR(__xludf.DUMMYFUNCTION("""COMPUTED_VALUE"""),"LYCEE POLYVALENT JOSEPH MARIE JACQUARD")</f>
        <v>LYCEE POLYVALENT JOSEPH MARIE JACQUARD</v>
      </c>
      <c r="C194" s="5" t="str">
        <f>IFERROR(__xludf.DUMMYFUNCTION("""COMPUTED_VALUE"""),"CAUDRY")</f>
        <v>CAUDRY</v>
      </c>
      <c r="D194" s="5" t="str">
        <f>IFERROR(__xludf.DUMMYFUNCTION("""COMPUTED_VALUE"""),"public")</f>
        <v>public</v>
      </c>
      <c r="E194" s="5" t="str">
        <f>IFERROR(__xludf.DUMMYFUNCTION("""COMPUTED_VALUE"""),"LPO")</f>
        <v>LPO</v>
      </c>
      <c r="F194" s="9">
        <f>IFERROR(__xludf.DUMMYFUNCTION("""COMPUTED_VALUE"""),90.1)</f>
        <v>90.1</v>
      </c>
      <c r="G194" s="9">
        <f>IFERROR(__xludf.DUMMYFUNCTION("""COMPUTED_VALUE"""),70.0)</f>
        <v>70</v>
      </c>
      <c r="H194" s="9">
        <f>IFERROR(__xludf.DUMMYFUNCTION("""COMPUTED_VALUE"""),82.6)</f>
        <v>82.6</v>
      </c>
    </row>
    <row r="195">
      <c r="A195" s="5" t="str">
        <f>IFERROR(__xludf.DUMMYFUNCTION("""COMPUTED_VALUE"""),"LILLE")</f>
        <v>LILLE</v>
      </c>
      <c r="B195" s="5" t="str">
        <f>IFERROR(__xludf.DUMMYFUNCTION("""COMPUTED_VALUE"""),"LYCEE GENERAL ET TECHNOLOGIQUE ALFRED KASTLER")</f>
        <v>LYCEE GENERAL ET TECHNOLOGIQUE ALFRED KASTLER</v>
      </c>
      <c r="C195" s="5" t="str">
        <f>IFERROR(__xludf.DUMMYFUNCTION("""COMPUTED_VALUE"""),"DENAIN")</f>
        <v>DENAIN</v>
      </c>
      <c r="D195" s="5" t="str">
        <f>IFERROR(__xludf.DUMMYFUNCTION("""COMPUTED_VALUE"""),"public")</f>
        <v>public</v>
      </c>
      <c r="E195" s="5" t="str">
        <f>IFERROR(__xludf.DUMMYFUNCTION("""COMPUTED_VALUE"""),"LEGT")</f>
        <v>LEGT</v>
      </c>
      <c r="F195" s="9">
        <f>IFERROR(__xludf.DUMMYFUNCTION("""COMPUTED_VALUE"""),86.8)</f>
        <v>86.8</v>
      </c>
      <c r="G195" s="9"/>
      <c r="H195" s="9">
        <f>IFERROR(__xludf.DUMMYFUNCTION("""COMPUTED_VALUE"""),86.8)</f>
        <v>86.8</v>
      </c>
    </row>
    <row r="196">
      <c r="A196" s="5" t="str">
        <f>IFERROR(__xludf.DUMMYFUNCTION("""COMPUTED_VALUE"""),"LILLE")</f>
        <v>LILLE</v>
      </c>
      <c r="B196" s="5" t="str">
        <f>IFERROR(__xludf.DUMMYFUNCTION("""COMPUTED_VALUE"""),"LYCEE GENERAL ET TECHNOLOGIQUE JEAN BART")</f>
        <v>LYCEE GENERAL ET TECHNOLOGIQUE JEAN BART</v>
      </c>
      <c r="C196" s="5" t="str">
        <f>IFERROR(__xludf.DUMMYFUNCTION("""COMPUTED_VALUE"""),"DUNKERQUE")</f>
        <v>DUNKERQUE</v>
      </c>
      <c r="D196" s="5" t="str">
        <f>IFERROR(__xludf.DUMMYFUNCTION("""COMPUTED_VALUE"""),"public")</f>
        <v>public</v>
      </c>
      <c r="E196" s="5" t="str">
        <f>IFERROR(__xludf.DUMMYFUNCTION("""COMPUTED_VALUE"""),"LEGT")</f>
        <v>LEGT</v>
      </c>
      <c r="F196" s="9">
        <f>IFERROR(__xludf.DUMMYFUNCTION("""COMPUTED_VALUE"""),108.7)</f>
        <v>108.7</v>
      </c>
      <c r="G196" s="9"/>
      <c r="H196" s="9">
        <f>IFERROR(__xludf.DUMMYFUNCTION("""COMPUTED_VALUE"""),108.7)</f>
        <v>108.7</v>
      </c>
    </row>
    <row r="197">
      <c r="A197" s="5" t="str">
        <f>IFERROR(__xludf.DUMMYFUNCTION("""COMPUTED_VALUE"""),"LILLE")</f>
        <v>LILLE</v>
      </c>
      <c r="B197" s="5" t="str">
        <f>IFERROR(__xludf.DUMMYFUNCTION("""COMPUTED_VALUE"""),"LYCEE GENERAL ET TECHNOLOGIQUE MAXENCE VAN DER MEERSCH")</f>
        <v>LYCEE GENERAL ET TECHNOLOGIQUE MAXENCE VAN DER MEERSCH</v>
      </c>
      <c r="C197" s="5" t="str">
        <f>IFERROR(__xludf.DUMMYFUNCTION("""COMPUTED_VALUE"""),"ROUBAIX")</f>
        <v>ROUBAIX</v>
      </c>
      <c r="D197" s="5" t="str">
        <f>IFERROR(__xludf.DUMMYFUNCTION("""COMPUTED_VALUE"""),"public")</f>
        <v>public</v>
      </c>
      <c r="E197" s="5" t="str">
        <f>IFERROR(__xludf.DUMMYFUNCTION("""COMPUTED_VALUE"""),"LEGT")</f>
        <v>LEGT</v>
      </c>
      <c r="F197" s="9">
        <f>IFERROR(__xludf.DUMMYFUNCTION("""COMPUTED_VALUE"""),88.2)</f>
        <v>88.2</v>
      </c>
      <c r="G197" s="9"/>
      <c r="H197" s="9">
        <f>IFERROR(__xludf.DUMMYFUNCTION("""COMPUTED_VALUE"""),88.2)</f>
        <v>88.2</v>
      </c>
    </row>
    <row r="198">
      <c r="A198" s="5" t="str">
        <f>IFERROR(__xludf.DUMMYFUNCTION("""COMPUTED_VALUE"""),"LILLE")</f>
        <v>LILLE</v>
      </c>
      <c r="B198" s="5" t="str">
        <f>IFERROR(__xludf.DUMMYFUNCTION("""COMPUTED_VALUE"""),"LYCEE GENERAL ET TECHNOLOGIQUE LOUIS PASTEUR")</f>
        <v>LYCEE GENERAL ET TECHNOLOGIQUE LOUIS PASTEUR</v>
      </c>
      <c r="C198" s="5" t="str">
        <f>IFERROR(__xludf.DUMMYFUNCTION("""COMPUTED_VALUE"""),"SOMAIN")</f>
        <v>SOMAIN</v>
      </c>
      <c r="D198" s="5" t="str">
        <f>IFERROR(__xludf.DUMMYFUNCTION("""COMPUTED_VALUE"""),"public")</f>
        <v>public</v>
      </c>
      <c r="E198" s="5" t="str">
        <f>IFERROR(__xludf.DUMMYFUNCTION("""COMPUTED_VALUE"""),"LEGT")</f>
        <v>LEGT</v>
      </c>
      <c r="F198" s="9">
        <f>IFERROR(__xludf.DUMMYFUNCTION("""COMPUTED_VALUE"""),101.4)</f>
        <v>101.4</v>
      </c>
      <c r="G198" s="9"/>
      <c r="H198" s="9">
        <f>IFERROR(__xludf.DUMMYFUNCTION("""COMPUTED_VALUE"""),101.4)</f>
        <v>101.4</v>
      </c>
    </row>
    <row r="199">
      <c r="A199" s="5" t="str">
        <f>IFERROR(__xludf.DUMMYFUNCTION("""COMPUTED_VALUE"""),"LILLE")</f>
        <v>LILLE</v>
      </c>
      <c r="B199" s="5" t="str">
        <f>IFERROR(__xludf.DUMMYFUNCTION("""COMPUTED_VALUE"""),"LYCEE GENERAL ET TECHNOLOGIQUE GASTON BERGER")</f>
        <v>LYCEE GENERAL ET TECHNOLOGIQUE GASTON BERGER</v>
      </c>
      <c r="C199" s="5" t="str">
        <f>IFERROR(__xludf.DUMMYFUNCTION("""COMPUTED_VALUE"""),"LILLE")</f>
        <v>LILLE</v>
      </c>
      <c r="D199" s="5" t="str">
        <f>IFERROR(__xludf.DUMMYFUNCTION("""COMPUTED_VALUE"""),"public")</f>
        <v>public</v>
      </c>
      <c r="E199" s="5" t="str">
        <f>IFERROR(__xludf.DUMMYFUNCTION("""COMPUTED_VALUE"""),"LEGT")</f>
        <v>LEGT</v>
      </c>
      <c r="F199" s="9">
        <f>IFERROR(__xludf.DUMMYFUNCTION("""COMPUTED_VALUE"""),85.7)</f>
        <v>85.7</v>
      </c>
      <c r="G199" s="9"/>
      <c r="H199" s="9">
        <f>IFERROR(__xludf.DUMMYFUNCTION("""COMPUTED_VALUE"""),85.7)</f>
        <v>85.7</v>
      </c>
    </row>
    <row r="200">
      <c r="A200" s="5" t="str">
        <f>IFERROR(__xludf.DUMMYFUNCTION("""COMPUTED_VALUE"""),"LILLE")</f>
        <v>LILLE</v>
      </c>
      <c r="B200" s="5" t="str">
        <f>IFERROR(__xludf.DUMMYFUNCTION("""COMPUTED_VALUE"""),"LYCEE PROFESSIONNEL FERNAND LEGER")</f>
        <v>LYCEE PROFESSIONNEL FERNAND LEGER</v>
      </c>
      <c r="C200" s="5" t="str">
        <f>IFERROR(__xludf.DUMMYFUNCTION("""COMPUTED_VALUE"""),"COUDEKERQUE BRANCHE")</f>
        <v>COUDEKERQUE BRANCHE</v>
      </c>
      <c r="D200" s="5" t="str">
        <f>IFERROR(__xludf.DUMMYFUNCTION("""COMPUTED_VALUE"""),"public")</f>
        <v>public</v>
      </c>
      <c r="E200" s="5" t="str">
        <f>IFERROR(__xludf.DUMMYFUNCTION("""COMPUTED_VALUE"""),"LP")</f>
        <v>LP</v>
      </c>
      <c r="F200" s="9"/>
      <c r="G200" s="9">
        <f>IFERROR(__xludf.DUMMYFUNCTION("""COMPUTED_VALUE"""),77.2)</f>
        <v>77.2</v>
      </c>
      <c r="H200" s="9">
        <f>IFERROR(__xludf.DUMMYFUNCTION("""COMPUTED_VALUE"""),77.2)</f>
        <v>77.2</v>
      </c>
    </row>
    <row r="201">
      <c r="A201" s="5" t="str">
        <f>IFERROR(__xludf.DUMMYFUNCTION("""COMPUTED_VALUE"""),"LILLE")</f>
        <v>LILLE</v>
      </c>
      <c r="B201" s="5" t="str">
        <f>IFERROR(__xludf.DUMMYFUNCTION("""COMPUTED_VALUE"""),"LYCEE GENERAL ET TECHNOLOGIQUE JULES MOUSSERON")</f>
        <v>LYCEE GENERAL ET TECHNOLOGIQUE JULES MOUSSERON</v>
      </c>
      <c r="C201" s="5" t="str">
        <f>IFERROR(__xludf.DUMMYFUNCTION("""COMPUTED_VALUE"""),"DENAIN")</f>
        <v>DENAIN</v>
      </c>
      <c r="D201" s="5" t="str">
        <f>IFERROR(__xludf.DUMMYFUNCTION("""COMPUTED_VALUE"""),"public")</f>
        <v>public</v>
      </c>
      <c r="E201" s="5" t="str">
        <f>IFERROR(__xludf.DUMMYFUNCTION("""COMPUTED_VALUE"""),"LEGT")</f>
        <v>LEGT</v>
      </c>
      <c r="F201" s="9">
        <f>IFERROR(__xludf.DUMMYFUNCTION("""COMPUTED_VALUE"""),88.5)</f>
        <v>88.5</v>
      </c>
      <c r="G201" s="9"/>
      <c r="H201" s="9">
        <f>IFERROR(__xludf.DUMMYFUNCTION("""COMPUTED_VALUE"""),88.5)</f>
        <v>88.5</v>
      </c>
    </row>
    <row r="202">
      <c r="A202" s="5" t="str">
        <f>IFERROR(__xludf.DUMMYFUNCTION("""COMPUTED_VALUE"""),"LILLE")</f>
        <v>LILLE</v>
      </c>
      <c r="B202" s="5" t="str">
        <f>IFERROR(__xludf.DUMMYFUNCTION("""COMPUTED_VALUE"""),"LYCEE PROFESSIONNEL LOUIS BLERIOT")</f>
        <v>LYCEE PROFESSIONNEL LOUIS BLERIOT</v>
      </c>
      <c r="C202" s="5" t="str">
        <f>IFERROR(__xludf.DUMMYFUNCTION("""COMPUTED_VALUE"""),"CAMBRAI")</f>
        <v>CAMBRAI</v>
      </c>
      <c r="D202" s="5" t="str">
        <f>IFERROR(__xludf.DUMMYFUNCTION("""COMPUTED_VALUE"""),"public")</f>
        <v>public</v>
      </c>
      <c r="E202" s="5" t="str">
        <f>IFERROR(__xludf.DUMMYFUNCTION("""COMPUTED_VALUE"""),"LP")</f>
        <v>LP</v>
      </c>
      <c r="F202" s="9"/>
      <c r="G202" s="9">
        <f>IFERROR(__xludf.DUMMYFUNCTION("""COMPUTED_VALUE"""),73.1)</f>
        <v>73.1</v>
      </c>
      <c r="H202" s="9">
        <f>IFERROR(__xludf.DUMMYFUNCTION("""COMPUTED_VALUE"""),73.1)</f>
        <v>73.1</v>
      </c>
    </row>
    <row r="203">
      <c r="A203" s="5" t="str">
        <f>IFERROR(__xludf.DUMMYFUNCTION("""COMPUTED_VALUE"""),"LILLE")</f>
        <v>LILLE</v>
      </c>
      <c r="B203" s="5" t="str">
        <f>IFERROR(__xludf.DUMMYFUNCTION("""COMPUTED_VALUE"""),"LYCEE PROFESSIONNEL LOUIS ARMAND")</f>
        <v>LYCEE PROFESSIONNEL LOUIS ARMAND</v>
      </c>
      <c r="C203" s="5" t="str">
        <f>IFERROR(__xludf.DUMMYFUNCTION("""COMPUTED_VALUE"""),"JEUMONT")</f>
        <v>JEUMONT</v>
      </c>
      <c r="D203" s="5" t="str">
        <f>IFERROR(__xludf.DUMMYFUNCTION("""COMPUTED_VALUE"""),"public")</f>
        <v>public</v>
      </c>
      <c r="E203" s="5" t="str">
        <f>IFERROR(__xludf.DUMMYFUNCTION("""COMPUTED_VALUE"""),"LP")</f>
        <v>LP</v>
      </c>
      <c r="F203" s="9"/>
      <c r="G203" s="9">
        <f>IFERROR(__xludf.DUMMYFUNCTION("""COMPUTED_VALUE"""),64.7)</f>
        <v>64.7</v>
      </c>
      <c r="H203" s="9">
        <f>IFERROR(__xludf.DUMMYFUNCTION("""COMPUTED_VALUE"""),64.7)</f>
        <v>64.7</v>
      </c>
    </row>
    <row r="204">
      <c r="A204" s="5" t="str">
        <f>IFERROR(__xludf.DUMMYFUNCTION("""COMPUTED_VALUE"""),"LILLE")</f>
        <v>LILLE</v>
      </c>
      <c r="B204" s="5" t="str">
        <f>IFERROR(__xludf.DUMMYFUNCTION("""COMPUTED_VALUE"""),"LYCEE GENERAL ET TECHNOLOGIQUE PRIVE SAINT REMI")</f>
        <v>LYCEE GENERAL ET TECHNOLOGIQUE PRIVE SAINT REMI</v>
      </c>
      <c r="C204" s="5" t="str">
        <f>IFERROR(__xludf.DUMMYFUNCTION("""COMPUTED_VALUE"""),"ROUBAIX")</f>
        <v>ROUBAIX</v>
      </c>
      <c r="D204" s="5" t="str">
        <f>IFERROR(__xludf.DUMMYFUNCTION("""COMPUTED_VALUE"""),"privé sous contrat")</f>
        <v>privé sous contrat</v>
      </c>
      <c r="E204" s="5" t="str">
        <f>IFERROR(__xludf.DUMMYFUNCTION("""COMPUTED_VALUE"""),"LEGT")</f>
        <v>LEGT</v>
      </c>
      <c r="F204" s="9">
        <f>IFERROR(__xludf.DUMMYFUNCTION("""COMPUTED_VALUE"""),103.6)</f>
        <v>103.6</v>
      </c>
      <c r="G204" s="9"/>
      <c r="H204" s="9">
        <f>IFERROR(__xludf.DUMMYFUNCTION("""COMPUTED_VALUE"""),103.6)</f>
        <v>103.6</v>
      </c>
    </row>
    <row r="205">
      <c r="A205" s="5" t="str">
        <f>IFERROR(__xludf.DUMMYFUNCTION("""COMPUTED_VALUE"""),"LILLE")</f>
        <v>LILLE</v>
      </c>
      <c r="B205" s="5" t="str">
        <f>IFERROR(__xludf.DUMMYFUNCTION("""COMPUTED_VALUE"""),"LYCEE GENERAL ET TECHNOLOGIQUE PRIVE SAINT JUDE")</f>
        <v>LYCEE GENERAL ET TECHNOLOGIQUE PRIVE SAINT JUDE</v>
      </c>
      <c r="C205" s="5" t="str">
        <f>IFERROR(__xludf.DUMMYFUNCTION("""COMPUTED_VALUE"""),"ARMENTIERES")</f>
        <v>ARMENTIERES</v>
      </c>
      <c r="D205" s="5" t="str">
        <f>IFERROR(__xludf.DUMMYFUNCTION("""COMPUTED_VALUE"""),"privé sous contrat")</f>
        <v>privé sous contrat</v>
      </c>
      <c r="E205" s="5" t="str">
        <f>IFERROR(__xludf.DUMMYFUNCTION("""COMPUTED_VALUE"""),"LEGT")</f>
        <v>LEGT</v>
      </c>
      <c r="F205" s="9">
        <f>IFERROR(__xludf.DUMMYFUNCTION("""COMPUTED_VALUE"""),133.2)</f>
        <v>133.2</v>
      </c>
      <c r="G205" s="9"/>
      <c r="H205" s="9">
        <f>IFERROR(__xludf.DUMMYFUNCTION("""COMPUTED_VALUE"""),133.2)</f>
        <v>133.2</v>
      </c>
    </row>
    <row r="206">
      <c r="A206" s="5" t="str">
        <f>IFERROR(__xludf.DUMMYFUNCTION("""COMPUTED_VALUE"""),"LILLE")</f>
        <v>LILLE</v>
      </c>
      <c r="B206" s="5" t="str">
        <f>IFERROR(__xludf.DUMMYFUNCTION("""COMPUTED_VALUE"""),"LYCEE GENERAL ET TECHNOLOGIQUE PRIVE SAINTE THERESE")</f>
        <v>LYCEE GENERAL ET TECHNOLOGIQUE PRIVE SAINTE THERESE</v>
      </c>
      <c r="C206" s="5" t="str">
        <f>IFERROR(__xludf.DUMMYFUNCTION("""COMPUTED_VALUE"""),"AVESNES SUR HELPE")</f>
        <v>AVESNES SUR HELPE</v>
      </c>
      <c r="D206" s="5" t="str">
        <f>IFERROR(__xludf.DUMMYFUNCTION("""COMPUTED_VALUE"""),"privé sous contrat")</f>
        <v>privé sous contrat</v>
      </c>
      <c r="E206" s="5" t="str">
        <f>IFERROR(__xludf.DUMMYFUNCTION("""COMPUTED_VALUE"""),"LEGT")</f>
        <v>LEGT</v>
      </c>
      <c r="F206" s="9">
        <f>IFERROR(__xludf.DUMMYFUNCTION("""COMPUTED_VALUE"""),109.9)</f>
        <v>109.9</v>
      </c>
      <c r="G206" s="9"/>
      <c r="H206" s="9">
        <f>IFERROR(__xludf.DUMMYFUNCTION("""COMPUTED_VALUE"""),109.9)</f>
        <v>109.9</v>
      </c>
    </row>
    <row r="207">
      <c r="A207" s="5" t="str">
        <f>IFERROR(__xludf.DUMMYFUNCTION("""COMPUTED_VALUE"""),"LILLE")</f>
        <v>LILLE</v>
      </c>
      <c r="B207" s="5" t="str">
        <f>IFERROR(__xludf.DUMMYFUNCTION("""COMPUTED_VALUE"""),"LYCEE PROFESSIONNEL PRIVE LEONARD DE VINCI")</f>
        <v>LYCEE PROFESSIONNEL PRIVE LEONARD DE VINCI</v>
      </c>
      <c r="C207" s="5" t="str">
        <f>IFERROR(__xludf.DUMMYFUNCTION("""COMPUTED_VALUE"""),"ROUBAIX")</f>
        <v>ROUBAIX</v>
      </c>
      <c r="D207" s="5" t="str">
        <f>IFERROR(__xludf.DUMMYFUNCTION("""COMPUTED_VALUE"""),"privé sous contrat")</f>
        <v>privé sous contrat</v>
      </c>
      <c r="E207" s="5" t="str">
        <f>IFERROR(__xludf.DUMMYFUNCTION("""COMPUTED_VALUE"""),"LP")</f>
        <v>LP</v>
      </c>
      <c r="F207" s="9"/>
      <c r="G207" s="9">
        <f>IFERROR(__xludf.DUMMYFUNCTION("""COMPUTED_VALUE"""),90.2)</f>
        <v>90.2</v>
      </c>
      <c r="H207" s="9">
        <f>IFERROR(__xludf.DUMMYFUNCTION("""COMPUTED_VALUE"""),90.2)</f>
        <v>90.2</v>
      </c>
    </row>
    <row r="208">
      <c r="A208" s="5" t="str">
        <f>IFERROR(__xludf.DUMMYFUNCTION("""COMPUTED_VALUE"""),"LILLE")</f>
        <v>LILLE</v>
      </c>
      <c r="B208" s="5" t="str">
        <f>IFERROR(__xludf.DUMMYFUNCTION("""COMPUTED_VALUE"""),"LYCEE POLYVALENT PRIVE NOTRE DAME D ANNAY")</f>
        <v>LYCEE POLYVALENT PRIVE NOTRE DAME D ANNAY</v>
      </c>
      <c r="C208" s="5" t="str">
        <f>IFERROR(__xludf.DUMMYFUNCTION("""COMPUTED_VALUE"""),"LILLE")</f>
        <v>LILLE</v>
      </c>
      <c r="D208" s="5" t="str">
        <f>IFERROR(__xludf.DUMMYFUNCTION("""COMPUTED_VALUE"""),"privé sous contrat")</f>
        <v>privé sous contrat</v>
      </c>
      <c r="E208" s="5" t="str">
        <f>IFERROR(__xludf.DUMMYFUNCTION("""COMPUTED_VALUE"""),"LPO")</f>
        <v>LPO</v>
      </c>
      <c r="F208" s="9">
        <f>IFERROR(__xludf.DUMMYFUNCTION("""COMPUTED_VALUE"""),107.7)</f>
        <v>107.7</v>
      </c>
      <c r="G208" s="9">
        <f>IFERROR(__xludf.DUMMYFUNCTION("""COMPUTED_VALUE"""),91.8)</f>
        <v>91.8</v>
      </c>
      <c r="H208" s="9">
        <f>IFERROR(__xludf.DUMMYFUNCTION("""COMPUTED_VALUE"""),101.4)</f>
        <v>101.4</v>
      </c>
    </row>
    <row r="209">
      <c r="A209" s="5" t="str">
        <f>IFERROR(__xludf.DUMMYFUNCTION("""COMPUTED_VALUE"""),"LILLE")</f>
        <v>LILLE</v>
      </c>
      <c r="B209" s="5" t="str">
        <f>IFERROR(__xludf.DUMMYFUNCTION("""COMPUTED_VALUE"""),"LYCEE PROFESSIONNEL PRIVE DE LA CHAMBRE DES METIERS ET DE L ARTISANAT (CMA) HAUTS DE FRANCE")</f>
        <v>LYCEE PROFESSIONNEL PRIVE DE LA CHAMBRE DES METIERS ET DE L ARTISANAT (CMA) HAUTS DE FRANCE</v>
      </c>
      <c r="C209" s="5" t="str">
        <f>IFERROR(__xludf.DUMMYFUNCTION("""COMPUTED_VALUE"""),"LILLE")</f>
        <v>LILLE</v>
      </c>
      <c r="D209" s="5" t="str">
        <f>IFERROR(__xludf.DUMMYFUNCTION("""COMPUTED_VALUE"""),"privé sous contrat")</f>
        <v>privé sous contrat</v>
      </c>
      <c r="E209" s="5" t="str">
        <f>IFERROR(__xludf.DUMMYFUNCTION("""COMPUTED_VALUE"""),"LP")</f>
        <v>LP</v>
      </c>
      <c r="F209" s="9"/>
      <c r="G209" s="9">
        <f>IFERROR(__xludf.DUMMYFUNCTION("""COMPUTED_VALUE"""),102.4)</f>
        <v>102.4</v>
      </c>
      <c r="H209" s="9">
        <f>IFERROR(__xludf.DUMMYFUNCTION("""COMPUTED_VALUE"""),102.4)</f>
        <v>102.4</v>
      </c>
    </row>
    <row r="210">
      <c r="A210" s="5" t="str">
        <f>IFERROR(__xludf.DUMMYFUNCTION("""COMPUTED_VALUE"""),"LILLE")</f>
        <v>LILLE</v>
      </c>
      <c r="B210" s="5" t="str">
        <f>IFERROR(__xludf.DUMMYFUNCTION("""COMPUTED_VALUE"""),"LYCEE POLYVALENT PRIVE THEOPHILE LEGRAND")</f>
        <v>LYCEE POLYVALENT PRIVE THEOPHILE LEGRAND</v>
      </c>
      <c r="C210" s="5" t="str">
        <f>IFERROR(__xludf.DUMMYFUNCTION("""COMPUTED_VALUE"""),"LOUVROIL")</f>
        <v>LOUVROIL</v>
      </c>
      <c r="D210" s="5" t="str">
        <f>IFERROR(__xludf.DUMMYFUNCTION("""COMPUTED_VALUE"""),"privé sous contrat")</f>
        <v>privé sous contrat</v>
      </c>
      <c r="E210" s="5" t="str">
        <f>IFERROR(__xludf.DUMMYFUNCTION("""COMPUTED_VALUE"""),"LPO")</f>
        <v>LPO</v>
      </c>
      <c r="F210" s="9">
        <f>IFERROR(__xludf.DUMMYFUNCTION("""COMPUTED_VALUE"""),99.4)</f>
        <v>99.4</v>
      </c>
      <c r="G210" s="9">
        <f>IFERROR(__xludf.DUMMYFUNCTION("""COMPUTED_VALUE"""),83.1)</f>
        <v>83.1</v>
      </c>
      <c r="H210" s="9">
        <f>IFERROR(__xludf.DUMMYFUNCTION("""COMPUTED_VALUE"""),88.2)</f>
        <v>88.2</v>
      </c>
    </row>
    <row r="211">
      <c r="A211" s="5" t="str">
        <f>IFERROR(__xludf.DUMMYFUNCTION("""COMPUTED_VALUE"""),"LILLE")</f>
        <v>LILLE</v>
      </c>
      <c r="B211" s="5" t="str">
        <f>IFERROR(__xludf.DUMMYFUNCTION("""COMPUTED_VALUE"""),"LYCEE PROFESSIONNEL PRIVE JEAN PAUL II")</f>
        <v>LYCEE PROFESSIONNEL PRIVE JEAN PAUL II</v>
      </c>
      <c r="C211" s="5" t="str">
        <f>IFERROR(__xludf.DUMMYFUNCTION("""COMPUTED_VALUE"""),"DENAIN")</f>
        <v>DENAIN</v>
      </c>
      <c r="D211" s="5" t="str">
        <f>IFERROR(__xludf.DUMMYFUNCTION("""COMPUTED_VALUE"""),"privé sous contrat")</f>
        <v>privé sous contrat</v>
      </c>
      <c r="E211" s="5" t="str">
        <f>IFERROR(__xludf.DUMMYFUNCTION("""COMPUTED_VALUE"""),"LP")</f>
        <v>LP</v>
      </c>
      <c r="F211" s="9"/>
      <c r="G211" s="9">
        <f>IFERROR(__xludf.DUMMYFUNCTION("""COMPUTED_VALUE"""),77.9)</f>
        <v>77.9</v>
      </c>
      <c r="H211" s="9">
        <f>IFERROR(__xludf.DUMMYFUNCTION("""COMPUTED_VALUE"""),77.9)</f>
        <v>77.9</v>
      </c>
    </row>
    <row r="212">
      <c r="A212" s="5" t="str">
        <f>IFERROR(__xludf.DUMMYFUNCTION("""COMPUTED_VALUE"""),"LILLE")</f>
        <v>LILLE</v>
      </c>
      <c r="B212" s="5" t="str">
        <f>IFERROR(__xludf.DUMMYFUNCTION("""COMPUTED_VALUE"""),"LYCEE GENERAL PRIVE SAINT MICHEL")</f>
        <v>LYCEE GENERAL PRIVE SAINT MICHEL</v>
      </c>
      <c r="C212" s="5" t="str">
        <f>IFERROR(__xludf.DUMMYFUNCTION("""COMPUTED_VALUE"""),"SOLESMES")</f>
        <v>SOLESMES</v>
      </c>
      <c r="D212" s="5" t="str">
        <f>IFERROR(__xludf.DUMMYFUNCTION("""COMPUTED_VALUE"""),"privé sous contrat")</f>
        <v>privé sous contrat</v>
      </c>
      <c r="E212" s="5" t="str">
        <f>IFERROR(__xludf.DUMMYFUNCTION("""COMPUTED_VALUE"""),"LEGT")</f>
        <v>LEGT</v>
      </c>
      <c r="F212" s="9">
        <f>IFERROR(__xludf.DUMMYFUNCTION("""COMPUTED_VALUE"""),116.9)</f>
        <v>116.9</v>
      </c>
      <c r="G212" s="9"/>
      <c r="H212" s="9">
        <f>IFERROR(__xludf.DUMMYFUNCTION("""COMPUTED_VALUE"""),116.9)</f>
        <v>116.9</v>
      </c>
    </row>
    <row r="213">
      <c r="A213" s="5" t="str">
        <f>IFERROR(__xludf.DUMMYFUNCTION("""COMPUTED_VALUE"""),"LILLE")</f>
        <v>LILLE</v>
      </c>
      <c r="B213" s="5" t="str">
        <f>IFERROR(__xludf.DUMMYFUNCTION("""COMPUTED_VALUE"""),"LYCEE PROFESSIONNEL FRANCOIS MANSART LYCEE DES METIERS DU BATIMENT")</f>
        <v>LYCEE PROFESSIONNEL FRANCOIS MANSART LYCEE DES METIERS DU BATIMENT</v>
      </c>
      <c r="C213" s="5" t="str">
        <f>IFERROR(__xludf.DUMMYFUNCTION("""COMPUTED_VALUE"""),"MARLY")</f>
        <v>MARLY</v>
      </c>
      <c r="D213" s="5" t="str">
        <f>IFERROR(__xludf.DUMMYFUNCTION("""COMPUTED_VALUE"""),"public")</f>
        <v>public</v>
      </c>
      <c r="E213" s="5" t="str">
        <f>IFERROR(__xludf.DUMMYFUNCTION("""COMPUTED_VALUE"""),"LP")</f>
        <v>LP</v>
      </c>
      <c r="F213" s="9"/>
      <c r="G213" s="9">
        <f>IFERROR(__xludf.DUMMYFUNCTION("""COMPUTED_VALUE"""),72.4)</f>
        <v>72.4</v>
      </c>
      <c r="H213" s="9">
        <f>IFERROR(__xludf.DUMMYFUNCTION("""COMPUTED_VALUE"""),72.4)</f>
        <v>72.4</v>
      </c>
    </row>
    <row r="214">
      <c r="A214" s="5" t="str">
        <f>IFERROR(__xludf.DUMMYFUNCTION("""COMPUTED_VALUE"""),"LILLE")</f>
        <v>LILLE</v>
      </c>
      <c r="B214" s="5" t="str">
        <f>IFERROR(__xludf.DUMMYFUNCTION("""COMPUTED_VALUE"""),"LYCEE PROFESSIONNEL AMBROISE CROIZAT")</f>
        <v>LYCEE PROFESSIONNEL AMBROISE CROIZAT</v>
      </c>
      <c r="C214" s="5" t="str">
        <f>IFERROR(__xludf.DUMMYFUNCTION("""COMPUTED_VALUE"""),"AUBY")</f>
        <v>AUBY</v>
      </c>
      <c r="D214" s="5" t="str">
        <f>IFERROR(__xludf.DUMMYFUNCTION("""COMPUTED_VALUE"""),"public")</f>
        <v>public</v>
      </c>
      <c r="E214" s="5" t="str">
        <f>IFERROR(__xludf.DUMMYFUNCTION("""COMPUTED_VALUE"""),"LP")</f>
        <v>LP</v>
      </c>
      <c r="F214" s="9"/>
      <c r="G214" s="9">
        <f>IFERROR(__xludf.DUMMYFUNCTION("""COMPUTED_VALUE"""),70.1)</f>
        <v>70.1</v>
      </c>
      <c r="H214" s="9">
        <f>IFERROR(__xludf.DUMMYFUNCTION("""COMPUTED_VALUE"""),70.1)</f>
        <v>70.1</v>
      </c>
    </row>
    <row r="215">
      <c r="A215" s="5" t="str">
        <f>IFERROR(__xludf.DUMMYFUNCTION("""COMPUTED_VALUE"""),"LILLE")</f>
        <v>LILLE</v>
      </c>
      <c r="B215" s="5" t="str">
        <f>IFERROR(__xludf.DUMMYFUNCTION("""COMPUTED_VALUE"""),"LYCEE PROFESSIONNEL DES PLAINES DU NORD")</f>
        <v>LYCEE PROFESSIONNEL DES PLAINES DU NORD</v>
      </c>
      <c r="C215" s="5" t="str">
        <f>IFERROR(__xludf.DUMMYFUNCTION("""COMPUTED_VALUE"""),"GRANDE SYNTHE")</f>
        <v>GRANDE SYNTHE</v>
      </c>
      <c r="D215" s="5" t="str">
        <f>IFERROR(__xludf.DUMMYFUNCTION("""COMPUTED_VALUE"""),"public")</f>
        <v>public</v>
      </c>
      <c r="E215" s="5" t="str">
        <f>IFERROR(__xludf.DUMMYFUNCTION("""COMPUTED_VALUE"""),"LP")</f>
        <v>LP</v>
      </c>
      <c r="F215" s="9"/>
      <c r="G215" s="9">
        <f>IFERROR(__xludf.DUMMYFUNCTION("""COMPUTED_VALUE"""),71.7)</f>
        <v>71.7</v>
      </c>
      <c r="H215" s="9">
        <f>IFERROR(__xludf.DUMMYFUNCTION("""COMPUTED_VALUE"""),71.7)</f>
        <v>71.7</v>
      </c>
    </row>
    <row r="216">
      <c r="A216" s="5" t="str">
        <f>IFERROR(__xludf.DUMMYFUNCTION("""COMPUTED_VALUE"""),"LILLE")</f>
        <v>LILLE</v>
      </c>
      <c r="B216" s="5" t="str">
        <f>IFERROR(__xludf.DUMMYFUNCTION("""COMPUTED_VALUE"""),"LYCEE POLYVALENT ANDRE LURCAT")</f>
        <v>LYCEE POLYVALENT ANDRE LURCAT</v>
      </c>
      <c r="C216" s="5" t="str">
        <f>IFERROR(__xludf.DUMMYFUNCTION("""COMPUTED_VALUE"""),"MAUBEUGE")</f>
        <v>MAUBEUGE</v>
      </c>
      <c r="D216" s="5" t="str">
        <f>IFERROR(__xludf.DUMMYFUNCTION("""COMPUTED_VALUE"""),"public")</f>
        <v>public</v>
      </c>
      <c r="E216" s="5" t="str">
        <f>IFERROR(__xludf.DUMMYFUNCTION("""COMPUTED_VALUE"""),"LPO")</f>
        <v>LPO</v>
      </c>
      <c r="F216" s="9">
        <f>IFERROR(__xludf.DUMMYFUNCTION("""COMPUTED_VALUE"""),73.5)</f>
        <v>73.5</v>
      </c>
      <c r="G216" s="9">
        <f>IFERROR(__xludf.DUMMYFUNCTION("""COMPUTED_VALUE"""),69.1)</f>
        <v>69.1</v>
      </c>
      <c r="H216" s="9">
        <f>IFERROR(__xludf.DUMMYFUNCTION("""COMPUTED_VALUE"""),71.6)</f>
        <v>71.6</v>
      </c>
    </row>
    <row r="217">
      <c r="A217" s="5" t="str">
        <f>IFERROR(__xludf.DUMMYFUNCTION("""COMPUTED_VALUE"""),"LILLE")</f>
        <v>LILLE</v>
      </c>
      <c r="B217" s="5" t="str">
        <f>IFERROR(__xludf.DUMMYFUNCTION("""COMPUTED_VALUE"""),"LYCEE POLYVALENT CHARLOTTE PERRIAND")</f>
        <v>LYCEE POLYVALENT CHARLOTTE PERRIAND</v>
      </c>
      <c r="C217" s="5" t="str">
        <f>IFERROR(__xludf.DUMMYFUNCTION("""COMPUTED_VALUE"""),"GENECH")</f>
        <v>GENECH</v>
      </c>
      <c r="D217" s="5" t="str">
        <f>IFERROR(__xludf.DUMMYFUNCTION("""COMPUTED_VALUE"""),"public")</f>
        <v>public</v>
      </c>
      <c r="E217" s="5" t="str">
        <f>IFERROR(__xludf.DUMMYFUNCTION("""COMPUTED_VALUE"""),"LPO")</f>
        <v>LPO</v>
      </c>
      <c r="F217" s="9">
        <f>IFERROR(__xludf.DUMMYFUNCTION("""COMPUTED_VALUE"""),132.8)</f>
        <v>132.8</v>
      </c>
      <c r="G217" s="9">
        <f>IFERROR(__xludf.DUMMYFUNCTION("""COMPUTED_VALUE"""),100.6)</f>
        <v>100.6</v>
      </c>
      <c r="H217" s="9">
        <f>IFERROR(__xludf.DUMMYFUNCTION("""COMPUTED_VALUE"""),130.8)</f>
        <v>130.8</v>
      </c>
    </row>
    <row r="218">
      <c r="A218" s="5" t="str">
        <f>IFERROR(__xludf.DUMMYFUNCTION("""COMPUTED_VALUE"""),"LILLE")</f>
        <v>LILLE</v>
      </c>
      <c r="B218" s="5" t="str">
        <f>IFERROR(__xludf.DUMMYFUNCTION("""COMPUTED_VALUE"""),"LYCEE PROFESSIONNEL FERNAND DEGRUGILLIER")</f>
        <v>LYCEE PROFESSIONNEL FERNAND DEGRUGILLIER</v>
      </c>
      <c r="C218" s="5" t="str">
        <f>IFERROR(__xludf.DUMMYFUNCTION("""COMPUTED_VALUE"""),"AUCHEL")</f>
        <v>AUCHEL</v>
      </c>
      <c r="D218" s="5" t="str">
        <f>IFERROR(__xludf.DUMMYFUNCTION("""COMPUTED_VALUE"""),"public")</f>
        <v>public</v>
      </c>
      <c r="E218" s="5" t="str">
        <f>IFERROR(__xludf.DUMMYFUNCTION("""COMPUTED_VALUE"""),"LP")</f>
        <v>LP</v>
      </c>
      <c r="F218" s="9"/>
      <c r="G218" s="9">
        <f>IFERROR(__xludf.DUMMYFUNCTION("""COMPUTED_VALUE"""),70.7)</f>
        <v>70.7</v>
      </c>
      <c r="H218" s="9">
        <f>IFERROR(__xludf.DUMMYFUNCTION("""COMPUTED_VALUE"""),70.7)</f>
        <v>70.7</v>
      </c>
    </row>
    <row r="219">
      <c r="A219" s="5" t="str">
        <f>IFERROR(__xludf.DUMMYFUNCTION("""COMPUTED_VALUE"""),"LILLE")</f>
        <v>LILLE</v>
      </c>
      <c r="B219" s="5" t="str">
        <f>IFERROR(__xludf.DUMMYFUNCTION("""COMPUTED_VALUE"""),"LYCEE POLYVALENT CARNOT LYCEE DES METIERS DES SYSTEMES AUTOMATIQUES ET DE L ELECTRONIQUE COMMUNICANTE")</f>
        <v>LYCEE POLYVALENT CARNOT LYCEE DES METIERS DES SYSTEMES AUTOMATIQUES ET DE L ELECTRONIQUE COMMUNICANTE</v>
      </c>
      <c r="C219" s="5" t="str">
        <f>IFERROR(__xludf.DUMMYFUNCTION("""COMPUTED_VALUE"""),"BRUAY LA BUISSIERE")</f>
        <v>BRUAY LA BUISSIERE</v>
      </c>
      <c r="D219" s="5" t="str">
        <f>IFERROR(__xludf.DUMMYFUNCTION("""COMPUTED_VALUE"""),"public")</f>
        <v>public</v>
      </c>
      <c r="E219" s="5" t="str">
        <f>IFERROR(__xludf.DUMMYFUNCTION("""COMPUTED_VALUE"""),"LPO")</f>
        <v>LPO</v>
      </c>
      <c r="F219" s="9">
        <f>IFERROR(__xludf.DUMMYFUNCTION("""COMPUTED_VALUE"""),95.7)</f>
        <v>95.7</v>
      </c>
      <c r="G219" s="9">
        <f>IFERROR(__xludf.DUMMYFUNCTION("""COMPUTED_VALUE"""),75.3)</f>
        <v>75.3</v>
      </c>
      <c r="H219" s="9">
        <f>IFERROR(__xludf.DUMMYFUNCTION("""COMPUTED_VALUE"""),91.2)</f>
        <v>91.2</v>
      </c>
    </row>
    <row r="220">
      <c r="A220" s="5" t="str">
        <f>IFERROR(__xludf.DUMMYFUNCTION("""COMPUTED_VALUE"""),"LILLE")</f>
        <v>LILLE</v>
      </c>
      <c r="B220" s="5" t="str">
        <f>IFERROR(__xludf.DUMMYFUNCTION("""COMPUTED_VALUE"""),"LYCEE PROFESSIONNEL LEO LAGRANGE LYCEE DES METIERS DE LA PERSONNE SANTE SOCIAL")</f>
        <v>LYCEE PROFESSIONNEL LEO LAGRANGE LYCEE DES METIERS DE LA PERSONNE SANTE SOCIAL</v>
      </c>
      <c r="C220" s="5" t="str">
        <f>IFERROR(__xludf.DUMMYFUNCTION("""COMPUTED_VALUE"""),"BULLY LES MINES")</f>
        <v>BULLY LES MINES</v>
      </c>
      <c r="D220" s="5" t="str">
        <f>IFERROR(__xludf.DUMMYFUNCTION("""COMPUTED_VALUE"""),"public")</f>
        <v>public</v>
      </c>
      <c r="E220" s="5" t="str">
        <f>IFERROR(__xludf.DUMMYFUNCTION("""COMPUTED_VALUE"""),"LPO")</f>
        <v>LPO</v>
      </c>
      <c r="F220" s="9">
        <f>IFERROR(__xludf.DUMMYFUNCTION("""COMPUTED_VALUE"""),92.4)</f>
        <v>92.4</v>
      </c>
      <c r="G220" s="9">
        <f>IFERROR(__xludf.DUMMYFUNCTION("""COMPUTED_VALUE"""),69.7)</f>
        <v>69.7</v>
      </c>
      <c r="H220" s="9">
        <f>IFERROR(__xludf.DUMMYFUNCTION("""COMPUTED_VALUE"""),79.1)</f>
        <v>79.1</v>
      </c>
    </row>
    <row r="221">
      <c r="A221" s="5" t="str">
        <f>IFERROR(__xludf.DUMMYFUNCTION("""COMPUTED_VALUE"""),"LILLE")</f>
        <v>LILLE</v>
      </c>
      <c r="B221" s="5" t="str">
        <f>IFERROR(__xludf.DUMMYFUNCTION("""COMPUTED_VALUE"""),"LYCEE GENERAL ET TECHNOLOGIQUE SOPHIE BERTHELOT")</f>
        <v>LYCEE GENERAL ET TECHNOLOGIQUE SOPHIE BERTHELOT</v>
      </c>
      <c r="C221" s="5" t="str">
        <f>IFERROR(__xludf.DUMMYFUNCTION("""COMPUTED_VALUE"""),"CALAIS")</f>
        <v>CALAIS</v>
      </c>
      <c r="D221" s="5" t="str">
        <f>IFERROR(__xludf.DUMMYFUNCTION("""COMPUTED_VALUE"""),"public")</f>
        <v>public</v>
      </c>
      <c r="E221" s="5" t="str">
        <f>IFERROR(__xludf.DUMMYFUNCTION("""COMPUTED_VALUE"""),"LEGT")</f>
        <v>LEGT</v>
      </c>
      <c r="F221" s="9">
        <f>IFERROR(__xludf.DUMMYFUNCTION("""COMPUTED_VALUE"""),103.2)</f>
        <v>103.2</v>
      </c>
      <c r="G221" s="9"/>
      <c r="H221" s="9">
        <f>IFERROR(__xludf.DUMMYFUNCTION("""COMPUTED_VALUE"""),103.2)</f>
        <v>103.2</v>
      </c>
    </row>
    <row r="222">
      <c r="A222" s="5" t="str">
        <f>IFERROR(__xludf.DUMMYFUNCTION("""COMPUTED_VALUE"""),"LILLE")</f>
        <v>LILLE</v>
      </c>
      <c r="B222" s="5" t="str">
        <f>IFERROR(__xludf.DUMMYFUNCTION("""COMPUTED_VALUE"""),"LYCEE PROFESSIONNEL FLORA TRISTAN")</f>
        <v>LYCEE PROFESSIONNEL FLORA TRISTAN</v>
      </c>
      <c r="C222" s="5" t="str">
        <f>IFERROR(__xludf.DUMMYFUNCTION("""COMPUTED_VALUE"""),"LILLERS")</f>
        <v>LILLERS</v>
      </c>
      <c r="D222" s="5" t="str">
        <f>IFERROR(__xludf.DUMMYFUNCTION("""COMPUTED_VALUE"""),"public")</f>
        <v>public</v>
      </c>
      <c r="E222" s="5" t="str">
        <f>IFERROR(__xludf.DUMMYFUNCTION("""COMPUTED_VALUE"""),"LP")</f>
        <v>LP</v>
      </c>
      <c r="F222" s="9"/>
      <c r="G222" s="9">
        <f>IFERROR(__xludf.DUMMYFUNCTION("""COMPUTED_VALUE"""),76.5)</f>
        <v>76.5</v>
      </c>
      <c r="H222" s="9">
        <f>IFERROR(__xludf.DUMMYFUNCTION("""COMPUTED_VALUE"""),76.5)</f>
        <v>76.5</v>
      </c>
    </row>
    <row r="223">
      <c r="A223" s="5" t="str">
        <f>IFERROR(__xludf.DUMMYFUNCTION("""COMPUTED_VALUE"""),"LILLE")</f>
        <v>LILLE</v>
      </c>
      <c r="B223" s="5" t="str">
        <f>IFERROR(__xludf.DUMMYFUNCTION("""COMPUTED_VALUE"""),"LYCEE GENERAL ET TECHNOLOGIQUE ALBERT CHATELET")</f>
        <v>LYCEE GENERAL ET TECHNOLOGIQUE ALBERT CHATELET</v>
      </c>
      <c r="C223" s="5" t="str">
        <f>IFERROR(__xludf.DUMMYFUNCTION("""COMPUTED_VALUE"""),"SAINT POL SUR TERNOISE")</f>
        <v>SAINT POL SUR TERNOISE</v>
      </c>
      <c r="D223" s="5" t="str">
        <f>IFERROR(__xludf.DUMMYFUNCTION("""COMPUTED_VALUE"""),"public")</f>
        <v>public</v>
      </c>
      <c r="E223" s="5" t="str">
        <f>IFERROR(__xludf.DUMMYFUNCTION("""COMPUTED_VALUE"""),"LEGT")</f>
        <v>LEGT</v>
      </c>
      <c r="F223" s="9">
        <f>IFERROR(__xludf.DUMMYFUNCTION("""COMPUTED_VALUE"""),106.6)</f>
        <v>106.6</v>
      </c>
      <c r="G223" s="9"/>
      <c r="H223" s="9">
        <f>IFERROR(__xludf.DUMMYFUNCTION("""COMPUTED_VALUE"""),106.6)</f>
        <v>106.6</v>
      </c>
    </row>
    <row r="224">
      <c r="A224" s="5" t="str">
        <f>IFERROR(__xludf.DUMMYFUNCTION("""COMPUTED_VALUE"""),"LILLE")</f>
        <v>LILLE</v>
      </c>
      <c r="B224" s="5" t="str">
        <f>IFERROR(__xludf.DUMMYFUNCTION("""COMPUTED_VALUE"""),"LYCEE PROFESSIONNEL ANDRE MALRAUX")</f>
        <v>LYCEE PROFESSIONNEL ANDRE MALRAUX</v>
      </c>
      <c r="C224" s="5" t="str">
        <f>IFERROR(__xludf.DUMMYFUNCTION("""COMPUTED_VALUE"""),"BETHUNE")</f>
        <v>BETHUNE</v>
      </c>
      <c r="D224" s="5" t="str">
        <f>IFERROR(__xludf.DUMMYFUNCTION("""COMPUTED_VALUE"""),"public")</f>
        <v>public</v>
      </c>
      <c r="E224" s="5" t="str">
        <f>IFERROR(__xludf.DUMMYFUNCTION("""COMPUTED_VALUE"""),"LP")</f>
        <v>LP</v>
      </c>
      <c r="F224" s="9"/>
      <c r="G224" s="9">
        <f>IFERROR(__xludf.DUMMYFUNCTION("""COMPUTED_VALUE"""),81.2)</f>
        <v>81.2</v>
      </c>
      <c r="H224" s="9">
        <f>IFERROR(__xludf.DUMMYFUNCTION("""COMPUTED_VALUE"""),81.2)</f>
        <v>81.2</v>
      </c>
    </row>
    <row r="225">
      <c r="A225" s="5" t="str">
        <f>IFERROR(__xludf.DUMMYFUNCTION("""COMPUTED_VALUE"""),"LILLE")</f>
        <v>LILLE</v>
      </c>
      <c r="B225" s="5" t="str">
        <f>IFERROR(__xludf.DUMMYFUNCTION("""COMPUTED_VALUE"""),"LYCEE GENERAL PRIVE SAINT VAAST SAINT DOMINIQUE")</f>
        <v>LYCEE GENERAL PRIVE SAINT VAAST SAINT DOMINIQUE</v>
      </c>
      <c r="C225" s="5" t="str">
        <f>IFERROR(__xludf.DUMMYFUNCTION("""COMPUTED_VALUE"""),"BETHUNE")</f>
        <v>BETHUNE</v>
      </c>
      <c r="D225" s="5" t="str">
        <f>IFERROR(__xludf.DUMMYFUNCTION("""COMPUTED_VALUE"""),"privé sous contrat")</f>
        <v>privé sous contrat</v>
      </c>
      <c r="E225" s="5" t="str">
        <f>IFERROR(__xludf.DUMMYFUNCTION("""COMPUTED_VALUE"""),"LEGT")</f>
        <v>LEGT</v>
      </c>
      <c r="F225" s="9">
        <f>IFERROR(__xludf.DUMMYFUNCTION("""COMPUTED_VALUE"""),129.0)</f>
        <v>129</v>
      </c>
      <c r="G225" s="9"/>
      <c r="H225" s="9">
        <f>IFERROR(__xludf.DUMMYFUNCTION("""COMPUTED_VALUE"""),129.0)</f>
        <v>129</v>
      </c>
    </row>
    <row r="226">
      <c r="A226" s="5" t="str">
        <f>IFERROR(__xludf.DUMMYFUNCTION("""COMPUTED_VALUE"""),"LILLE")</f>
        <v>LILLE</v>
      </c>
      <c r="B226" s="5" t="str">
        <f>IFERROR(__xludf.DUMMYFUNCTION("""COMPUTED_VALUE"""),"LYCEE GENERAL PRIVE LA MALASSISE")</f>
        <v>LYCEE GENERAL PRIVE LA MALASSISE</v>
      </c>
      <c r="C226" s="5" t="str">
        <f>IFERROR(__xludf.DUMMYFUNCTION("""COMPUTED_VALUE"""),"LONGUENESSE")</f>
        <v>LONGUENESSE</v>
      </c>
      <c r="D226" s="5" t="str">
        <f>IFERROR(__xludf.DUMMYFUNCTION("""COMPUTED_VALUE"""),"privé sous contrat")</f>
        <v>privé sous contrat</v>
      </c>
      <c r="E226" s="5" t="str">
        <f>IFERROR(__xludf.DUMMYFUNCTION("""COMPUTED_VALUE"""),"LEGT")</f>
        <v>LEGT</v>
      </c>
      <c r="F226" s="9">
        <f>IFERROR(__xludf.DUMMYFUNCTION("""COMPUTED_VALUE"""),133.2)</f>
        <v>133.2</v>
      </c>
      <c r="G226" s="9"/>
      <c r="H226" s="9">
        <f>IFERROR(__xludf.DUMMYFUNCTION("""COMPUTED_VALUE"""),133.2)</f>
        <v>133.2</v>
      </c>
    </row>
    <row r="227">
      <c r="A227" s="5" t="str">
        <f>IFERROR(__xludf.DUMMYFUNCTION("""COMPUTED_VALUE"""),"LILLE")</f>
        <v>LILLE</v>
      </c>
      <c r="B227" s="5" t="str">
        <f>IFERROR(__xludf.DUMMYFUNCTION("""COMPUTED_VALUE"""),"LYCEE POLYVALENT PRIVE SAINT DENIS")</f>
        <v>LYCEE POLYVALENT PRIVE SAINT DENIS</v>
      </c>
      <c r="C227" s="5" t="str">
        <f>IFERROR(__xludf.DUMMYFUNCTION("""COMPUTED_VALUE"""),"SAINT OMER")</f>
        <v>SAINT OMER</v>
      </c>
      <c r="D227" s="5" t="str">
        <f>IFERROR(__xludf.DUMMYFUNCTION("""COMPUTED_VALUE"""),"privé sous contrat")</f>
        <v>privé sous contrat</v>
      </c>
      <c r="E227" s="5" t="str">
        <f>IFERROR(__xludf.DUMMYFUNCTION("""COMPUTED_VALUE"""),"LPO")</f>
        <v>LPO</v>
      </c>
      <c r="F227" s="9">
        <f>IFERROR(__xludf.DUMMYFUNCTION("""COMPUTED_VALUE"""),112.6)</f>
        <v>112.6</v>
      </c>
      <c r="G227" s="9">
        <f>IFERROR(__xludf.DUMMYFUNCTION("""COMPUTED_VALUE"""),101.1)</f>
        <v>101.1</v>
      </c>
      <c r="H227" s="9">
        <f>IFERROR(__xludf.DUMMYFUNCTION("""COMPUTED_VALUE"""),110.8)</f>
        <v>110.8</v>
      </c>
    </row>
    <row r="228">
      <c r="A228" s="5" t="str">
        <f>IFERROR(__xludf.DUMMYFUNCTION("""COMPUTED_VALUE"""),"LILLE")</f>
        <v>LILLE</v>
      </c>
      <c r="B228" s="5" t="str">
        <f>IFERROR(__xludf.DUMMYFUNCTION("""COMPUTED_VALUE"""),"LYCEE PROFESSIONNEL PRIVE SAINT PIERRE")</f>
        <v>LYCEE PROFESSIONNEL PRIVE SAINT PIERRE</v>
      </c>
      <c r="C228" s="5" t="str">
        <f>IFERROR(__xludf.DUMMYFUNCTION("""COMPUTED_VALUE"""),"CALAIS")</f>
        <v>CALAIS</v>
      </c>
      <c r="D228" s="5" t="str">
        <f>IFERROR(__xludf.DUMMYFUNCTION("""COMPUTED_VALUE"""),"privé sous contrat")</f>
        <v>privé sous contrat</v>
      </c>
      <c r="E228" s="5" t="str">
        <f>IFERROR(__xludf.DUMMYFUNCTION("""COMPUTED_VALUE"""),"LP")</f>
        <v>LP</v>
      </c>
      <c r="F228" s="9"/>
      <c r="G228" s="9">
        <f>IFERROR(__xludf.DUMMYFUNCTION("""COMPUTED_VALUE"""),93.8)</f>
        <v>93.8</v>
      </c>
      <c r="H228" s="9">
        <f>IFERROR(__xludf.DUMMYFUNCTION("""COMPUTED_VALUE"""),93.8)</f>
        <v>93.8</v>
      </c>
    </row>
    <row r="229">
      <c r="A229" s="5" t="str">
        <f>IFERROR(__xludf.DUMMYFUNCTION("""COMPUTED_VALUE"""),"LILLE")</f>
        <v>LILLE</v>
      </c>
      <c r="B229" s="5" t="str">
        <f>IFERROR(__xludf.DUMMYFUNCTION("""COMPUTED_VALUE"""),"LYCEE PROFESSIONNEL NORMANDIE NIEMEN LYCEE DES METIERS DU BATIMENT ET DES ENERGIES RENOUVELABLES")</f>
        <v>LYCEE PROFESSIONNEL NORMANDIE NIEMEN LYCEE DES METIERS DU BATIMENT ET DES ENERGIES RENOUVELABLES</v>
      </c>
      <c r="C229" s="5" t="str">
        <f>IFERROR(__xludf.DUMMYFUNCTION("""COMPUTED_VALUE"""),"CALAIS")</f>
        <v>CALAIS</v>
      </c>
      <c r="D229" s="5" t="str">
        <f>IFERROR(__xludf.DUMMYFUNCTION("""COMPUTED_VALUE"""),"public")</f>
        <v>public</v>
      </c>
      <c r="E229" s="5" t="str">
        <f>IFERROR(__xludf.DUMMYFUNCTION("""COMPUTED_VALUE"""),"LP")</f>
        <v>LP</v>
      </c>
      <c r="F229" s="9"/>
      <c r="G229" s="9">
        <f>IFERROR(__xludf.DUMMYFUNCTION("""COMPUTED_VALUE"""),69.4)</f>
        <v>69.4</v>
      </c>
      <c r="H229" s="9">
        <f>IFERROR(__xludf.DUMMYFUNCTION("""COMPUTED_VALUE"""),69.4)</f>
        <v>69.4</v>
      </c>
    </row>
    <row r="230">
      <c r="A230" s="5" t="str">
        <f>IFERROR(__xludf.DUMMYFUNCTION("""COMPUTED_VALUE"""),"LILLE")</f>
        <v>LILLE</v>
      </c>
      <c r="B230" s="5" t="str">
        <f>IFERROR(__xludf.DUMMYFUNCTION("""COMPUTED_VALUE"""),"LYCEE GENERAL ET TECHNOLOGIQUE GAMBETTA CARNOT")</f>
        <v>LYCEE GENERAL ET TECHNOLOGIQUE GAMBETTA CARNOT</v>
      </c>
      <c r="C230" s="5" t="str">
        <f>IFERROR(__xludf.DUMMYFUNCTION("""COMPUTED_VALUE"""),"ARRAS")</f>
        <v>ARRAS</v>
      </c>
      <c r="D230" s="5" t="str">
        <f>IFERROR(__xludf.DUMMYFUNCTION("""COMPUTED_VALUE"""),"public")</f>
        <v>public</v>
      </c>
      <c r="E230" s="5" t="str">
        <f>IFERROR(__xludf.DUMMYFUNCTION("""COMPUTED_VALUE"""),"LEGT")</f>
        <v>LEGT</v>
      </c>
      <c r="F230" s="9">
        <f>IFERROR(__xludf.DUMMYFUNCTION("""COMPUTED_VALUE"""),111.6)</f>
        <v>111.6</v>
      </c>
      <c r="G230" s="9"/>
      <c r="H230" s="9">
        <f>IFERROR(__xludf.DUMMYFUNCTION("""COMPUTED_VALUE"""),111.6)</f>
        <v>111.6</v>
      </c>
    </row>
    <row r="231">
      <c r="A231" s="5" t="str">
        <f>IFERROR(__xludf.DUMMYFUNCTION("""COMPUTED_VALUE"""),"LILLE")</f>
        <v>LILLE</v>
      </c>
      <c r="B231" s="5" t="str">
        <f>IFERROR(__xludf.DUMMYFUNCTION("""COMPUTED_VALUE"""),"LYCEE POLYVALENT D ARTOIS LYCEE DES METIERS DES SYSTEMES AUTOMATIQUES")</f>
        <v>LYCEE POLYVALENT D ARTOIS LYCEE DES METIERS DES SYSTEMES AUTOMATIQUES</v>
      </c>
      <c r="C231" s="5" t="str">
        <f>IFERROR(__xludf.DUMMYFUNCTION("""COMPUTED_VALUE"""),"NOEUX LES MINES")</f>
        <v>NOEUX LES MINES</v>
      </c>
      <c r="D231" s="5" t="str">
        <f>IFERROR(__xludf.DUMMYFUNCTION("""COMPUTED_VALUE"""),"public")</f>
        <v>public</v>
      </c>
      <c r="E231" s="5" t="str">
        <f>IFERROR(__xludf.DUMMYFUNCTION("""COMPUTED_VALUE"""),"LPO")</f>
        <v>LPO</v>
      </c>
      <c r="F231" s="9">
        <f>IFERROR(__xludf.DUMMYFUNCTION("""COMPUTED_VALUE"""),97.8)</f>
        <v>97.8</v>
      </c>
      <c r="G231" s="9">
        <f>IFERROR(__xludf.DUMMYFUNCTION("""COMPUTED_VALUE"""),73.8)</f>
        <v>73.8</v>
      </c>
      <c r="H231" s="9">
        <f>IFERROR(__xludf.DUMMYFUNCTION("""COMPUTED_VALUE"""),88.7)</f>
        <v>88.7</v>
      </c>
    </row>
  </sheetData>
  <dataValidations>
    <dataValidation type="list" allowBlank="1" showErrorMessage="1" sqref="B1">
      <formula1>'données'!$O$2:$O$31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2" max="2" width="56.0"/>
    <col customWidth="1" min="4" max="4" width="25.11"/>
  </cols>
  <sheetData>
    <row r="1">
      <c r="A1" s="39" t="s">
        <v>54</v>
      </c>
      <c r="B1" s="40" t="s">
        <v>55</v>
      </c>
      <c r="C1" s="40" t="s">
        <v>10</v>
      </c>
      <c r="D1" s="40" t="s">
        <v>56</v>
      </c>
      <c r="E1" s="40" t="s">
        <v>45</v>
      </c>
      <c r="F1" s="39" t="s">
        <v>25</v>
      </c>
      <c r="G1" s="39" t="s">
        <v>57</v>
      </c>
      <c r="J1" s="41" t="s">
        <v>21</v>
      </c>
    </row>
    <row r="2">
      <c r="A2" s="42">
        <v>1.0</v>
      </c>
      <c r="B2" s="43" t="str">
        <f t="array" ref="B2">xlookup($G2,'données'!$M2:$M3608,'données'!F2:F3608)</f>
        <v>LYCEE D ENSEIGNEMENT GENERAL FRANCO ALLEMAND</v>
      </c>
      <c r="C2" s="43" t="str">
        <f t="array" ref="C2">xlookup($G2,'données'!$M2:$M3608,'données'!I2:I3608)</f>
        <v>public</v>
      </c>
      <c r="D2" s="43" t="str">
        <f t="array" ref="D2">xlookup($G2,'données'!$M2:$M3608,'données'!H2:H3608)</f>
        <v>BUC</v>
      </c>
      <c r="E2" s="43" t="str">
        <f t="array" ref="E2">xlookup($G2,'données'!$M2:$M3608,'données'!B2:B3608)</f>
        <v>VERSAILLES</v>
      </c>
      <c r="F2" s="43" t="str">
        <f t="array" ref="F2">xlookup($G2,'données'!$M2:$M3608,'données'!J2:J3608)</f>
        <v>LEGT</v>
      </c>
      <c r="G2" s="44">
        <f>LARGE('données'!M2:M3608,A2)</f>
        <v>159</v>
      </c>
      <c r="J2" s="13" t="s">
        <v>30</v>
      </c>
      <c r="K2" s="13" t="s">
        <v>31</v>
      </c>
      <c r="L2" s="13" t="s">
        <v>32</v>
      </c>
    </row>
    <row r="3">
      <c r="A3" s="44">
        <f t="shared" ref="A3:A101" si="1">A2+1</f>
        <v>2</v>
      </c>
      <c r="B3" s="43" t="str">
        <f t="array" ref="B3">xlookup($G3,'données'!$M3:$M3609,'données'!F3:F3609)</f>
        <v>ECOLE ACTIVE JEANNINE MANUEL (LYCEE GENERAL PRIVE)</v>
      </c>
      <c r="C3" s="43" t="str">
        <f t="array" ref="C3">xlookup($G3,'données'!$M3:$M3609,'données'!I3:I3609)</f>
        <v>privé sous contrat</v>
      </c>
      <c r="D3" s="43" t="str">
        <f t="array" ref="D3">xlookup($G3,'données'!$M3:$M3609,'données'!H3:H3609)</f>
        <v>PARIS 15E ARRONDISSEMENT</v>
      </c>
      <c r="E3" s="43" t="str">
        <f t="array" ref="E3">xlookup($G3,'données'!$M3:$M3609,'données'!B3:B3609)</f>
        <v>PARIS</v>
      </c>
      <c r="F3" s="43" t="str">
        <f t="array" ref="F3">xlookup($G3,'données'!$M3:$M3609,'données'!J3:J3609)</f>
        <v>LEGT</v>
      </c>
      <c r="G3" s="44">
        <f>LARGE('données'!M3:M3609,A3)</f>
        <v>155.9</v>
      </c>
      <c r="J3" s="14" t="s">
        <v>22</v>
      </c>
      <c r="K3" s="15">
        <f>COUNTIF(C2:C101,"public")</f>
        <v>20</v>
      </c>
      <c r="L3" s="15">
        <f>countif(C2:C101,"privé sous contrat")</f>
        <v>80</v>
      </c>
    </row>
    <row r="4">
      <c r="A4" s="44">
        <f t="shared" si="1"/>
        <v>3</v>
      </c>
      <c r="B4" s="43" t="str">
        <f t="array" ref="B4">xlookup($G4,'données'!$M4:$M3610,'données'!F4:F3610)</f>
        <v>LYCEE GENERAL PRIVE JEANNINE MANUEL</v>
      </c>
      <c r="C4" s="43" t="str">
        <f t="array" ref="C4">xlookup($G4,'données'!$M4:$M3610,'données'!I4:I3610)</f>
        <v>privé sous contrat</v>
      </c>
      <c r="D4" s="43" t="str">
        <f t="array" ref="D4">xlookup($G4,'données'!$M4:$M3610,'données'!H4:H3610)</f>
        <v>MARCQ EN BAROEUL</v>
      </c>
      <c r="E4" s="43" t="str">
        <f t="array" ref="E4">xlookup($G4,'données'!$M4:$M3610,'données'!B4:B3610)</f>
        <v>LILLE</v>
      </c>
      <c r="F4" s="43" t="str">
        <f t="array" ref="F4">xlookup($G4,'données'!$M4:$M3610,'données'!J4:J3610)</f>
        <v>LEGT</v>
      </c>
      <c r="G4" s="44">
        <f>LARGE('données'!M4:M3610,A4)</f>
        <v>155.3</v>
      </c>
    </row>
    <row r="5">
      <c r="A5" s="44">
        <f t="shared" si="1"/>
        <v>4</v>
      </c>
      <c r="B5" s="43" t="str">
        <f t="array" ref="B5">xlookup($G5,'données'!$M5:$M3611,'données'!F5:F3611)</f>
        <v>LYCEE GENERAL ET TECHNOLOGIQUE PRIVE MADELEINE DANIELOU</v>
      </c>
      <c r="C5" s="43" t="str">
        <f t="array" ref="C5">xlookup($G5,'données'!$M5:$M3611,'données'!I5:I3611)</f>
        <v>privé sous contrat</v>
      </c>
      <c r="D5" s="43" t="str">
        <f t="array" ref="D5">xlookup($G5,'données'!$M5:$M3611,'données'!H5:H3611)</f>
        <v>RUEIL MALMAISON</v>
      </c>
      <c r="E5" s="43" t="str">
        <f t="array" ref="E5">xlookup($G5,'données'!$M5:$M3611,'données'!B5:B3611)</f>
        <v>VERSAILLES</v>
      </c>
      <c r="F5" s="43" t="str">
        <f t="array" ref="F5">xlookup($G5,'données'!$M5:$M3611,'données'!J5:J3611)</f>
        <v>LEGT</v>
      </c>
      <c r="G5" s="44">
        <f>LARGE('données'!M5:M3611,A5)</f>
        <v>154</v>
      </c>
      <c r="I5" s="13" t="s">
        <v>11</v>
      </c>
      <c r="J5" s="13" t="s">
        <v>12</v>
      </c>
      <c r="K5" s="13" t="s">
        <v>13</v>
      </c>
      <c r="L5" s="13" t="s">
        <v>14</v>
      </c>
    </row>
    <row r="6">
      <c r="A6" s="44">
        <f t="shared" si="1"/>
        <v>5</v>
      </c>
      <c r="B6" s="43" t="str">
        <f t="array" ref="B6">xlookup($G6,'données'!$M6:$M3612,'données'!F6:F3612)</f>
        <v>LYCEE GENERAL PRIVE LA ROCHEFOUCAULD</v>
      </c>
      <c r="C6" s="43" t="str">
        <f t="array" ref="C6">xlookup($G6,'données'!$M6:$M3612,'données'!I6:I3612)</f>
        <v>privé sous contrat</v>
      </c>
      <c r="D6" s="43" t="str">
        <f t="array" ref="D6">xlookup($G6,'données'!$M6:$M3612,'données'!H6:H3612)</f>
        <v>PARIS 7E ARRONDISSEMENT</v>
      </c>
      <c r="E6" s="43" t="str">
        <f t="array" ref="E6">xlookup($G6,'données'!$M6:$M3612,'données'!B6:B3612)</f>
        <v>PARIS</v>
      </c>
      <c r="F6" s="43" t="str">
        <f t="array" ref="F6">xlookup($G6,'données'!$M6:$M3612,'données'!J6:J3612)</f>
        <v>LEGT</v>
      </c>
      <c r="G6" s="44">
        <f>LARGE('données'!M6:M3612,A6)</f>
        <v>153.2</v>
      </c>
      <c r="I6" s="14" t="s">
        <v>22</v>
      </c>
      <c r="J6" s="15">
        <f>COUNTIF($F2:$F101,"LEGT")</f>
        <v>100</v>
      </c>
      <c r="K6" s="15">
        <f>COUNTIF($F2:$F101,"LP")</f>
        <v>0</v>
      </c>
      <c r="L6" s="15">
        <f>countif(F2:F101,"LPO")</f>
        <v>0</v>
      </c>
    </row>
    <row r="7">
      <c r="A7" s="44">
        <f t="shared" si="1"/>
        <v>6</v>
      </c>
      <c r="B7" s="43" t="str">
        <f t="array" ref="B7">xlookup($G7,'données'!$M7:$M3613,'données'!F7:F3613)</f>
        <v>LYCEE PRIVE SAINT LOUIS DE GONZAGUE</v>
      </c>
      <c r="C7" s="43" t="str">
        <f t="array" ref="C7">xlookup($G7,'données'!$M7:$M3613,'données'!I7:I3613)</f>
        <v>privé sous contrat</v>
      </c>
      <c r="D7" s="43" t="str">
        <f t="array" ref="D7">xlookup($G7,'données'!$M7:$M3613,'données'!H7:H3613)</f>
        <v>PARIS 16E ARRONDISSEMENT</v>
      </c>
      <c r="E7" s="43" t="str">
        <f t="array" ref="E7">xlookup($G7,'données'!$M7:$M3613,'données'!B7:B3613)</f>
        <v>PARIS</v>
      </c>
      <c r="F7" s="43" t="str">
        <f t="array" ref="F7">xlookup($G7,'données'!$M7:$M3613,'données'!J7:J3613)</f>
        <v>LEGT</v>
      </c>
      <c r="G7" s="44">
        <f>LARGE('données'!M7:M3613,A7)</f>
        <v>153</v>
      </c>
    </row>
    <row r="8">
      <c r="A8" s="44">
        <f t="shared" si="1"/>
        <v>7</v>
      </c>
      <c r="B8" s="43" t="str">
        <f t="array" ref="B8">xlookup($G8,'données'!$M8:$M3614,'données'!F8:F3614)</f>
        <v>LYCEE PRIVE SAINT LOUIS DE GONZAGUE</v>
      </c>
      <c r="C8" s="43" t="str">
        <f t="array" ref="C8">xlookup($G8,'données'!$M8:$M3614,'données'!I8:I3614)</f>
        <v>privé sous contrat</v>
      </c>
      <c r="D8" s="43" t="str">
        <f t="array" ref="D8">xlookup($G8,'données'!$M8:$M3614,'données'!H8:H3614)</f>
        <v>PARIS 16E ARRONDISSEMENT</v>
      </c>
      <c r="E8" s="43" t="str">
        <f t="array" ref="E8">xlookup($G8,'données'!$M8:$M3614,'données'!B8:B3614)</f>
        <v>PARIS</v>
      </c>
      <c r="F8" s="43" t="str">
        <f t="array" ref="F8">xlookup($G8,'données'!$M8:$M3614,'données'!J8:J3614)</f>
        <v>LEGT</v>
      </c>
      <c r="G8" s="44">
        <f>LARGE('données'!M8:M3614,A8)</f>
        <v>153</v>
      </c>
    </row>
    <row r="9">
      <c r="A9" s="44">
        <f t="shared" si="1"/>
        <v>8</v>
      </c>
      <c r="B9" s="43" t="str">
        <f t="array" ref="B9">xlookup($G9,'données'!$M9:$M3615,'données'!F9:F3615)</f>
        <v>LYCEE GENERAL ET TECHNOLOGIQUE BLAISE PASCAL</v>
      </c>
      <c r="C9" s="43" t="str">
        <f t="array" ref="C9">xlookup($G9,'données'!$M9:$M3615,'données'!I9:I3615)</f>
        <v>public</v>
      </c>
      <c r="D9" s="43" t="str">
        <f t="array" ref="D9">xlookup($G9,'données'!$M9:$M3615,'données'!H9:H3615)</f>
        <v>ORSAY</v>
      </c>
      <c r="E9" s="43" t="str">
        <f t="array" ref="E9">xlookup($G9,'données'!$M9:$M3615,'données'!B9:B3615)</f>
        <v>VERSAILLES</v>
      </c>
      <c r="F9" s="43" t="str">
        <f t="array" ref="F9">xlookup($G9,'données'!$M9:$M3615,'données'!J9:J3615)</f>
        <v>LEGT</v>
      </c>
      <c r="G9" s="44">
        <f>LARGE('données'!M9:M3615,A9)</f>
        <v>152.6</v>
      </c>
    </row>
    <row r="10">
      <c r="A10" s="44">
        <f t="shared" si="1"/>
        <v>9</v>
      </c>
      <c r="B10" s="43" t="str">
        <f t="array" ref="B10">xlookup($G10,'données'!$M10:$M3616,'données'!F10:F3616)</f>
        <v>LYCEE GENERAL ET TECHNOLOGIQUE PRIVE SAINT DOMINIQUE</v>
      </c>
      <c r="C10" s="43" t="str">
        <f t="array" ref="C10">xlookup($G10,'données'!$M10:$M3616,'données'!I10:I3616)</f>
        <v>privé sous contrat</v>
      </c>
      <c r="D10" s="43" t="str">
        <f t="array" ref="D10">xlookup($G10,'données'!$M10:$M3616,'données'!H10:H3616)</f>
        <v>NEUILLY SUR SEINE</v>
      </c>
      <c r="E10" s="43" t="str">
        <f t="array" ref="E10">xlookup($G10,'données'!$M10:$M3616,'données'!B10:B3616)</f>
        <v>VERSAILLES</v>
      </c>
      <c r="F10" s="43" t="str">
        <f t="array" ref="F10">xlookup($G10,'données'!$M10:$M3616,'données'!J10:J3616)</f>
        <v>LEGT</v>
      </c>
      <c r="G10" s="44">
        <f>LARGE('données'!M10:M3616,A10)</f>
        <v>152.1</v>
      </c>
    </row>
    <row r="11">
      <c r="A11" s="44">
        <f t="shared" si="1"/>
        <v>10</v>
      </c>
      <c r="B11" s="43" t="str">
        <f t="array" ref="B11">xlookup($G11,'données'!$M11:$M3617,'données'!F11:F3617)</f>
        <v>LYCEE PRIVE SAINT JEAN DE PASSY</v>
      </c>
      <c r="C11" s="43" t="str">
        <f t="array" ref="C11">xlookup($G11,'données'!$M11:$M3617,'données'!I11:I3617)</f>
        <v>privé sous contrat</v>
      </c>
      <c r="D11" s="43" t="str">
        <f t="array" ref="D11">xlookup($G11,'données'!$M11:$M3617,'données'!H11:H3617)</f>
        <v>PARIS 16E ARRONDISSEMENT</v>
      </c>
      <c r="E11" s="43" t="str">
        <f t="array" ref="E11">xlookup($G11,'données'!$M11:$M3617,'données'!B11:B3617)</f>
        <v>PARIS</v>
      </c>
      <c r="F11" s="43" t="str">
        <f t="array" ref="F11">xlookup($G11,'données'!$M11:$M3617,'données'!J11:J3617)</f>
        <v>LEGT</v>
      </c>
      <c r="G11" s="44">
        <f>LARGE('données'!M11:M3617,A11)</f>
        <v>151.9</v>
      </c>
    </row>
    <row r="12">
      <c r="A12" s="44">
        <f t="shared" si="1"/>
        <v>11</v>
      </c>
      <c r="B12" s="43" t="str">
        <f t="array" ref="B12">xlookup($G12,'données'!$M12:$M3618,'données'!F12:F3618)</f>
        <v>LYCEE D ENSEIGNEMENT GENERAL HOCHE</v>
      </c>
      <c r="C12" s="43" t="str">
        <f t="array" ref="C12">xlookup($G12,'données'!$M12:$M3618,'données'!I12:I3618)</f>
        <v>public</v>
      </c>
      <c r="D12" s="43" t="str">
        <f t="array" ref="D12">xlookup($G12,'données'!$M12:$M3618,'données'!H12:H3618)</f>
        <v>VERSAILLES</v>
      </c>
      <c r="E12" s="43" t="str">
        <f t="array" ref="E12">xlookup($G12,'données'!$M12:$M3618,'données'!B12:B3618)</f>
        <v>VERSAILLES</v>
      </c>
      <c r="F12" s="43" t="str">
        <f t="array" ref="F12">xlookup($G12,'données'!$M12:$M3618,'données'!J12:J3618)</f>
        <v>LEGT</v>
      </c>
      <c r="G12" s="44">
        <f>LARGE('données'!M12:M3618,A12)</f>
        <v>151.7</v>
      </c>
    </row>
    <row r="13">
      <c r="A13" s="44">
        <f t="shared" si="1"/>
        <v>12</v>
      </c>
      <c r="B13" s="43" t="str">
        <f t="array" ref="B13">xlookup($G13,'données'!$M13:$M3619,'données'!F13:F3619)</f>
        <v>LYCEE D ENSEIGNEMENT GENERAL HOCHE</v>
      </c>
      <c r="C13" s="43" t="str">
        <f t="array" ref="C13">xlookup($G13,'données'!$M13:$M3619,'données'!I13:I3619)</f>
        <v>public</v>
      </c>
      <c r="D13" s="43" t="str">
        <f t="array" ref="D13">xlookup($G13,'données'!$M13:$M3619,'données'!H13:H3619)</f>
        <v>VERSAILLES</v>
      </c>
      <c r="E13" s="43" t="str">
        <f t="array" ref="E13">xlookup($G13,'données'!$M13:$M3619,'données'!B13:B3619)</f>
        <v>VERSAILLES</v>
      </c>
      <c r="F13" s="43" t="str">
        <f t="array" ref="F13">xlookup($G13,'données'!$M13:$M3619,'données'!J13:J3619)</f>
        <v>LEGT</v>
      </c>
      <c r="G13" s="44">
        <f>LARGE('données'!M13:M3619,A13)</f>
        <v>151.7</v>
      </c>
    </row>
    <row r="14">
      <c r="A14" s="44">
        <f t="shared" si="1"/>
        <v>13</v>
      </c>
      <c r="B14" s="43" t="str">
        <f t="array" ref="B14">xlookup($G14,'données'!$M14:$M3620,'données'!F14:F3620)</f>
        <v>LYCEE GENERAL PRIVE DE PROVENCE</v>
      </c>
      <c r="C14" s="43" t="str">
        <f t="array" ref="C14">xlookup($G14,'données'!$M14:$M3620,'données'!I14:I3620)</f>
        <v>privé sous contrat</v>
      </c>
      <c r="D14" s="43" t="str">
        <f t="array" ref="D14">xlookup($G14,'données'!$M14:$M3620,'données'!H14:H3620)</f>
        <v>MARSEILLE 8E ARRONDISSEMENT</v>
      </c>
      <c r="E14" s="43" t="str">
        <f t="array" ref="E14">xlookup($G14,'données'!$M14:$M3620,'données'!B14:B3620)</f>
        <v>AIX-MARSEILLE</v>
      </c>
      <c r="F14" s="43" t="str">
        <f t="array" ref="F14">xlookup($G14,'données'!$M14:$M3620,'données'!J14:J3620)</f>
        <v>LEGT</v>
      </c>
      <c r="G14" s="44">
        <f>LARGE('données'!M14:M3620,A14)</f>
        <v>151.5</v>
      </c>
    </row>
    <row r="15">
      <c r="A15" s="44">
        <f t="shared" si="1"/>
        <v>14</v>
      </c>
      <c r="B15" s="43" t="str">
        <f t="array" ref="B15">xlookup($G15,'données'!$M15:$M3621,'données'!F15:F3621)</f>
        <v>LYCEE GENERAL PRIVE DE PROVENCE</v>
      </c>
      <c r="C15" s="43" t="str">
        <f t="array" ref="C15">xlookup($G15,'données'!$M15:$M3621,'données'!I15:I3621)</f>
        <v>privé sous contrat</v>
      </c>
      <c r="D15" s="43" t="str">
        <f t="array" ref="D15">xlookup($G15,'données'!$M15:$M3621,'données'!H15:H3621)</f>
        <v>MARSEILLE 8E ARRONDISSEMENT</v>
      </c>
      <c r="E15" s="43" t="str">
        <f t="array" ref="E15">xlookup($G15,'données'!$M15:$M3621,'données'!B15:B3621)</f>
        <v>AIX-MARSEILLE</v>
      </c>
      <c r="F15" s="43" t="str">
        <f t="array" ref="F15">xlookup($G15,'données'!$M15:$M3621,'données'!J15:J3621)</f>
        <v>LEGT</v>
      </c>
      <c r="G15" s="44">
        <f>LARGE('données'!M15:M3621,A15)</f>
        <v>151.5</v>
      </c>
    </row>
    <row r="16">
      <c r="A16" s="44">
        <f t="shared" si="1"/>
        <v>15</v>
      </c>
      <c r="B16" s="43" t="str">
        <f t="array" ref="B16">xlookup($G16,'données'!$M16:$M3622,'données'!F16:F3622)</f>
        <v>LYCEE GENERAL ET TECHNOLOGIQUE PRIVE NOTRE DAME DE SAINTE CROIX</v>
      </c>
      <c r="C16" s="43" t="str">
        <f t="array" ref="C16">xlookup($G16,'données'!$M16:$M3622,'données'!I16:I3622)</f>
        <v>privé sous contrat</v>
      </c>
      <c r="D16" s="43" t="str">
        <f t="array" ref="D16">xlookup($G16,'données'!$M16:$M3622,'données'!H16:H3622)</f>
        <v>NEUILLY SUR SEINE</v>
      </c>
      <c r="E16" s="43" t="str">
        <f t="array" ref="E16">xlookup($G16,'données'!$M16:$M3622,'données'!B16:B3622)</f>
        <v>VERSAILLES</v>
      </c>
      <c r="F16" s="43" t="str">
        <f t="array" ref="F16">xlookup($G16,'données'!$M16:$M3622,'données'!J16:J3622)</f>
        <v>LEGT</v>
      </c>
      <c r="G16" s="44">
        <f>LARGE('données'!M16:M3622,A16)</f>
        <v>151.3</v>
      </c>
    </row>
    <row r="17">
      <c r="A17" s="44">
        <f t="shared" si="1"/>
        <v>16</v>
      </c>
      <c r="B17" s="43" t="str">
        <f t="array" ref="B17">xlookup($G17,'données'!$M17:$M3623,'données'!F17:F3623)</f>
        <v>LYCEE GENERAL ET TECHNOLOGIQUE PRIVE NOTRE DAME DE SAINTE CROIX</v>
      </c>
      <c r="C17" s="43" t="str">
        <f t="array" ref="C17">xlookup($G17,'données'!$M17:$M3623,'données'!I17:I3623)</f>
        <v>privé sous contrat</v>
      </c>
      <c r="D17" s="43" t="str">
        <f t="array" ref="D17">xlookup($G17,'données'!$M17:$M3623,'données'!H17:H3623)</f>
        <v>NEUILLY SUR SEINE</v>
      </c>
      <c r="E17" s="43" t="str">
        <f t="array" ref="E17">xlookup($G17,'données'!$M17:$M3623,'données'!B17:B3623)</f>
        <v>VERSAILLES</v>
      </c>
      <c r="F17" s="43" t="str">
        <f t="array" ref="F17">xlookup($G17,'données'!$M17:$M3623,'données'!J17:J3623)</f>
        <v>LEGT</v>
      </c>
      <c r="G17" s="44">
        <f>LARGE('données'!M17:M3623,A17)</f>
        <v>151.3</v>
      </c>
    </row>
    <row r="18">
      <c r="A18" s="44">
        <f t="shared" si="1"/>
        <v>17</v>
      </c>
      <c r="B18" s="43" t="str">
        <f t="array" ref="B18">xlookup($G18,'données'!$M18:$M3624,'données'!F18:F3624)</f>
        <v>LYCEE GENERAL ET TECHNOLOGIQUE PRIVE SAINTE GENEVIEVE</v>
      </c>
      <c r="C18" s="43" t="str">
        <f t="array" ref="C18">xlookup($G18,'données'!$M18:$M3624,'données'!I18:I3624)</f>
        <v>privé sous contrat</v>
      </c>
      <c r="D18" s="43" t="str">
        <f t="array" ref="D18">xlookup($G18,'données'!$M18:$M3624,'données'!H18:H3624)</f>
        <v>ASNIERES SUR SEINE</v>
      </c>
      <c r="E18" s="43" t="str">
        <f t="array" ref="E18">xlookup($G18,'données'!$M18:$M3624,'données'!B18:B3624)</f>
        <v>VERSAILLES</v>
      </c>
      <c r="F18" s="43" t="str">
        <f t="array" ref="F18">xlookup($G18,'données'!$M18:$M3624,'données'!J18:J3624)</f>
        <v>LEGT</v>
      </c>
      <c r="G18" s="44">
        <f>LARGE('données'!M18:M3624,A18)</f>
        <v>151.2</v>
      </c>
    </row>
    <row r="19">
      <c r="A19" s="44">
        <f t="shared" si="1"/>
        <v>18</v>
      </c>
      <c r="B19" s="43" t="str">
        <f t="array" ref="B19">xlookup($G19,'données'!$M19:$M3625,'données'!F19:F3625)</f>
        <v>LYCEE D ENSEIGNEMENT GENERAL INTERNATIONAL</v>
      </c>
      <c r="C19" s="43" t="str">
        <f t="array" ref="C19">xlookup($G19,'données'!$M19:$M3625,'données'!I19:I3625)</f>
        <v>public</v>
      </c>
      <c r="D19" s="43" t="str">
        <f t="array" ref="D19">xlookup($G19,'données'!$M19:$M3625,'données'!H19:H3625)</f>
        <v>SAINT GERMAIN EN LAYE</v>
      </c>
      <c r="E19" s="43" t="str">
        <f t="array" ref="E19">xlookup($G19,'données'!$M19:$M3625,'données'!B19:B3625)</f>
        <v>VERSAILLES</v>
      </c>
      <c r="F19" s="43" t="str">
        <f t="array" ref="F19">xlookup($G19,'données'!$M19:$M3625,'données'!J19:J3625)</f>
        <v>LEGT</v>
      </c>
      <c r="G19" s="44">
        <f>LARGE('données'!M19:M3625,A19)</f>
        <v>151.1</v>
      </c>
    </row>
    <row r="20">
      <c r="A20" s="44">
        <f t="shared" si="1"/>
        <v>19</v>
      </c>
      <c r="B20" s="43" t="str">
        <f t="array" ref="B20">xlookup($G20,'données'!$M20:$M3626,'données'!F20:F3626)</f>
        <v>LYCEE D ENSEIGNEMENT GENERAL INTERNATIONAL</v>
      </c>
      <c r="C20" s="43" t="str">
        <f t="array" ref="C20">xlookup($G20,'données'!$M20:$M3626,'données'!I20:I3626)</f>
        <v>public</v>
      </c>
      <c r="D20" s="43" t="str">
        <f t="array" ref="D20">xlookup($G20,'données'!$M20:$M3626,'données'!H20:H3626)</f>
        <v>SAINT GERMAIN EN LAYE</v>
      </c>
      <c r="E20" s="43" t="str">
        <f t="array" ref="E20">xlookup($G20,'données'!$M20:$M3626,'données'!B20:B3626)</f>
        <v>VERSAILLES</v>
      </c>
      <c r="F20" s="43" t="str">
        <f t="array" ref="F20">xlookup($G20,'données'!$M20:$M3626,'données'!J20:J3626)</f>
        <v>LEGT</v>
      </c>
      <c r="G20" s="44">
        <f>LARGE('données'!M20:M3626,A20)</f>
        <v>151.1</v>
      </c>
    </row>
    <row r="21">
      <c r="A21" s="44">
        <f t="shared" si="1"/>
        <v>20</v>
      </c>
      <c r="B21" s="43" t="str">
        <f t="array" ref="B21">xlookup($G21,'données'!$M21:$M3627,'données'!F21:F3627)</f>
        <v>LYCEE GENERAL ET TECHNOLOGIQUE PRIVE SAINT JEAN ET HULST</v>
      </c>
      <c r="C21" s="43" t="str">
        <f t="array" ref="C21">xlookup($G21,'données'!$M21:$M3627,'données'!I21:I3627)</f>
        <v>privé sous contrat</v>
      </c>
      <c r="D21" s="43" t="str">
        <f t="array" ref="D21">xlookup($G21,'données'!$M21:$M3627,'données'!H21:H3627)</f>
        <v>VERSAILLES</v>
      </c>
      <c r="E21" s="43" t="str">
        <f t="array" ref="E21">xlookup($G21,'données'!$M21:$M3627,'données'!B21:B3627)</f>
        <v>VERSAILLES</v>
      </c>
      <c r="F21" s="43" t="str">
        <f t="array" ref="F21">xlookup($G21,'données'!$M21:$M3627,'données'!J21:J3627)</f>
        <v>LEGT</v>
      </c>
      <c r="G21" s="44">
        <f>LARGE('données'!M21:M3627,A21)</f>
        <v>150.9</v>
      </c>
    </row>
    <row r="22">
      <c r="A22" s="44">
        <f t="shared" si="1"/>
        <v>21</v>
      </c>
      <c r="B22" s="43" t="str">
        <f t="array" ref="B22">xlookup($G22,'données'!$M22:$M3628,'données'!F22:F3628)</f>
        <v>LYCEE PRIVE DU COURS SECONDAIRE D ORSAY</v>
      </c>
      <c r="C22" s="43" t="str">
        <f t="array" ref="C22">xlookup($G22,'données'!$M22:$M3628,'données'!I22:I3628)</f>
        <v>privé sous contrat</v>
      </c>
      <c r="D22" s="43" t="str">
        <f t="array" ref="D22">xlookup($G22,'données'!$M22:$M3628,'données'!H22:H3628)</f>
        <v>ORSAY</v>
      </c>
      <c r="E22" s="43" t="str">
        <f t="array" ref="E22">xlookup($G22,'données'!$M22:$M3628,'données'!B22:B3628)</f>
        <v>VERSAILLES</v>
      </c>
      <c r="F22" s="43" t="str">
        <f t="array" ref="F22">xlookup($G22,'données'!$M22:$M3628,'données'!J22:J3628)</f>
        <v>LEGT</v>
      </c>
      <c r="G22" s="44">
        <f>LARGE('données'!M22:M3628,A22)</f>
        <v>150.6</v>
      </c>
    </row>
    <row r="23">
      <c r="A23" s="44">
        <f t="shared" si="1"/>
        <v>22</v>
      </c>
      <c r="B23" s="43" t="str">
        <f t="array" ref="B23">xlookup($G23,'données'!$M23:$M3629,'données'!F23:F3629)</f>
        <v>LYCEE GENERAL ET TECHNOLOGIQUE PRIVE SAINT FRANCOIS D ASSISE</v>
      </c>
      <c r="C23" s="43" t="str">
        <f t="array" ref="C23">xlookup($G23,'données'!$M23:$M3629,'données'!I23:I3629)</f>
        <v>privé sous contrat</v>
      </c>
      <c r="D23" s="43" t="str">
        <f t="array" ref="D23">xlookup($G23,'données'!$M23:$M3629,'données'!H23:H3629)</f>
        <v>MONTIGNY LE BRETONNEUX</v>
      </c>
      <c r="E23" s="43" t="str">
        <f t="array" ref="E23">xlookup($G23,'données'!$M23:$M3629,'données'!B23:B3629)</f>
        <v>VERSAILLES</v>
      </c>
      <c r="F23" s="43" t="str">
        <f t="array" ref="F23">xlookup($G23,'données'!$M23:$M3629,'données'!J23:J3629)</f>
        <v>LEGT</v>
      </c>
      <c r="G23" s="44">
        <f>LARGE('données'!M23:M3629,A23)</f>
        <v>150.5</v>
      </c>
    </row>
    <row r="24">
      <c r="A24" s="44">
        <f t="shared" si="1"/>
        <v>23</v>
      </c>
      <c r="B24" s="43" t="str">
        <f t="array" ref="B24">xlookup($G24,'données'!$M24:$M3630,'données'!F24:F3630)</f>
        <v>ECOLE INTERNATIONALE BILINGUE SECTION ETOILE</v>
      </c>
      <c r="C24" s="43" t="str">
        <f t="array" ref="C24">xlookup($G24,'données'!$M24:$M3630,'données'!I24:I3630)</f>
        <v>privé sous contrat</v>
      </c>
      <c r="D24" s="43" t="str">
        <f t="array" ref="D24">xlookup($G24,'données'!$M24:$M3630,'données'!H24:H3630)</f>
        <v>PARIS 17E ARRONDISSEMENT</v>
      </c>
      <c r="E24" s="43" t="str">
        <f t="array" ref="E24">xlookup($G24,'données'!$M24:$M3630,'données'!B24:B3630)</f>
        <v>PARIS</v>
      </c>
      <c r="F24" s="43" t="str">
        <f t="array" ref="F24">xlookup($G24,'données'!$M24:$M3630,'données'!J24:J3630)</f>
        <v>LEGT</v>
      </c>
      <c r="G24" s="44">
        <f>LARGE('données'!M24:M3630,A24)</f>
        <v>149.8</v>
      </c>
    </row>
    <row r="25">
      <c r="A25" s="44">
        <f t="shared" si="1"/>
        <v>24</v>
      </c>
      <c r="B25" s="43" t="str">
        <f t="array" ref="B25">xlookup($G25,'données'!$M25:$M3631,'données'!F25:F3631)</f>
        <v>INSTITUT LA TOUR (ECOLE SECONDAIRE PRIVEE)</v>
      </c>
      <c r="C25" s="43" t="str">
        <f t="array" ref="C25">xlookup($G25,'données'!$M25:$M3631,'données'!I25:I3631)</f>
        <v>privé sous contrat</v>
      </c>
      <c r="D25" s="43" t="str">
        <f t="array" ref="D25">xlookup($G25,'données'!$M25:$M3631,'données'!H25:H3631)</f>
        <v>PARIS 16E ARRONDISSEMENT</v>
      </c>
      <c r="E25" s="43" t="str">
        <f t="array" ref="E25">xlookup($G25,'données'!$M25:$M3631,'données'!B25:B3631)</f>
        <v>PARIS</v>
      </c>
      <c r="F25" s="43" t="str">
        <f t="array" ref="F25">xlookup($G25,'données'!$M25:$M3631,'données'!J25:J3631)</f>
        <v>LEGT</v>
      </c>
      <c r="G25" s="44">
        <f>LARGE('données'!M25:M3631,A25)</f>
        <v>149.5</v>
      </c>
    </row>
    <row r="26">
      <c r="A26" s="44">
        <f t="shared" si="1"/>
        <v>25</v>
      </c>
      <c r="B26" s="43" t="str">
        <f t="array" ref="B26">xlookup($G26,'données'!$M26:$M3632,'données'!F26:F3632)</f>
        <v>LYCEE GENERAL ET TECHNOLOGIQUE PRIVE LA SALLE PASSY BUZENVAL</v>
      </c>
      <c r="C26" s="43" t="str">
        <f t="array" ref="C26">xlookup($G26,'données'!$M26:$M3632,'données'!I26:I3632)</f>
        <v>privé sous contrat</v>
      </c>
      <c r="D26" s="43" t="str">
        <f t="array" ref="D26">xlookup($G26,'données'!$M26:$M3632,'données'!H26:H3632)</f>
        <v>RUEIL MALMAISON</v>
      </c>
      <c r="E26" s="43" t="str">
        <f t="array" ref="E26">xlookup($G26,'données'!$M26:$M3632,'données'!B26:B3632)</f>
        <v>VERSAILLES</v>
      </c>
      <c r="F26" s="43" t="str">
        <f t="array" ref="F26">xlookup($G26,'données'!$M26:$M3632,'données'!J26:J3632)</f>
        <v>LEGT</v>
      </c>
      <c r="G26" s="44">
        <f>LARGE('données'!M26:M3632,A26)</f>
        <v>149.4</v>
      </c>
    </row>
    <row r="27">
      <c r="A27" s="44">
        <f t="shared" si="1"/>
        <v>26</v>
      </c>
      <c r="B27" s="43" t="str">
        <f t="array" ref="B27">xlookup($G27,'données'!$M27:$M3633,'données'!F27:F3633)</f>
        <v>LYCEE D ENSEIGNEMENT GENERAL PRIVE SAINT AUGUSTIN</v>
      </c>
      <c r="C27" s="43" t="str">
        <f t="array" ref="C27">xlookup($G27,'données'!$M27:$M3633,'données'!I27:I3633)</f>
        <v>privé sous contrat</v>
      </c>
      <c r="D27" s="43" t="str">
        <f t="array" ref="D27">xlookup($G27,'données'!$M27:$M3633,'données'!H27:H3633)</f>
        <v>SAINT GERMAIN EN LAYE</v>
      </c>
      <c r="E27" s="43" t="str">
        <f t="array" ref="E27">xlookup($G27,'données'!$M27:$M3633,'données'!B27:B3633)</f>
        <v>VERSAILLES</v>
      </c>
      <c r="F27" s="43" t="str">
        <f t="array" ref="F27">xlookup($G27,'données'!$M27:$M3633,'données'!J27:J3633)</f>
        <v>LEGT</v>
      </c>
      <c r="G27" s="44">
        <f>LARGE('données'!M27:M3633,A27)</f>
        <v>149.3</v>
      </c>
    </row>
    <row r="28">
      <c r="A28" s="44">
        <f t="shared" si="1"/>
        <v>27</v>
      </c>
      <c r="B28" s="43" t="str">
        <f t="array" ref="B28">xlookup($G28,'données'!$M28:$M3634,'données'!F28:F3634)</f>
        <v>LYCEE GENERAL PRIVE ALBERT DE MUN</v>
      </c>
      <c r="C28" s="43" t="str">
        <f t="array" ref="C28">xlookup($G28,'données'!$M28:$M3634,'données'!I28:I3634)</f>
        <v>privé sous contrat</v>
      </c>
      <c r="D28" s="43" t="str">
        <f t="array" ref="D28">xlookup($G28,'données'!$M28:$M3634,'données'!H28:H3634)</f>
        <v>NOGENT SUR MARNE</v>
      </c>
      <c r="E28" s="43" t="str">
        <f t="array" ref="E28">xlookup($G28,'données'!$M28:$M3634,'données'!B28:B3634)</f>
        <v>CRETEIL</v>
      </c>
      <c r="F28" s="43" t="str">
        <f t="array" ref="F28">xlookup($G28,'données'!$M28:$M3634,'données'!J28:J3634)</f>
        <v>LEGT</v>
      </c>
      <c r="G28" s="44">
        <f>LARGE('données'!M28:M3634,A28)</f>
        <v>149.2</v>
      </c>
    </row>
    <row r="29">
      <c r="A29" s="44">
        <f t="shared" si="1"/>
        <v>28</v>
      </c>
      <c r="B29" s="43" t="str">
        <f t="array" ref="B29">xlookup($G29,'données'!$M29:$M3635,'données'!F29:F3635)</f>
        <v>LYCEE GENERAL PRIVE SAINT PAUL</v>
      </c>
      <c r="C29" s="43" t="str">
        <f t="array" ref="C29">xlookup($G29,'données'!$M29:$M3635,'données'!I29:I3635)</f>
        <v>privé sous contrat</v>
      </c>
      <c r="D29" s="43" t="str">
        <f t="array" ref="D29">xlookup($G29,'données'!$M29:$M3635,'données'!H29:H3635)</f>
        <v>LILLE</v>
      </c>
      <c r="E29" s="43" t="str">
        <f t="array" ref="E29">xlookup($G29,'données'!$M29:$M3635,'données'!B29:B3635)</f>
        <v>LILLE</v>
      </c>
      <c r="F29" s="43" t="str">
        <f t="array" ref="F29">xlookup($G29,'données'!$M29:$M3635,'données'!J29:J3635)</f>
        <v>LEGT</v>
      </c>
      <c r="G29" s="44">
        <f>LARGE('données'!M29:M3635,A29)</f>
        <v>149</v>
      </c>
    </row>
    <row r="30">
      <c r="A30" s="44">
        <f t="shared" si="1"/>
        <v>29</v>
      </c>
      <c r="B30" s="43" t="str">
        <f t="array" ref="B30">xlookup($G30,'données'!$M30:$M3636,'données'!F30:F3636)</f>
        <v>LYCEE GENERAL ET TECHNOLOGIQUE PRIVE AUX LAZARISTES</v>
      </c>
      <c r="C30" s="43" t="str">
        <f t="array" ref="C30">xlookup($G30,'données'!$M30:$M3636,'données'!I30:I3636)</f>
        <v>privé sous contrat</v>
      </c>
      <c r="D30" s="43" t="str">
        <f t="array" ref="D30">xlookup($G30,'données'!$M30:$M3636,'données'!H30:H3636)</f>
        <v>LYON 5E ARRONDISSEMENT</v>
      </c>
      <c r="E30" s="43" t="str">
        <f t="array" ref="E30">xlookup($G30,'données'!$M30:$M3636,'données'!B30:B3636)</f>
        <v>LYON</v>
      </c>
      <c r="F30" s="43" t="str">
        <f t="array" ref="F30">xlookup($G30,'données'!$M30:$M3636,'données'!J30:J3636)</f>
        <v>LEGT</v>
      </c>
      <c r="G30" s="44">
        <f>LARGE('données'!M30:M3636,A30)</f>
        <v>148.9</v>
      </c>
    </row>
    <row r="31">
      <c r="A31" s="44">
        <f t="shared" si="1"/>
        <v>30</v>
      </c>
      <c r="B31" s="43" t="str">
        <f t="array" ref="B31">xlookup($G31,'données'!$M31:$M3637,'données'!F31:F3637)</f>
        <v>LYCEE GENERAL ET TECHNOLOGIQUE PRIVE AUX LAZARISTES</v>
      </c>
      <c r="C31" s="43" t="str">
        <f t="array" ref="C31">xlookup($G31,'données'!$M31:$M3637,'données'!I31:I3637)</f>
        <v>privé sous contrat</v>
      </c>
      <c r="D31" s="43" t="str">
        <f t="array" ref="D31">xlookup($G31,'données'!$M31:$M3637,'données'!H31:H3637)</f>
        <v>LYON 5E ARRONDISSEMENT</v>
      </c>
      <c r="E31" s="43" t="str">
        <f t="array" ref="E31">xlookup($G31,'données'!$M31:$M3637,'données'!B31:B3637)</f>
        <v>LYON</v>
      </c>
      <c r="F31" s="43" t="str">
        <f t="array" ref="F31">xlookup($G31,'données'!$M31:$M3637,'données'!J31:J3637)</f>
        <v>LEGT</v>
      </c>
      <c r="G31" s="44">
        <f>LARGE('données'!M31:M3637,A31)</f>
        <v>148.9</v>
      </c>
    </row>
    <row r="32">
      <c r="A32" s="44">
        <f t="shared" si="1"/>
        <v>31</v>
      </c>
      <c r="B32" s="43" t="str">
        <f t="array" ref="B32">xlookup($G32,'données'!$M32:$M3638,'données'!F32:F3638)</f>
        <v>LYCEE PRIVE DE MARCQ</v>
      </c>
      <c r="C32" s="43" t="str">
        <f t="array" ref="C32">xlookup($G32,'données'!$M32:$M3638,'données'!I32:I3638)</f>
        <v>privé sous contrat</v>
      </c>
      <c r="D32" s="43" t="str">
        <f t="array" ref="D32">xlookup($G32,'données'!$M32:$M3638,'données'!H32:H3638)</f>
        <v>MARCQ EN BAROEUL</v>
      </c>
      <c r="E32" s="43" t="str">
        <f t="array" ref="E32">xlookup($G32,'données'!$M32:$M3638,'données'!B32:B3638)</f>
        <v>LILLE</v>
      </c>
      <c r="F32" s="43" t="str">
        <f t="array" ref="F32">xlookup($G32,'données'!$M32:$M3638,'données'!J32:J3638)</f>
        <v>LEGT</v>
      </c>
      <c r="G32" s="44">
        <f>LARGE('données'!M32:M3638,A32)</f>
        <v>148.8</v>
      </c>
    </row>
    <row r="33">
      <c r="A33" s="44">
        <f t="shared" si="1"/>
        <v>32</v>
      </c>
      <c r="B33" s="43" t="str">
        <f t="array" ref="B33">xlookup($G33,'données'!$M33:$M3639,'données'!F33:F3639)</f>
        <v>LYCEE PRIVE DE MARCQ</v>
      </c>
      <c r="C33" s="43" t="str">
        <f t="array" ref="C33">xlookup($G33,'données'!$M33:$M3639,'données'!I33:I3639)</f>
        <v>privé sous contrat</v>
      </c>
      <c r="D33" s="43" t="str">
        <f t="array" ref="D33">xlookup($G33,'données'!$M33:$M3639,'données'!H33:H3639)</f>
        <v>MARCQ EN BAROEUL</v>
      </c>
      <c r="E33" s="43" t="str">
        <f t="array" ref="E33">xlookup($G33,'données'!$M33:$M3639,'données'!B33:B3639)</f>
        <v>LILLE</v>
      </c>
      <c r="F33" s="43" t="str">
        <f t="array" ref="F33">xlookup($G33,'données'!$M33:$M3639,'données'!J33:J3639)</f>
        <v>LEGT</v>
      </c>
      <c r="G33" s="44">
        <f>LARGE('données'!M33:M3639,A33)</f>
        <v>148.8</v>
      </c>
    </row>
    <row r="34">
      <c r="A34" s="44">
        <f t="shared" si="1"/>
        <v>33</v>
      </c>
      <c r="B34" s="43" t="str">
        <f t="array" ref="B34">xlookup($G34,'données'!$M34:$M3640,'données'!F34:F3640)</f>
        <v>LYCEE PRIVE SAINTE URSULE LOUISE DE BETTIGNIES</v>
      </c>
      <c r="C34" s="43" t="str">
        <f t="array" ref="C34">xlookup($G34,'données'!$M34:$M3640,'données'!I34:I3640)</f>
        <v>privé sous contrat</v>
      </c>
      <c r="D34" s="43" t="str">
        <f t="array" ref="D34">xlookup($G34,'données'!$M34:$M3640,'données'!H34:H3640)</f>
        <v>PARIS 17E ARRONDISSEMENT</v>
      </c>
      <c r="E34" s="43" t="str">
        <f t="array" ref="E34">xlookup($G34,'données'!$M34:$M3640,'données'!B34:B3640)</f>
        <v>PARIS</v>
      </c>
      <c r="F34" s="43" t="str">
        <f t="array" ref="F34">xlookup($G34,'données'!$M34:$M3640,'données'!J34:J3640)</f>
        <v>LEGT</v>
      </c>
      <c r="G34" s="44">
        <f>LARGE('données'!M34:M3640,A34)</f>
        <v>148.6</v>
      </c>
    </row>
    <row r="35">
      <c r="A35" s="44">
        <f t="shared" si="1"/>
        <v>34</v>
      </c>
      <c r="B35" s="43" t="str">
        <f t="array" ref="B35">xlookup($G35,'données'!$M35:$M3641,'données'!F35:F3641)</f>
        <v>LYCEE GENERAL ET TECHNOLOGIQUE PRIVE LA SOURCE</v>
      </c>
      <c r="C35" s="43" t="str">
        <f t="array" ref="C35">xlookup($G35,'données'!$M35:$M3641,'données'!I35:I3641)</f>
        <v>privé sous contrat</v>
      </c>
      <c r="D35" s="43" t="str">
        <f t="array" ref="D35">xlookup($G35,'données'!$M35:$M3641,'données'!H35:H3641)</f>
        <v>MEUDON</v>
      </c>
      <c r="E35" s="43" t="str">
        <f t="array" ref="E35">xlookup($G35,'données'!$M35:$M3641,'données'!B35:B3641)</f>
        <v>VERSAILLES</v>
      </c>
      <c r="F35" s="43" t="str">
        <f t="array" ref="F35">xlookup($G35,'données'!$M35:$M3641,'données'!J35:J3641)</f>
        <v>LEGT</v>
      </c>
      <c r="G35" s="44">
        <f>LARGE('données'!M35:M3641,A35)</f>
        <v>148.4</v>
      </c>
    </row>
    <row r="36">
      <c r="A36" s="44">
        <f t="shared" si="1"/>
        <v>35</v>
      </c>
      <c r="B36" s="43" t="str">
        <f t="array" ref="B36">xlookup($G36,'données'!$M36:$M3642,'données'!F36:F3642)</f>
        <v>LYCEE GENERAL PRIVE NOTRE DAME DE LA PROVIDENCE</v>
      </c>
      <c r="C36" s="43" t="str">
        <f t="array" ref="C36">xlookup($G36,'données'!$M36:$M3642,'données'!I36:I3642)</f>
        <v>privé sous contrat</v>
      </c>
      <c r="D36" s="43" t="str">
        <f t="array" ref="D36">xlookup($G36,'données'!$M36:$M3642,'données'!H36:H3642)</f>
        <v>VINCENNES</v>
      </c>
      <c r="E36" s="43" t="str">
        <f t="array" ref="E36">xlookup($G36,'données'!$M36:$M3642,'données'!B36:B3642)</f>
        <v>CRETEIL</v>
      </c>
      <c r="F36" s="43" t="str">
        <f t="array" ref="F36">xlookup($G36,'données'!$M36:$M3642,'données'!J36:J3642)</f>
        <v>LEGT</v>
      </c>
      <c r="G36" s="44">
        <f>LARGE('données'!M36:M3642,A36)</f>
        <v>148.2</v>
      </c>
    </row>
    <row r="37">
      <c r="A37" s="44">
        <f t="shared" si="1"/>
        <v>36</v>
      </c>
      <c r="B37" s="43" t="str">
        <f t="array" ref="B37">xlookup($G37,'données'!$M37:$M3643,'données'!F37:F3643)</f>
        <v>LYCEE GENERAL PRIVE NOTRE DAME DE LA PROVIDENCE</v>
      </c>
      <c r="C37" s="43" t="str">
        <f t="array" ref="C37">xlookup($G37,'données'!$M37:$M3643,'données'!I37:I3643)</f>
        <v>privé sous contrat</v>
      </c>
      <c r="D37" s="43" t="str">
        <f t="array" ref="D37">xlookup($G37,'données'!$M37:$M3643,'données'!H37:H3643)</f>
        <v>VINCENNES</v>
      </c>
      <c r="E37" s="43" t="str">
        <f t="array" ref="E37">xlookup($G37,'données'!$M37:$M3643,'données'!B37:B3643)</f>
        <v>CRETEIL</v>
      </c>
      <c r="F37" s="43" t="str">
        <f t="array" ref="F37">xlookup($G37,'données'!$M37:$M3643,'données'!J37:J3643)</f>
        <v>LEGT</v>
      </c>
      <c r="G37" s="44">
        <f>LARGE('données'!M37:M3643,A37)</f>
        <v>148.2</v>
      </c>
    </row>
    <row r="38">
      <c r="A38" s="44">
        <f t="shared" si="1"/>
        <v>37</v>
      </c>
      <c r="B38" s="43" t="str">
        <f t="array" ref="B38">xlookup($G38,'données'!$M38:$M3644,'données'!F38:F3644)</f>
        <v>LYCEE GENERAL ET TECHNOLOGIQUE PRIVE NOTRE DAME</v>
      </c>
      <c r="C38" s="43" t="str">
        <f t="array" ref="C38">xlookup($G38,'données'!$M38:$M3644,'données'!I38:I3644)</f>
        <v>privé sous contrat</v>
      </c>
      <c r="D38" s="43" t="str">
        <f t="array" ref="D38">xlookup($G38,'données'!$M38:$M3644,'données'!H38:H3644)</f>
        <v>MEUDON</v>
      </c>
      <c r="E38" s="43" t="str">
        <f t="array" ref="E38">xlookup($G38,'données'!$M38:$M3644,'données'!B38:B3644)</f>
        <v>VERSAILLES</v>
      </c>
      <c r="F38" s="43" t="str">
        <f t="array" ref="F38">xlookup($G38,'données'!$M38:$M3644,'données'!J38:J3644)</f>
        <v>LEGT</v>
      </c>
      <c r="G38" s="44">
        <f>LARGE('données'!M38:M3644,A38)</f>
        <v>148.1</v>
      </c>
    </row>
    <row r="39">
      <c r="A39" s="44">
        <f t="shared" si="1"/>
        <v>38</v>
      </c>
      <c r="B39" s="43" t="str">
        <f t="array" ref="B39">xlookup($G39,'données'!$M39:$M3645,'données'!F39:F3645)</f>
        <v>LYCEE GENERAL ET TECHNOLOGIQUE PRIVE NOTRE DAME DE SION</v>
      </c>
      <c r="C39" s="43" t="str">
        <f t="array" ref="C39">xlookup($G39,'données'!$M39:$M3645,'données'!I39:I3645)</f>
        <v>privé sous contrat</v>
      </c>
      <c r="D39" s="43" t="str">
        <f t="array" ref="D39">xlookup($G39,'données'!$M39:$M3645,'données'!H39:H3645)</f>
        <v>PARIS 6E ARRONDISSEMENT</v>
      </c>
      <c r="E39" s="43" t="str">
        <f t="array" ref="E39">xlookup($G39,'données'!$M39:$M3645,'données'!B39:B3645)</f>
        <v>PARIS</v>
      </c>
      <c r="F39" s="43" t="str">
        <f t="array" ref="F39">xlookup($G39,'données'!$M39:$M3645,'données'!J39:J3645)</f>
        <v>LEGT</v>
      </c>
      <c r="G39" s="44">
        <f>LARGE('données'!M39:M3645,A39)</f>
        <v>148</v>
      </c>
    </row>
    <row r="40">
      <c r="A40" s="44">
        <f t="shared" si="1"/>
        <v>39</v>
      </c>
      <c r="B40" s="43" t="str">
        <f t="array" ref="B40">xlookup($G40,'données'!$M40:$M3646,'données'!F40:F3646)</f>
        <v>LYCEE GENERAL ET TECHNOLOGIQUE PRIVE SAINTE JEANNE ELISABETH</v>
      </c>
      <c r="C40" s="43" t="str">
        <f t="array" ref="C40">xlookup($G40,'données'!$M40:$M3646,'données'!I40:I3646)</f>
        <v>privé sous contrat</v>
      </c>
      <c r="D40" s="43" t="str">
        <f t="array" ref="D40">xlookup($G40,'données'!$M40:$M3646,'données'!H40:H3646)</f>
        <v>PARIS 7E ARRONDISSEMENT</v>
      </c>
      <c r="E40" s="43" t="str">
        <f t="array" ref="E40">xlookup($G40,'données'!$M40:$M3646,'données'!B40:B3646)</f>
        <v>PARIS</v>
      </c>
      <c r="F40" s="43" t="str">
        <f t="array" ref="F40">xlookup($G40,'données'!$M40:$M3646,'données'!J40:J3646)</f>
        <v>LEGT</v>
      </c>
      <c r="G40" s="44">
        <f>LARGE('données'!M40:M3646,A40)</f>
        <v>147.8</v>
      </c>
    </row>
    <row r="41">
      <c r="A41" s="44">
        <f t="shared" si="1"/>
        <v>40</v>
      </c>
      <c r="B41" s="43" t="str">
        <f t="array" ref="B41">xlookup($G41,'données'!$M41:$M3647,'données'!F41:F3647)</f>
        <v>ENSEIGNEMENT PRIVE STANISLAS (ECOLE SECONDAIRE PRIVEE)</v>
      </c>
      <c r="C41" s="43" t="str">
        <f t="array" ref="C41">xlookup($G41,'données'!$M41:$M3647,'données'!I41:I3647)</f>
        <v>privé sous contrat</v>
      </c>
      <c r="D41" s="43" t="str">
        <f t="array" ref="D41">xlookup($G41,'données'!$M41:$M3647,'données'!H41:H3647)</f>
        <v>PARIS 6E ARRONDISSEMENT</v>
      </c>
      <c r="E41" s="43" t="str">
        <f t="array" ref="E41">xlookup($G41,'données'!$M41:$M3647,'données'!B41:B3647)</f>
        <v>PARIS</v>
      </c>
      <c r="F41" s="43" t="str">
        <f t="array" ref="F41">xlookup($G41,'données'!$M41:$M3647,'données'!J41:J3647)</f>
        <v>LEGT</v>
      </c>
      <c r="G41" s="44">
        <f>LARGE('données'!M41:M3647,A41)</f>
        <v>147.4</v>
      </c>
    </row>
    <row r="42">
      <c r="A42" s="44">
        <f t="shared" si="1"/>
        <v>41</v>
      </c>
      <c r="B42" s="43" t="str">
        <f t="array" ref="B42">xlookup($G42,'données'!$M42:$M3648,'données'!F42:F3648)</f>
        <v>LYCEE GENERAL ET TECHNOLOGIQUE PRIVE NOTRE DAME</v>
      </c>
      <c r="C42" s="43" t="str">
        <f t="array" ref="C42">xlookup($G42,'données'!$M42:$M3648,'données'!I42:I3648)</f>
        <v>privé sous contrat</v>
      </c>
      <c r="D42" s="43" t="str">
        <f t="array" ref="D42">xlookup($G42,'données'!$M42:$M3648,'données'!H42:H3648)</f>
        <v>VERNEUIL SUR SEINE</v>
      </c>
      <c r="E42" s="43" t="str">
        <f t="array" ref="E42">xlookup($G42,'données'!$M42:$M3648,'données'!B42:B3648)</f>
        <v>VERSAILLES</v>
      </c>
      <c r="F42" s="43" t="str">
        <f t="array" ref="F42">xlookup($G42,'données'!$M42:$M3648,'données'!J42:J3648)</f>
        <v>LEGT</v>
      </c>
      <c r="G42" s="44">
        <f>LARGE('données'!M42:M3648,A42)</f>
        <v>147.3</v>
      </c>
    </row>
    <row r="43">
      <c r="A43" s="44">
        <f t="shared" si="1"/>
        <v>42</v>
      </c>
      <c r="B43" s="43" t="str">
        <f t="array" ref="B43">xlookup($G43,'données'!$M43:$M3649,'données'!F43:F3649)</f>
        <v>LYCEE GENERAL ET TECHNOLOGIQUE PRIVE NOTRE DAME</v>
      </c>
      <c r="C43" s="43" t="str">
        <f t="array" ref="C43">xlookup($G43,'données'!$M43:$M3649,'données'!I43:I3649)</f>
        <v>privé sous contrat</v>
      </c>
      <c r="D43" s="43" t="str">
        <f t="array" ref="D43">xlookup($G43,'données'!$M43:$M3649,'données'!H43:H3649)</f>
        <v>VERNEUIL SUR SEINE</v>
      </c>
      <c r="E43" s="43" t="str">
        <f t="array" ref="E43">xlookup($G43,'données'!$M43:$M3649,'données'!B43:B3649)</f>
        <v>VERSAILLES</v>
      </c>
      <c r="F43" s="43" t="str">
        <f t="array" ref="F43">xlookup($G43,'données'!$M43:$M3649,'données'!J43:J3649)</f>
        <v>LEGT</v>
      </c>
      <c r="G43" s="44">
        <f>LARGE('données'!M43:M3649,A43)</f>
        <v>147.3</v>
      </c>
    </row>
    <row r="44">
      <c r="A44" s="44">
        <f t="shared" si="1"/>
        <v>43</v>
      </c>
      <c r="B44" s="43" t="str">
        <f t="array" ref="B44">xlookup($G44,'données'!$M44:$M3650,'données'!F44:F3650)</f>
        <v>LYCEE GENERAL ET TECHNOLOGIQUE PRIVE NOTRE DAME</v>
      </c>
      <c r="C44" s="43" t="str">
        <f t="array" ref="C44">xlookup($G44,'données'!$M44:$M3650,'données'!I44:I3650)</f>
        <v>privé sous contrat</v>
      </c>
      <c r="D44" s="43" t="str">
        <f t="array" ref="D44">xlookup($G44,'données'!$M44:$M3650,'données'!H44:H3650)</f>
        <v>VERNEUIL SUR SEINE</v>
      </c>
      <c r="E44" s="43" t="str">
        <f t="array" ref="E44">xlookup($G44,'données'!$M44:$M3650,'données'!B44:B3650)</f>
        <v>VERSAILLES</v>
      </c>
      <c r="F44" s="43" t="str">
        <f t="array" ref="F44">xlookup($G44,'données'!$M44:$M3650,'données'!J44:J3650)</f>
        <v>LEGT</v>
      </c>
      <c r="G44" s="44">
        <f>LARGE('données'!M44:M3650,A44)</f>
        <v>147.3</v>
      </c>
    </row>
    <row r="45">
      <c r="A45" s="44">
        <f t="shared" si="1"/>
        <v>44</v>
      </c>
      <c r="B45" s="43" t="str">
        <f t="array" ref="B45">xlookup($G45,'données'!$M45:$M3651,'données'!F45:F3651)</f>
        <v>INSTITUT PRIVE DE L ALMA (ECOLE SECONDAIRE PRIVEE )</v>
      </c>
      <c r="C45" s="43" t="str">
        <f t="array" ref="C45">xlookup($G45,'données'!$M45:$M3651,'données'!I45:I3651)</f>
        <v>privé sous contrat</v>
      </c>
      <c r="D45" s="43" t="str">
        <f t="array" ref="D45">xlookup($G45,'données'!$M45:$M3651,'données'!H45:H3651)</f>
        <v>PARIS 7E ARRONDISSEMENT</v>
      </c>
      <c r="E45" s="43" t="str">
        <f t="array" ref="E45">xlookup($G45,'données'!$M45:$M3651,'données'!B45:B3651)</f>
        <v>PARIS</v>
      </c>
      <c r="F45" s="43" t="str">
        <f t="array" ref="F45">xlookup($G45,'données'!$M45:$M3651,'données'!J45:J3651)</f>
        <v>LEGT</v>
      </c>
      <c r="G45" s="44">
        <f>LARGE('données'!M45:M3651,A45)</f>
        <v>147.1</v>
      </c>
    </row>
    <row r="46">
      <c r="A46" s="44">
        <f t="shared" si="1"/>
        <v>45</v>
      </c>
      <c r="B46" s="43" t="str">
        <f t="array" ref="B46">xlookup($G46,'données'!$M46:$M3652,'données'!F46:F3652)</f>
        <v>INSTITUT PRIVE DE L ALMA (ECOLE SECONDAIRE PRIVEE )</v>
      </c>
      <c r="C46" s="43" t="str">
        <f t="array" ref="C46">xlookup($G46,'données'!$M46:$M3652,'données'!I46:I3652)</f>
        <v>privé sous contrat</v>
      </c>
      <c r="D46" s="43" t="str">
        <f t="array" ref="D46">xlookup($G46,'données'!$M46:$M3652,'données'!H46:H3652)</f>
        <v>PARIS 7E ARRONDISSEMENT</v>
      </c>
      <c r="E46" s="43" t="str">
        <f t="array" ref="E46">xlookup($G46,'données'!$M46:$M3652,'données'!B46:B3652)</f>
        <v>PARIS</v>
      </c>
      <c r="F46" s="43" t="str">
        <f t="array" ref="F46">xlookup($G46,'données'!$M46:$M3652,'données'!J46:J3652)</f>
        <v>LEGT</v>
      </c>
      <c r="G46" s="44">
        <f>LARGE('données'!M46:M3652,A46)</f>
        <v>147.1</v>
      </c>
    </row>
    <row r="47">
      <c r="A47" s="44">
        <f t="shared" si="1"/>
        <v>46</v>
      </c>
      <c r="B47" s="43" t="str">
        <f t="array" ref="B47">xlookup($G47,'données'!$M47:$M3653,'données'!F47:F3653)</f>
        <v>LYCEE D ENSEIGNEMENT GENERAL LOUIS PASTEUR</v>
      </c>
      <c r="C47" s="43" t="str">
        <f t="array" ref="C47">xlookup($G47,'données'!$M47:$M3653,'données'!I47:I3653)</f>
        <v>public</v>
      </c>
      <c r="D47" s="43" t="str">
        <f t="array" ref="D47">xlookup($G47,'données'!$M47:$M3653,'données'!H47:H3653)</f>
        <v>NEUILLY SUR SEINE</v>
      </c>
      <c r="E47" s="43" t="str">
        <f t="array" ref="E47">xlookup($G47,'données'!$M47:$M3653,'données'!B47:B3653)</f>
        <v>VERSAILLES</v>
      </c>
      <c r="F47" s="43" t="str">
        <f t="array" ref="F47">xlookup($G47,'données'!$M47:$M3653,'données'!J47:J3653)</f>
        <v>LEGT</v>
      </c>
      <c r="G47" s="44">
        <f>LARGE('données'!M47:M3653,A47)</f>
        <v>146.9</v>
      </c>
    </row>
    <row r="48">
      <c r="A48" s="44">
        <f t="shared" si="1"/>
        <v>47</v>
      </c>
      <c r="B48" s="43" t="str">
        <f t="array" ref="B48">xlookup($G48,'données'!$M48:$M3654,'données'!F48:F3654)</f>
        <v>LYCEE GENERAL PRIVE LA NATIVITE</v>
      </c>
      <c r="C48" s="43" t="str">
        <f t="array" ref="C48">xlookup($G48,'données'!$M48:$M3654,'données'!I48:I3654)</f>
        <v>privé sous contrat</v>
      </c>
      <c r="D48" s="43" t="str">
        <f t="array" ref="D48">xlookup($G48,'données'!$M48:$M3654,'données'!H48:H3654)</f>
        <v>AIX EN PROVENCE</v>
      </c>
      <c r="E48" s="43" t="str">
        <f t="array" ref="E48">xlookup($G48,'données'!$M48:$M3654,'données'!B48:B3654)</f>
        <v>AIX-MARSEILLE</v>
      </c>
      <c r="F48" s="43" t="str">
        <f t="array" ref="F48">xlookup($G48,'données'!$M48:$M3654,'données'!J48:J3654)</f>
        <v>LEGT</v>
      </c>
      <c r="G48" s="44">
        <f>LARGE('données'!M48:M3654,A48)</f>
        <v>146.8</v>
      </c>
    </row>
    <row r="49">
      <c r="A49" s="44">
        <f t="shared" si="1"/>
        <v>48</v>
      </c>
      <c r="B49" s="43" t="str">
        <f t="array" ref="B49">xlookup($G49,'données'!$M49:$M3655,'données'!F49:F3655)</f>
        <v>LYCEE GENERAL ET TECHNOLOGIQUE PRIVE NOTRE DAME DU GRANDCHAMP</v>
      </c>
      <c r="C49" s="43" t="str">
        <f t="array" ref="C49">xlookup($G49,'données'!$M49:$M3655,'données'!I49:I3655)</f>
        <v>privé sous contrat</v>
      </c>
      <c r="D49" s="43" t="str">
        <f t="array" ref="D49">xlookup($G49,'données'!$M49:$M3655,'données'!H49:H3655)</f>
        <v>VERSAILLES</v>
      </c>
      <c r="E49" s="43" t="str">
        <f t="array" ref="E49">xlookup($G49,'données'!$M49:$M3655,'données'!B49:B3655)</f>
        <v>VERSAILLES</v>
      </c>
      <c r="F49" s="43" t="str">
        <f t="array" ref="F49">xlookup($G49,'données'!$M49:$M3655,'données'!J49:J3655)</f>
        <v>LEGT</v>
      </c>
      <c r="G49" s="44">
        <f>LARGE('données'!M49:M3655,A49)</f>
        <v>146.3</v>
      </c>
    </row>
    <row r="50">
      <c r="A50" s="44">
        <f t="shared" si="1"/>
        <v>49</v>
      </c>
      <c r="B50" s="43" t="str">
        <f t="array" ref="B50">xlookup($G50,'données'!$M50:$M3656,'données'!F50:F3656)</f>
        <v>LYCEE D ENSEIGNEMENT GENERAL PRIVE RUDOLF STEINER</v>
      </c>
      <c r="C50" s="43" t="str">
        <f t="array" ref="C50">xlookup($G50,'données'!$M50:$M3656,'données'!I50:I3656)</f>
        <v>privé sous contrat</v>
      </c>
      <c r="D50" s="43" t="str">
        <f t="array" ref="D50">xlookup($G50,'données'!$M50:$M3656,'données'!H50:H3656)</f>
        <v>VERRIERES LE BUISSON</v>
      </c>
      <c r="E50" s="43" t="str">
        <f t="array" ref="E50">xlookup($G50,'données'!$M50:$M3656,'données'!B50:B3656)</f>
        <v>VERSAILLES</v>
      </c>
      <c r="F50" s="43" t="str">
        <f t="array" ref="F50">xlookup($G50,'données'!$M50:$M3656,'données'!J50:J3656)</f>
        <v>LEGT</v>
      </c>
      <c r="G50" s="44">
        <f>LARGE('données'!M50:M3656,A50)</f>
        <v>146.2</v>
      </c>
    </row>
    <row r="51">
      <c r="A51" s="44">
        <f t="shared" si="1"/>
        <v>50</v>
      </c>
      <c r="B51" s="43" t="str">
        <f t="array" ref="B51">xlookup($G51,'données'!$M51:$M3657,'données'!F51:F3657)</f>
        <v>LYCEE GENERAL PRIVE BLOMET</v>
      </c>
      <c r="C51" s="43" t="str">
        <f t="array" ref="C51">xlookup($G51,'données'!$M51:$M3657,'données'!I51:I3657)</f>
        <v>privé sous contrat</v>
      </c>
      <c r="D51" s="43" t="str">
        <f t="array" ref="D51">xlookup($G51,'données'!$M51:$M3657,'données'!H51:H3657)</f>
        <v>PARIS 15E ARRONDISSEMENT</v>
      </c>
      <c r="E51" s="43" t="str">
        <f t="array" ref="E51">xlookup($G51,'données'!$M51:$M3657,'données'!B51:B3657)</f>
        <v>PARIS</v>
      </c>
      <c r="F51" s="43" t="str">
        <f t="array" ref="F51">xlookup($G51,'données'!$M51:$M3657,'données'!J51:J3657)</f>
        <v>LEGT</v>
      </c>
      <c r="G51" s="44">
        <f>LARGE('données'!M51:M3657,A51)</f>
        <v>146.1</v>
      </c>
    </row>
    <row r="52">
      <c r="A52" s="44">
        <f t="shared" si="1"/>
        <v>51</v>
      </c>
      <c r="B52" s="43" t="str">
        <f t="array" ref="B52">xlookup($G52,'données'!$M52:$M3658,'données'!F52:F3658)</f>
        <v>LYCEE GENERAL GEORGES BRASSENS</v>
      </c>
      <c r="C52" s="43" t="str">
        <f t="array" ref="C52">xlookup($G52,'données'!$M52:$M3658,'données'!I52:I3658)</f>
        <v>public</v>
      </c>
      <c r="D52" s="43" t="str">
        <f t="array" ref="D52">xlookup($G52,'données'!$M52:$M3658,'données'!H52:H3658)</f>
        <v>PARIS 19E ARRONDISSEMENT</v>
      </c>
      <c r="E52" s="43" t="str">
        <f t="array" ref="E52">xlookup($G52,'données'!$M52:$M3658,'données'!B52:B3658)</f>
        <v>PARIS</v>
      </c>
      <c r="F52" s="43" t="str">
        <f t="array" ref="F52">xlookup($G52,'données'!$M52:$M3658,'données'!J52:J3658)</f>
        <v>LEGT</v>
      </c>
      <c r="G52" s="44">
        <f>LARGE('données'!M52:M3658,A52)</f>
        <v>146</v>
      </c>
    </row>
    <row r="53">
      <c r="A53" s="44">
        <f t="shared" si="1"/>
        <v>52</v>
      </c>
      <c r="B53" s="43" t="str">
        <f t="array" ref="B53">xlookup($G53,'données'!$M53:$M3659,'données'!F53:F3659)</f>
        <v>LYCEE GENERAL HENRI IV</v>
      </c>
      <c r="C53" s="43" t="str">
        <f t="array" ref="C53">xlookup($G53,'données'!$M53:$M3659,'données'!I53:I3659)</f>
        <v>public</v>
      </c>
      <c r="D53" s="43" t="str">
        <f t="array" ref="D53">xlookup($G53,'données'!$M53:$M3659,'données'!H53:H3659)</f>
        <v>PARIS 5E ARRONDISSEMENT</v>
      </c>
      <c r="E53" s="43" t="str">
        <f t="array" ref="E53">xlookup($G53,'données'!$M53:$M3659,'données'!B53:B3659)</f>
        <v>PARIS</v>
      </c>
      <c r="F53" s="43" t="str">
        <f t="array" ref="F53">xlookup($G53,'données'!$M53:$M3659,'données'!J53:J3659)</f>
        <v>LEGT</v>
      </c>
      <c r="G53" s="44">
        <f>LARGE('données'!M53:M3659,A53)</f>
        <v>145.9</v>
      </c>
    </row>
    <row r="54">
      <c r="A54" s="44">
        <f t="shared" si="1"/>
        <v>53</v>
      </c>
      <c r="B54" s="43" t="str">
        <f t="array" ref="B54">xlookup($G54,'données'!$M54:$M3660,'données'!F54:F3660)</f>
        <v>LYCEE GENERAL HENRI IV</v>
      </c>
      <c r="C54" s="43" t="str">
        <f t="array" ref="C54">xlookup($G54,'données'!$M54:$M3660,'données'!I54:I3660)</f>
        <v>public</v>
      </c>
      <c r="D54" s="43" t="str">
        <f t="array" ref="D54">xlookup($G54,'données'!$M54:$M3660,'données'!H54:H3660)</f>
        <v>PARIS 5E ARRONDISSEMENT</v>
      </c>
      <c r="E54" s="43" t="str">
        <f t="array" ref="E54">xlookup($G54,'données'!$M54:$M3660,'données'!B54:B3660)</f>
        <v>PARIS</v>
      </c>
      <c r="F54" s="43" t="str">
        <f t="array" ref="F54">xlookup($G54,'données'!$M54:$M3660,'données'!J54:J3660)</f>
        <v>LEGT</v>
      </c>
      <c r="G54" s="44">
        <f>LARGE('données'!M54:M3660,A54)</f>
        <v>145.9</v>
      </c>
    </row>
    <row r="55">
      <c r="A55" s="44">
        <f t="shared" si="1"/>
        <v>54</v>
      </c>
      <c r="B55" s="43" t="str">
        <f t="array" ref="B55">xlookup($G55,'données'!$M55:$M3661,'données'!F55:F3661)</f>
        <v>LYCEE GENERAL PRIVE MASSILLON</v>
      </c>
      <c r="C55" s="43" t="str">
        <f t="array" ref="C55">xlookup($G55,'données'!$M55:$M3661,'données'!I55:I3661)</f>
        <v>privé sous contrat</v>
      </c>
      <c r="D55" s="43" t="str">
        <f t="array" ref="D55">xlookup($G55,'données'!$M55:$M3661,'données'!H55:H3661)</f>
        <v>PARIS 4E ARRONDISSEMENT</v>
      </c>
      <c r="E55" s="43" t="str">
        <f t="array" ref="E55">xlookup($G55,'données'!$M55:$M3661,'données'!B55:B3661)</f>
        <v>PARIS</v>
      </c>
      <c r="F55" s="43" t="str">
        <f t="array" ref="F55">xlookup($G55,'données'!$M55:$M3661,'données'!J55:J3661)</f>
        <v>LEGT</v>
      </c>
      <c r="G55" s="44">
        <f>LARGE('données'!M55:M3661,A55)</f>
        <v>145.8</v>
      </c>
    </row>
    <row r="56">
      <c r="A56" s="44">
        <f t="shared" si="1"/>
        <v>55</v>
      </c>
      <c r="B56" s="43" t="str">
        <f t="array" ref="B56">xlookup($G56,'données'!$M56:$M3662,'données'!F56:F3662)</f>
        <v>LYCEE GENERAL PRIVE MASSILLON</v>
      </c>
      <c r="C56" s="43" t="str">
        <f t="array" ref="C56">xlookup($G56,'données'!$M56:$M3662,'données'!I56:I3662)</f>
        <v>privé sous contrat</v>
      </c>
      <c r="D56" s="43" t="str">
        <f t="array" ref="D56">xlookup($G56,'données'!$M56:$M3662,'données'!H56:H3662)</f>
        <v>PARIS 4E ARRONDISSEMENT</v>
      </c>
      <c r="E56" s="43" t="str">
        <f t="array" ref="E56">xlookup($G56,'données'!$M56:$M3662,'données'!B56:B3662)</f>
        <v>PARIS</v>
      </c>
      <c r="F56" s="43" t="str">
        <f t="array" ref="F56">xlookup($G56,'données'!$M56:$M3662,'données'!J56:J3662)</f>
        <v>LEGT</v>
      </c>
      <c r="G56" s="44">
        <f>LARGE('données'!M56:M3662,A56)</f>
        <v>145.8</v>
      </c>
    </row>
    <row r="57">
      <c r="A57" s="44">
        <f t="shared" si="1"/>
        <v>56</v>
      </c>
      <c r="B57" s="43" t="str">
        <f t="array" ref="B57">xlookup($G57,'données'!$M57:$M3663,'données'!F57:F3663)</f>
        <v>LYCEE GENERAL PRIVE MASSILLON</v>
      </c>
      <c r="C57" s="43" t="str">
        <f t="array" ref="C57">xlookup($G57,'données'!$M57:$M3663,'données'!I57:I3663)</f>
        <v>privé sous contrat</v>
      </c>
      <c r="D57" s="43" t="str">
        <f t="array" ref="D57">xlookup($G57,'données'!$M57:$M3663,'données'!H57:H3663)</f>
        <v>PARIS 4E ARRONDISSEMENT</v>
      </c>
      <c r="E57" s="43" t="str">
        <f t="array" ref="E57">xlookup($G57,'données'!$M57:$M3663,'données'!B57:B3663)</f>
        <v>PARIS</v>
      </c>
      <c r="F57" s="43" t="str">
        <f t="array" ref="F57">xlookup($G57,'données'!$M57:$M3663,'données'!J57:J3663)</f>
        <v>LEGT</v>
      </c>
      <c r="G57" s="44">
        <f>LARGE('données'!M57:M3663,A57)</f>
        <v>145.8</v>
      </c>
    </row>
    <row r="58">
      <c r="A58" s="44">
        <f t="shared" si="1"/>
        <v>57</v>
      </c>
      <c r="B58" s="43" t="str">
        <f t="array" ref="B58">xlookup($G58,'données'!$M58:$M3664,'données'!F58:F3664)</f>
        <v>LYCEE GENERAL ET TECHNOLOGIQUE PRIVE L ERMITAGE</v>
      </c>
      <c r="C58" s="43" t="str">
        <f t="array" ref="C58">xlookup($G58,'données'!$M58:$M3664,'données'!I58:I3664)</f>
        <v>privé sous contrat</v>
      </c>
      <c r="D58" s="43" t="str">
        <f t="array" ref="D58">xlookup($G58,'données'!$M58:$M3664,'données'!H58:H3664)</f>
        <v>MAISONS LAFFITTE</v>
      </c>
      <c r="E58" s="43" t="str">
        <f t="array" ref="E58">xlookup($G58,'données'!$M58:$M3664,'données'!B58:B3664)</f>
        <v>VERSAILLES</v>
      </c>
      <c r="F58" s="43" t="str">
        <f t="array" ref="F58">xlookup($G58,'données'!$M58:$M3664,'données'!J58:J3664)</f>
        <v>LEGT</v>
      </c>
      <c r="G58" s="44">
        <f>LARGE('données'!M58:M3664,A58)</f>
        <v>145.7</v>
      </c>
    </row>
    <row r="59">
      <c r="A59" s="44">
        <f t="shared" si="1"/>
        <v>58</v>
      </c>
      <c r="B59" s="43" t="str">
        <f t="array" ref="B59">xlookup($G59,'données'!$M59:$M3665,'données'!F59:F3665)</f>
        <v>LYCEE GENERAL ET TECHNOLOGIQUE INTERNATIONAL</v>
      </c>
      <c r="C59" s="43" t="str">
        <f t="array" ref="C59">xlookup($G59,'données'!$M59:$M3665,'données'!I59:I3665)</f>
        <v>public</v>
      </c>
      <c r="D59" s="43" t="str">
        <f t="array" ref="D59">xlookup($G59,'données'!$M59:$M3665,'données'!H59:H3665)</f>
        <v>VALBONNE</v>
      </c>
      <c r="E59" s="43" t="str">
        <f t="array" ref="E59">xlookup($G59,'données'!$M59:$M3665,'données'!B59:B3665)</f>
        <v>NICE</v>
      </c>
      <c r="F59" s="43" t="str">
        <f t="array" ref="F59">xlookup($G59,'données'!$M59:$M3665,'données'!J59:J3665)</f>
        <v>LEGT</v>
      </c>
      <c r="G59" s="44">
        <f>LARGE('données'!M59:M3665,A59)</f>
        <v>145.6</v>
      </c>
    </row>
    <row r="60">
      <c r="A60" s="44">
        <f t="shared" si="1"/>
        <v>59</v>
      </c>
      <c r="B60" s="43" t="str">
        <f t="array" ref="B60">xlookup($G60,'données'!$M60:$M3666,'données'!F60:F3666)</f>
        <v>LYCEE D ENSEIGNEMENT GENERAL PRIVE HAUTEFEUILLE</v>
      </c>
      <c r="C60" s="43" t="str">
        <f t="array" ref="C60">xlookup($G60,'données'!$M60:$M3666,'données'!I60:I3666)</f>
        <v>privé sous contrat</v>
      </c>
      <c r="D60" s="43" t="str">
        <f t="array" ref="D60">xlookup($G60,'données'!$M60:$M3666,'données'!H60:H3666)</f>
        <v>BOIS COLOMBES</v>
      </c>
      <c r="E60" s="43" t="str">
        <f t="array" ref="E60">xlookup($G60,'données'!$M60:$M3666,'données'!B60:B3666)</f>
        <v>VERSAILLES</v>
      </c>
      <c r="F60" s="43" t="str">
        <f t="array" ref="F60">xlookup($G60,'données'!$M60:$M3666,'données'!J60:J3666)</f>
        <v>LEGT</v>
      </c>
      <c r="G60" s="44">
        <f>LARGE('données'!M60:M3666,A60)</f>
        <v>145.4</v>
      </c>
    </row>
    <row r="61">
      <c r="A61" s="44">
        <f t="shared" si="1"/>
        <v>60</v>
      </c>
      <c r="B61" s="43" t="str">
        <f t="array" ref="B61">xlookup($G61,'données'!$M61:$M3667,'données'!F61:F3667)</f>
        <v>LYCEE D ENSEIGNEMENT GENERAL PRIVE HAUTEFEUILLE</v>
      </c>
      <c r="C61" s="43" t="str">
        <f t="array" ref="C61">xlookup($G61,'données'!$M61:$M3667,'données'!I61:I3667)</f>
        <v>privé sous contrat</v>
      </c>
      <c r="D61" s="43" t="str">
        <f t="array" ref="D61">xlookup($G61,'données'!$M61:$M3667,'données'!H61:H3667)</f>
        <v>BOIS COLOMBES</v>
      </c>
      <c r="E61" s="43" t="str">
        <f t="array" ref="E61">xlookup($G61,'données'!$M61:$M3667,'données'!B61:B3667)</f>
        <v>VERSAILLES</v>
      </c>
      <c r="F61" s="43" t="str">
        <f t="array" ref="F61">xlookup($G61,'données'!$M61:$M3667,'données'!J61:J3667)</f>
        <v>LEGT</v>
      </c>
      <c r="G61" s="44">
        <f>LARGE('données'!M61:M3667,A61)</f>
        <v>145.4</v>
      </c>
    </row>
    <row r="62">
      <c r="A62" s="44">
        <f t="shared" si="1"/>
        <v>61</v>
      </c>
      <c r="B62" s="43" t="str">
        <f t="array" ref="B62">xlookup($G62,'données'!$M62:$M3668,'données'!F62:F3668)</f>
        <v>LYCEE GENERAL ET TECHNOLOGIQUE PRIVE INSTITUTION DES CHARTREUX</v>
      </c>
      <c r="C62" s="43" t="str">
        <f t="array" ref="C62">xlookup($G62,'données'!$M62:$M3668,'données'!I62:I3668)</f>
        <v>privé sous contrat</v>
      </c>
      <c r="D62" s="43" t="str">
        <f t="array" ref="D62">xlookup($G62,'données'!$M62:$M3668,'données'!H62:H3668)</f>
        <v>LYON 1ER ARRONDISSEMENT</v>
      </c>
      <c r="E62" s="43" t="str">
        <f t="array" ref="E62">xlookup($G62,'données'!$M62:$M3668,'données'!B62:B3668)</f>
        <v>LYON</v>
      </c>
      <c r="F62" s="43" t="str">
        <f t="array" ref="F62">xlookup($G62,'données'!$M62:$M3668,'données'!J62:J3668)</f>
        <v>LEGT</v>
      </c>
      <c r="G62" s="44">
        <f>LARGE('données'!M62:M3668,A62)</f>
        <v>145.3</v>
      </c>
    </row>
    <row r="63">
      <c r="A63" s="44">
        <f t="shared" si="1"/>
        <v>62</v>
      </c>
      <c r="B63" s="43" t="str">
        <f t="array" ref="B63">xlookup($G63,'données'!$M63:$M3669,'données'!F63:F3669)</f>
        <v>LYCEE GENERAL PRIVE NOTRE DAME DE BELLEGARDE</v>
      </c>
      <c r="C63" s="43" t="str">
        <f t="array" ref="C63">xlookup($G63,'données'!$M63:$M3669,'données'!I63:I3669)</f>
        <v>privé sous contrat</v>
      </c>
      <c r="D63" s="43" t="str">
        <f t="array" ref="D63">xlookup($G63,'données'!$M63:$M3669,'données'!H63:H3669)</f>
        <v>NEUVILLE SUR SAONE</v>
      </c>
      <c r="E63" s="43" t="str">
        <f t="array" ref="E63">xlookup($G63,'données'!$M63:$M3669,'données'!B63:B3669)</f>
        <v>LYON</v>
      </c>
      <c r="F63" s="43" t="str">
        <f t="array" ref="F63">xlookup($G63,'données'!$M63:$M3669,'données'!J63:J3669)</f>
        <v>LEGT</v>
      </c>
      <c r="G63" s="44">
        <f>LARGE('données'!M63:M3669,A63)</f>
        <v>145.2</v>
      </c>
    </row>
    <row r="64">
      <c r="A64" s="44">
        <f t="shared" si="1"/>
        <v>63</v>
      </c>
      <c r="B64" s="43" t="str">
        <f t="array" ref="B64">xlookup($G64,'données'!$M64:$M3670,'données'!F64:F3670)</f>
        <v>LYCEE GENERAL PRIVE NOTRE DAME DE BELLEGARDE</v>
      </c>
      <c r="C64" s="43" t="str">
        <f t="array" ref="C64">xlookup($G64,'données'!$M64:$M3670,'données'!I64:I3670)</f>
        <v>privé sous contrat</v>
      </c>
      <c r="D64" s="43" t="str">
        <f t="array" ref="D64">xlookup($G64,'données'!$M64:$M3670,'données'!H64:H3670)</f>
        <v>NEUVILLE SUR SAONE</v>
      </c>
      <c r="E64" s="43" t="str">
        <f t="array" ref="E64">xlookup($G64,'données'!$M64:$M3670,'données'!B64:B3670)</f>
        <v>LYON</v>
      </c>
      <c r="F64" s="43" t="str">
        <f t="array" ref="F64">xlookup($G64,'données'!$M64:$M3670,'données'!J64:J3670)</f>
        <v>LEGT</v>
      </c>
      <c r="G64" s="44">
        <f>LARGE('données'!M64:M3670,A64)</f>
        <v>145.2</v>
      </c>
    </row>
    <row r="65">
      <c r="A65" s="44">
        <f t="shared" si="1"/>
        <v>64</v>
      </c>
      <c r="B65" s="43" t="str">
        <f t="array" ref="B65">xlookup($G65,'données'!$M65:$M3671,'données'!F65:F3671)</f>
        <v>LYCEE GENERAL PRIVE NOTRE DAME DE BELLEGARDE</v>
      </c>
      <c r="C65" s="43" t="str">
        <f t="array" ref="C65">xlookup($G65,'données'!$M65:$M3671,'données'!I65:I3671)</f>
        <v>privé sous contrat</v>
      </c>
      <c r="D65" s="43" t="str">
        <f t="array" ref="D65">xlookup($G65,'données'!$M65:$M3671,'données'!H65:H3671)</f>
        <v>NEUVILLE SUR SAONE</v>
      </c>
      <c r="E65" s="43" t="str">
        <f t="array" ref="E65">xlookup($G65,'données'!$M65:$M3671,'données'!B65:B3671)</f>
        <v>LYON</v>
      </c>
      <c r="F65" s="43" t="str">
        <f t="array" ref="F65">xlookup($G65,'données'!$M65:$M3671,'données'!J65:J3671)</f>
        <v>LEGT</v>
      </c>
      <c r="G65" s="44">
        <f>LARGE('données'!M65:M3671,A65)</f>
        <v>145.2</v>
      </c>
    </row>
    <row r="66">
      <c r="A66" s="44">
        <f t="shared" si="1"/>
        <v>65</v>
      </c>
      <c r="B66" s="43" t="str">
        <f t="array" ref="B66">xlookup($G66,'données'!$M66:$M3672,'données'!F66:F3672)</f>
        <v>LYCEE GENERAL PRIVE NOTRE DAME DE BELLEGARDE</v>
      </c>
      <c r="C66" s="43" t="str">
        <f t="array" ref="C66">xlookup($G66,'données'!$M66:$M3672,'données'!I66:I3672)</f>
        <v>privé sous contrat</v>
      </c>
      <c r="D66" s="43" t="str">
        <f t="array" ref="D66">xlookup($G66,'données'!$M66:$M3672,'données'!H66:H3672)</f>
        <v>NEUVILLE SUR SAONE</v>
      </c>
      <c r="E66" s="43" t="str">
        <f t="array" ref="E66">xlookup($G66,'données'!$M66:$M3672,'données'!B66:B3672)</f>
        <v>LYON</v>
      </c>
      <c r="F66" s="43" t="str">
        <f t="array" ref="F66">xlookup($G66,'données'!$M66:$M3672,'données'!J66:J3672)</f>
        <v>LEGT</v>
      </c>
      <c r="G66" s="44">
        <f>LARGE('données'!M66:M3672,A66)</f>
        <v>145.2</v>
      </c>
    </row>
    <row r="67">
      <c r="A67" s="44">
        <f t="shared" si="1"/>
        <v>66</v>
      </c>
      <c r="B67" s="43" t="str">
        <f t="array" ref="B67">xlookup($G67,'données'!$M67:$M3673,'données'!F67:F3673)</f>
        <v>LYCEE GENERAL ET TECHNOLOGIQUE PRIVE NOTRE DAME</v>
      </c>
      <c r="C67" s="43" t="str">
        <f t="array" ref="C67">xlookup($G67,'données'!$M67:$M3673,'données'!I67:I3673)</f>
        <v>privé sous contrat</v>
      </c>
      <c r="D67" s="43" t="str">
        <f t="array" ref="D67">xlookup($G67,'données'!$M67:$M3673,'données'!H67:H3673)</f>
        <v>BOULOGNE BILLANCOURT</v>
      </c>
      <c r="E67" s="43" t="str">
        <f t="array" ref="E67">xlookup($G67,'données'!$M67:$M3673,'données'!B67:B3673)</f>
        <v>VERSAILLES</v>
      </c>
      <c r="F67" s="43" t="str">
        <f t="array" ref="F67">xlookup($G67,'données'!$M67:$M3673,'données'!J67:J3673)</f>
        <v>LEGT</v>
      </c>
      <c r="G67" s="44">
        <f>LARGE('données'!M67:M3673,A67)</f>
        <v>144.9</v>
      </c>
    </row>
    <row r="68">
      <c r="A68" s="44">
        <f t="shared" si="1"/>
        <v>67</v>
      </c>
      <c r="B68" s="43" t="str">
        <f t="array" ref="B68">xlookup($G68,'données'!$M68:$M3674,'données'!F68:F3674)</f>
        <v>LYCEE GENERAL ET TECHNOLOGIQUE PRIVE LE CAOUSOU</v>
      </c>
      <c r="C68" s="43" t="str">
        <f t="array" ref="C68">xlookup($G68,'données'!$M68:$M3674,'données'!I68:I3674)</f>
        <v>privé sous contrat</v>
      </c>
      <c r="D68" s="43" t="str">
        <f t="array" ref="D68">xlookup($G68,'données'!$M68:$M3674,'données'!H68:H3674)</f>
        <v>TOULOUSE</v>
      </c>
      <c r="E68" s="43" t="str">
        <f t="array" ref="E68">xlookup($G68,'données'!$M68:$M3674,'données'!B68:B3674)</f>
        <v>TOULOUSE</v>
      </c>
      <c r="F68" s="43" t="str">
        <f t="array" ref="F68">xlookup($G68,'données'!$M68:$M3674,'données'!J68:J3674)</f>
        <v>LEGT</v>
      </c>
      <c r="G68" s="44">
        <f>LARGE('données'!M68:M3674,A68)</f>
        <v>144.8</v>
      </c>
    </row>
    <row r="69">
      <c r="A69" s="44">
        <f t="shared" si="1"/>
        <v>68</v>
      </c>
      <c r="B69" s="43" t="str">
        <f t="array" ref="B69">xlookup($G69,'données'!$M69:$M3675,'données'!F69:F3675)</f>
        <v>LYCEE GENERAL PRIVE SAINT GENES LA SALLE</v>
      </c>
      <c r="C69" s="43" t="str">
        <f t="array" ref="C69">xlookup($G69,'données'!$M69:$M3675,'données'!I69:I3675)</f>
        <v>privé sous contrat</v>
      </c>
      <c r="D69" s="43" t="str">
        <f t="array" ref="D69">xlookup($G69,'données'!$M69:$M3675,'données'!H69:H3675)</f>
        <v>BORDEAUX</v>
      </c>
      <c r="E69" s="43" t="str">
        <f t="array" ref="E69">xlookup($G69,'données'!$M69:$M3675,'données'!B69:B3675)</f>
        <v>BORDEAUX</v>
      </c>
      <c r="F69" s="43" t="str">
        <f t="array" ref="F69">xlookup($G69,'données'!$M69:$M3675,'données'!J69:J3675)</f>
        <v>LEGT</v>
      </c>
      <c r="G69" s="44">
        <f>LARGE('données'!M69:M3675,A69)</f>
        <v>144.7</v>
      </c>
    </row>
    <row r="70">
      <c r="A70" s="44">
        <f t="shared" si="1"/>
        <v>69</v>
      </c>
      <c r="B70" s="43" t="str">
        <f t="array" ref="B70">xlookup($G70,'données'!$M70:$M3676,'données'!F70:F3676)</f>
        <v>LYCEE GENERAL PRIVE SAINT GENES LA SALLE</v>
      </c>
      <c r="C70" s="43" t="str">
        <f t="array" ref="C70">xlookup($G70,'données'!$M70:$M3676,'données'!I70:I3676)</f>
        <v>privé sous contrat</v>
      </c>
      <c r="D70" s="43" t="str">
        <f t="array" ref="D70">xlookup($G70,'données'!$M70:$M3676,'données'!H70:H3676)</f>
        <v>BORDEAUX</v>
      </c>
      <c r="E70" s="43" t="str">
        <f t="array" ref="E70">xlookup($G70,'données'!$M70:$M3676,'données'!B70:B3676)</f>
        <v>BORDEAUX</v>
      </c>
      <c r="F70" s="43" t="str">
        <f t="array" ref="F70">xlookup($G70,'données'!$M70:$M3676,'données'!J70:J3676)</f>
        <v>LEGT</v>
      </c>
      <c r="G70" s="44">
        <f>LARGE('données'!M70:M3676,A70)</f>
        <v>144.7</v>
      </c>
    </row>
    <row r="71">
      <c r="A71" s="44">
        <f t="shared" si="1"/>
        <v>70</v>
      </c>
      <c r="B71" s="43" t="str">
        <f t="array" ref="B71">xlookup($G71,'données'!$M71:$M3677,'données'!F71:F3677)</f>
        <v>LYCEE GENERAL PRIVE THERESE D AVILA</v>
      </c>
      <c r="C71" s="43" t="str">
        <f t="array" ref="C71">xlookup($G71,'données'!$M71:$M3677,'données'!I71:I3677)</f>
        <v>privé sous contrat</v>
      </c>
      <c r="D71" s="43" t="str">
        <f t="array" ref="D71">xlookup($G71,'données'!$M71:$M3677,'données'!H71:H3677)</f>
        <v>LILLE</v>
      </c>
      <c r="E71" s="43" t="str">
        <f t="array" ref="E71">xlookup($G71,'données'!$M71:$M3677,'données'!B71:B3677)</f>
        <v>LILLE</v>
      </c>
      <c r="F71" s="43" t="str">
        <f t="array" ref="F71">xlookup($G71,'données'!$M71:$M3677,'données'!J71:J3677)</f>
        <v>LEGT</v>
      </c>
      <c r="G71" s="44">
        <f>LARGE('données'!M71:M3677,A71)</f>
        <v>144.5</v>
      </c>
    </row>
    <row r="72">
      <c r="A72" s="44">
        <f t="shared" si="1"/>
        <v>71</v>
      </c>
      <c r="B72" s="43" t="str">
        <f t="array" ref="B72">xlookup($G72,'données'!$M72:$M3678,'données'!F72:F3678)</f>
        <v>LYCEE GENERAL PRIVE THERESE D AVILA</v>
      </c>
      <c r="C72" s="43" t="str">
        <f t="array" ref="C72">xlookup($G72,'données'!$M72:$M3678,'données'!I72:I3678)</f>
        <v>privé sous contrat</v>
      </c>
      <c r="D72" s="43" t="str">
        <f t="array" ref="D72">xlookup($G72,'données'!$M72:$M3678,'données'!H72:H3678)</f>
        <v>LILLE</v>
      </c>
      <c r="E72" s="43" t="str">
        <f t="array" ref="E72">xlookup($G72,'données'!$M72:$M3678,'données'!B72:B3678)</f>
        <v>LILLE</v>
      </c>
      <c r="F72" s="43" t="str">
        <f t="array" ref="F72">xlookup($G72,'données'!$M72:$M3678,'données'!J72:J3678)</f>
        <v>LEGT</v>
      </c>
      <c r="G72" s="44">
        <f>LARGE('données'!M72:M3678,A72)</f>
        <v>144.5</v>
      </c>
    </row>
    <row r="73">
      <c r="A73" s="44">
        <f t="shared" si="1"/>
        <v>72</v>
      </c>
      <c r="B73" s="43" t="str">
        <f t="array" ref="B73">xlookup($G73,'données'!$M73:$M3679,'données'!F73:F3679)</f>
        <v>LYCEE GENERAL PRIVE THERESE D AVILA</v>
      </c>
      <c r="C73" s="43" t="str">
        <f t="array" ref="C73">xlookup($G73,'données'!$M73:$M3679,'données'!I73:I3679)</f>
        <v>privé sous contrat</v>
      </c>
      <c r="D73" s="43" t="str">
        <f t="array" ref="D73">xlookup($G73,'données'!$M73:$M3679,'données'!H73:H3679)</f>
        <v>LILLE</v>
      </c>
      <c r="E73" s="43" t="str">
        <f t="array" ref="E73">xlookup($G73,'données'!$M73:$M3679,'données'!B73:B3679)</f>
        <v>LILLE</v>
      </c>
      <c r="F73" s="43" t="str">
        <f t="array" ref="F73">xlookup($G73,'données'!$M73:$M3679,'données'!J73:J3679)</f>
        <v>LEGT</v>
      </c>
      <c r="G73" s="44">
        <f>LARGE('données'!M73:M3679,A73)</f>
        <v>144.5</v>
      </c>
    </row>
    <row r="74">
      <c r="A74" s="44">
        <f t="shared" si="1"/>
        <v>73</v>
      </c>
      <c r="B74" s="43" t="str">
        <f t="array" ref="B74">xlookup($G74,'données'!$M74:$M3680,'données'!F74:F3680)</f>
        <v>LYCEE GENERAL FENELON</v>
      </c>
      <c r="C74" s="43" t="str">
        <f t="array" ref="C74">xlookup($G74,'données'!$M74:$M3680,'données'!I74:I3680)</f>
        <v>public</v>
      </c>
      <c r="D74" s="43" t="str">
        <f t="array" ref="D74">xlookup($G74,'données'!$M74:$M3680,'données'!H74:H3680)</f>
        <v>PARIS 6E ARRONDISSEMENT</v>
      </c>
      <c r="E74" s="43" t="str">
        <f t="array" ref="E74">xlookup($G74,'données'!$M74:$M3680,'données'!B74:B3680)</f>
        <v>PARIS</v>
      </c>
      <c r="F74" s="43" t="str">
        <f t="array" ref="F74">xlookup($G74,'données'!$M74:$M3680,'données'!J74:J3680)</f>
        <v>LEGT</v>
      </c>
      <c r="G74" s="44">
        <f>LARGE('données'!M74:M3680,A74)</f>
        <v>144.2</v>
      </c>
    </row>
    <row r="75">
      <c r="A75" s="44">
        <f t="shared" si="1"/>
        <v>74</v>
      </c>
      <c r="B75" s="43" t="str">
        <f t="array" ref="B75">xlookup($G75,'données'!$M75:$M3681,'données'!F75:F3681)</f>
        <v>LYCEE GENERAL PRIVE STANISLAS</v>
      </c>
      <c r="C75" s="43" t="str">
        <f t="array" ref="C75">xlookup($G75,'données'!$M75:$M3681,'données'!I75:I3681)</f>
        <v>privé sous contrat</v>
      </c>
      <c r="D75" s="43" t="str">
        <f t="array" ref="D75">xlookup($G75,'données'!$M75:$M3681,'données'!H75:H3681)</f>
        <v>NICE</v>
      </c>
      <c r="E75" s="43" t="str">
        <f t="array" ref="E75">xlookup($G75,'données'!$M75:$M3681,'données'!B75:B3681)</f>
        <v>NICE</v>
      </c>
      <c r="F75" s="43" t="str">
        <f t="array" ref="F75">xlookup($G75,'données'!$M75:$M3681,'données'!J75:J3681)</f>
        <v>LEGT</v>
      </c>
      <c r="G75" s="44">
        <f>LARGE('données'!M75:M3681,A75)</f>
        <v>143.8</v>
      </c>
    </row>
    <row r="76">
      <c r="A76" s="44">
        <f t="shared" si="1"/>
        <v>75</v>
      </c>
      <c r="B76" s="43" t="str">
        <f t="array" ref="B76">xlookup($G76,'données'!$M76:$M3682,'données'!F76:F3682)</f>
        <v>LYCEE GENERAL PRIVE STANISLAS</v>
      </c>
      <c r="C76" s="43" t="str">
        <f t="array" ref="C76">xlookup($G76,'données'!$M76:$M3682,'données'!I76:I3682)</f>
        <v>privé sous contrat</v>
      </c>
      <c r="D76" s="43" t="str">
        <f t="array" ref="D76">xlookup($G76,'données'!$M76:$M3682,'données'!H76:H3682)</f>
        <v>NICE</v>
      </c>
      <c r="E76" s="43" t="str">
        <f t="array" ref="E76">xlookup($G76,'données'!$M76:$M3682,'données'!B76:B3682)</f>
        <v>NICE</v>
      </c>
      <c r="F76" s="43" t="str">
        <f t="array" ref="F76">xlookup($G76,'données'!$M76:$M3682,'données'!J76:J3682)</f>
        <v>LEGT</v>
      </c>
      <c r="G76" s="44">
        <f>LARGE('données'!M76:M3682,A76)</f>
        <v>143.8</v>
      </c>
    </row>
    <row r="77">
      <c r="A77" s="44">
        <f t="shared" si="1"/>
        <v>76</v>
      </c>
      <c r="B77" s="43" t="str">
        <f t="array" ref="B77">xlookup($G77,'données'!$M77:$M3683,'données'!F77:F3683)</f>
        <v>LYCEE GENERAL PRIVE YABNE</v>
      </c>
      <c r="C77" s="43" t="str">
        <f t="array" ref="C77">xlookup($G77,'données'!$M77:$M3683,'données'!I77:I3683)</f>
        <v>privé sous contrat</v>
      </c>
      <c r="D77" s="43" t="str">
        <f t="array" ref="D77">xlookup($G77,'données'!$M77:$M3683,'données'!H77:H3683)</f>
        <v>PARIS 13E ARRONDISSEMENT</v>
      </c>
      <c r="E77" s="43" t="str">
        <f t="array" ref="E77">xlookup($G77,'données'!$M77:$M3683,'données'!B77:B3683)</f>
        <v>PARIS</v>
      </c>
      <c r="F77" s="43" t="str">
        <f t="array" ref="F77">xlookup($G77,'données'!$M77:$M3683,'données'!J77:J3683)</f>
        <v>LEGT</v>
      </c>
      <c r="G77" s="44">
        <f>LARGE('données'!M77:M3683,A77)</f>
        <v>143.7</v>
      </c>
    </row>
    <row r="78">
      <c r="A78" s="44">
        <f t="shared" si="1"/>
        <v>77</v>
      </c>
      <c r="B78" s="43" t="str">
        <f t="array" ref="B78">xlookup($G78,'données'!$M78:$M3684,'données'!F78:F3684)</f>
        <v>LYCEE GENERAL PRIVE YABNE</v>
      </c>
      <c r="C78" s="43" t="str">
        <f t="array" ref="C78">xlookup($G78,'données'!$M78:$M3684,'données'!I78:I3684)</f>
        <v>privé sous contrat</v>
      </c>
      <c r="D78" s="43" t="str">
        <f t="array" ref="D78">xlookup($G78,'données'!$M78:$M3684,'données'!H78:H3684)</f>
        <v>PARIS 13E ARRONDISSEMENT</v>
      </c>
      <c r="E78" s="43" t="str">
        <f t="array" ref="E78">xlookup($G78,'données'!$M78:$M3684,'données'!B78:B3684)</f>
        <v>PARIS</v>
      </c>
      <c r="F78" s="43" t="str">
        <f t="array" ref="F78">xlookup($G78,'données'!$M78:$M3684,'données'!J78:J3684)</f>
        <v>LEGT</v>
      </c>
      <c r="G78" s="44">
        <f>LARGE('données'!M78:M3684,A78)</f>
        <v>143.7</v>
      </c>
    </row>
    <row r="79">
      <c r="A79" s="44">
        <f t="shared" si="1"/>
        <v>78</v>
      </c>
      <c r="B79" s="43" t="str">
        <f t="array" ref="B79">xlookup($G79,'données'!$M79:$M3685,'données'!F79:F3685)</f>
        <v>LYCEE GENERAL PRIVE MERKAZ HATORAH FILLES</v>
      </c>
      <c r="C79" s="43" t="str">
        <f t="array" ref="C79">xlookup($G79,'données'!$M79:$M3685,'données'!I79:I3685)</f>
        <v>privé sous contrat</v>
      </c>
      <c r="D79" s="43" t="str">
        <f t="array" ref="D79">xlookup($G79,'données'!$M79:$M3685,'données'!H79:H3685)</f>
        <v>LE RAINCY</v>
      </c>
      <c r="E79" s="43" t="str">
        <f t="array" ref="E79">xlookup($G79,'données'!$M79:$M3685,'données'!B79:B3685)</f>
        <v>CRETEIL</v>
      </c>
      <c r="F79" s="43" t="str">
        <f t="array" ref="F79">xlookup($G79,'données'!$M79:$M3685,'données'!J79:J3685)</f>
        <v>LEGT</v>
      </c>
      <c r="G79" s="44">
        <f>LARGE('données'!M79:M3685,A79)</f>
        <v>143.6</v>
      </c>
    </row>
    <row r="80">
      <c r="A80" s="44">
        <f t="shared" si="1"/>
        <v>79</v>
      </c>
      <c r="B80" s="43" t="str">
        <f t="array" ref="B80">xlookup($G80,'données'!$M80:$M3686,'données'!F80:F3686)</f>
        <v>LYCEE GENERAL PRIVE MONTALEMBERT</v>
      </c>
      <c r="C80" s="43" t="str">
        <f t="array" ref="C80">xlookup($G80,'données'!$M80:$M3686,'données'!I80:I3686)</f>
        <v>privé sous contrat</v>
      </c>
      <c r="D80" s="43" t="str">
        <f t="array" ref="D80">xlookup($G80,'données'!$M80:$M3686,'données'!H80:H3686)</f>
        <v>NOGENT SUR MARNE</v>
      </c>
      <c r="E80" s="43" t="str">
        <f t="array" ref="E80">xlookup($G80,'données'!$M80:$M3686,'données'!B80:B3686)</f>
        <v>CRETEIL</v>
      </c>
      <c r="F80" s="43" t="str">
        <f t="array" ref="F80">xlookup($G80,'données'!$M80:$M3686,'données'!J80:J3686)</f>
        <v>LEGT</v>
      </c>
      <c r="G80" s="44">
        <f>LARGE('données'!M80:M3686,A80)</f>
        <v>143.5</v>
      </c>
    </row>
    <row r="81">
      <c r="A81" s="44">
        <f t="shared" si="1"/>
        <v>80</v>
      </c>
      <c r="B81" s="43" t="str">
        <f t="array" ref="B81">xlookup($G81,'données'!$M81:$M3687,'données'!F81:F3687)</f>
        <v>LYCEE GENERAL PRIVE MONTALEMBERT</v>
      </c>
      <c r="C81" s="43" t="str">
        <f t="array" ref="C81">xlookup($G81,'données'!$M81:$M3687,'données'!I81:I3687)</f>
        <v>privé sous contrat</v>
      </c>
      <c r="D81" s="43" t="str">
        <f t="array" ref="D81">xlookup($G81,'données'!$M81:$M3687,'données'!H81:H3687)</f>
        <v>NOGENT SUR MARNE</v>
      </c>
      <c r="E81" s="43" t="str">
        <f t="array" ref="E81">xlookup($G81,'données'!$M81:$M3687,'données'!B81:B3687)</f>
        <v>CRETEIL</v>
      </c>
      <c r="F81" s="43" t="str">
        <f t="array" ref="F81">xlookup($G81,'données'!$M81:$M3687,'données'!J81:J3687)</f>
        <v>LEGT</v>
      </c>
      <c r="G81" s="44">
        <f>LARGE('données'!M81:M3687,A81)</f>
        <v>143.5</v>
      </c>
    </row>
    <row r="82">
      <c r="A82" s="44">
        <f t="shared" si="1"/>
        <v>81</v>
      </c>
      <c r="B82" s="43" t="str">
        <f t="array" ref="B82">xlookup($G82,'données'!$M82:$M3688,'données'!F82:F3688)</f>
        <v>LYCEE GENERAL PRIVE MONTALEMBERT</v>
      </c>
      <c r="C82" s="43" t="str">
        <f t="array" ref="C82">xlookup($G82,'données'!$M82:$M3688,'données'!I82:I3688)</f>
        <v>privé sous contrat</v>
      </c>
      <c r="D82" s="43" t="str">
        <f t="array" ref="D82">xlookup($G82,'données'!$M82:$M3688,'données'!H82:H3688)</f>
        <v>NOGENT SUR MARNE</v>
      </c>
      <c r="E82" s="43" t="str">
        <f t="array" ref="E82">xlookup($G82,'données'!$M82:$M3688,'données'!B82:B3688)</f>
        <v>CRETEIL</v>
      </c>
      <c r="F82" s="43" t="str">
        <f t="array" ref="F82">xlookup($G82,'données'!$M82:$M3688,'données'!J82:J3688)</f>
        <v>LEGT</v>
      </c>
      <c r="G82" s="44">
        <f>LARGE('données'!M82:M3688,A82)</f>
        <v>143.5</v>
      </c>
    </row>
    <row r="83">
      <c r="A83" s="44">
        <f t="shared" si="1"/>
        <v>82</v>
      </c>
      <c r="B83" s="43" t="str">
        <f t="array" ref="B83">xlookup($G83,'données'!$M83:$M3689,'données'!F83:F3689)</f>
        <v>LYCEE GENERAL ET TECHNOLOGIQUE ALAIN</v>
      </c>
      <c r="C83" s="43" t="str">
        <f t="array" ref="C83">xlookup($G83,'données'!$M83:$M3689,'données'!I83:I3689)</f>
        <v>public</v>
      </c>
      <c r="D83" s="43" t="str">
        <f t="array" ref="D83">xlookup($G83,'données'!$M83:$M3689,'données'!H83:H3689)</f>
        <v>LE VESINET</v>
      </c>
      <c r="E83" s="43" t="str">
        <f t="array" ref="E83">xlookup($G83,'données'!$M83:$M3689,'données'!B83:B3689)</f>
        <v>VERSAILLES</v>
      </c>
      <c r="F83" s="43" t="str">
        <f t="array" ref="F83">xlookup($G83,'données'!$M83:$M3689,'données'!J83:J3689)</f>
        <v>LEGT</v>
      </c>
      <c r="G83" s="44">
        <f>LARGE('données'!M83:M3689,A83)</f>
        <v>143.2</v>
      </c>
    </row>
    <row r="84">
      <c r="A84" s="44">
        <f t="shared" si="1"/>
        <v>83</v>
      </c>
      <c r="B84" s="43" t="str">
        <f t="array" ref="B84">xlookup($G84,'données'!$M84:$M3690,'données'!F84:F3690)</f>
        <v>LYCEE GENERAL ET TECHNOLOGIQUE LA BRUYERE</v>
      </c>
      <c r="C84" s="43" t="str">
        <f t="array" ref="C84">xlookup($G84,'données'!$M84:$M3690,'données'!I84:I3690)</f>
        <v>public</v>
      </c>
      <c r="D84" s="43" t="str">
        <f t="array" ref="D84">xlookup($G84,'données'!$M84:$M3690,'données'!H84:H3690)</f>
        <v>VERSAILLES</v>
      </c>
      <c r="E84" s="43" t="str">
        <f t="array" ref="E84">xlookup($G84,'données'!$M84:$M3690,'données'!B84:B3690)</f>
        <v>VERSAILLES</v>
      </c>
      <c r="F84" s="43" t="str">
        <f t="array" ref="F84">xlookup($G84,'données'!$M84:$M3690,'données'!J84:J3690)</f>
        <v>LEGT</v>
      </c>
      <c r="G84" s="44">
        <f>LARGE('données'!M84:M3690,A84)</f>
        <v>143.1</v>
      </c>
    </row>
    <row r="85">
      <c r="A85" s="44">
        <f t="shared" si="1"/>
        <v>84</v>
      </c>
      <c r="B85" s="43" t="str">
        <f t="array" ref="B85">xlookup($G85,'données'!$M85:$M3691,'données'!F85:F3691)</f>
        <v>LYCEE GENERAL ET TECHNOLOGIQUE LA BRUYERE</v>
      </c>
      <c r="C85" s="43" t="str">
        <f t="array" ref="C85">xlookup($G85,'données'!$M85:$M3691,'données'!I85:I3691)</f>
        <v>public</v>
      </c>
      <c r="D85" s="43" t="str">
        <f t="array" ref="D85">xlookup($G85,'données'!$M85:$M3691,'données'!H85:H3691)</f>
        <v>VERSAILLES</v>
      </c>
      <c r="E85" s="43" t="str">
        <f t="array" ref="E85">xlookup($G85,'données'!$M85:$M3691,'données'!B85:B3691)</f>
        <v>VERSAILLES</v>
      </c>
      <c r="F85" s="43" t="str">
        <f t="array" ref="F85">xlookup($G85,'données'!$M85:$M3691,'données'!J85:J3691)</f>
        <v>LEGT</v>
      </c>
      <c r="G85" s="44">
        <f>LARGE('données'!M85:M3691,A85)</f>
        <v>143.1</v>
      </c>
    </row>
    <row r="86">
      <c r="A86" s="44">
        <f t="shared" si="1"/>
        <v>85</v>
      </c>
      <c r="B86" s="43" t="str">
        <f t="array" ref="B86">xlookup($G86,'données'!$M86:$M3692,'données'!F86:F3692)</f>
        <v>LYCEE GENERAL ET TECHNOLOGIQUE LA BRUYERE</v>
      </c>
      <c r="C86" s="43" t="str">
        <f t="array" ref="C86">xlookup($G86,'données'!$M86:$M3692,'données'!I86:I3692)</f>
        <v>public</v>
      </c>
      <c r="D86" s="43" t="str">
        <f t="array" ref="D86">xlookup($G86,'données'!$M86:$M3692,'données'!H86:H3692)</f>
        <v>VERSAILLES</v>
      </c>
      <c r="E86" s="43" t="str">
        <f t="array" ref="E86">xlookup($G86,'données'!$M86:$M3692,'données'!B86:B3692)</f>
        <v>VERSAILLES</v>
      </c>
      <c r="F86" s="43" t="str">
        <f t="array" ref="F86">xlookup($G86,'données'!$M86:$M3692,'données'!J86:J3692)</f>
        <v>LEGT</v>
      </c>
      <c r="G86" s="44">
        <f>LARGE('données'!M86:M3692,A86)</f>
        <v>143.1</v>
      </c>
    </row>
    <row r="87">
      <c r="A87" s="44">
        <f t="shared" si="1"/>
        <v>86</v>
      </c>
      <c r="B87" s="43" t="str">
        <f t="array" ref="B87">xlookup($G87,'données'!$M87:$M3693,'données'!F87:F3693)</f>
        <v>LYCEE GENERAL ET TECHNOLOGIQUE PRIVE DU SACRE COEUR</v>
      </c>
      <c r="C87" s="43" t="str">
        <f t="array" ref="C87">xlookup($G87,'données'!$M87:$M3693,'données'!I87:I3693)</f>
        <v>privé sous contrat</v>
      </c>
      <c r="D87" s="43" t="str">
        <f t="array" ref="D87">xlookup($G87,'données'!$M87:$M3693,'données'!H87:H3693)</f>
        <v>LA VILLE DU BOIS</v>
      </c>
      <c r="E87" s="43" t="str">
        <f t="array" ref="E87">xlookup($G87,'données'!$M87:$M3693,'données'!B87:B3693)</f>
        <v>VERSAILLES</v>
      </c>
      <c r="F87" s="43" t="str">
        <f t="array" ref="F87">xlookup($G87,'données'!$M87:$M3693,'données'!J87:J3693)</f>
        <v>LEGT</v>
      </c>
      <c r="G87" s="44">
        <f>LARGE('données'!M87:M3693,A87)</f>
        <v>143</v>
      </c>
    </row>
    <row r="88">
      <c r="A88" s="44">
        <f t="shared" si="1"/>
        <v>87</v>
      </c>
      <c r="B88" s="43" t="str">
        <f t="array" ref="B88">xlookup($G88,'données'!$M88:$M3694,'données'!F88:F3694)</f>
        <v>LYCEE GENERAL PRIVE SAINT MICHEL DE PICPUS</v>
      </c>
      <c r="C88" s="43" t="str">
        <f t="array" ref="C88">xlookup($G88,'données'!$M88:$M3694,'données'!I88:I3694)</f>
        <v>privé sous contrat</v>
      </c>
      <c r="D88" s="43" t="str">
        <f t="array" ref="D88">xlookup($G88,'données'!$M88:$M3694,'données'!H88:H3694)</f>
        <v>PARIS 12E ARRONDISSEMENT</v>
      </c>
      <c r="E88" s="43" t="str">
        <f t="array" ref="E88">xlookup($G88,'données'!$M88:$M3694,'données'!B88:B3694)</f>
        <v>PARIS</v>
      </c>
      <c r="F88" s="43" t="str">
        <f t="array" ref="F88">xlookup($G88,'données'!$M88:$M3694,'données'!J88:J3694)</f>
        <v>LEGT</v>
      </c>
      <c r="G88" s="44">
        <f>LARGE('données'!M88:M3694,A88)</f>
        <v>142.9</v>
      </c>
    </row>
    <row r="89">
      <c r="A89" s="44">
        <f t="shared" si="1"/>
        <v>88</v>
      </c>
      <c r="B89" s="43" t="str">
        <f t="array" ref="B89">xlookup($G89,'données'!$M89:$M3695,'données'!F89:F3695)</f>
        <v>LYCEE GENERAL PRIVE SAINT MICHEL DE PICPUS</v>
      </c>
      <c r="C89" s="43" t="str">
        <f t="array" ref="C89">xlookup($G89,'données'!$M89:$M3695,'données'!I89:I3695)</f>
        <v>privé sous contrat</v>
      </c>
      <c r="D89" s="43" t="str">
        <f t="array" ref="D89">xlookup($G89,'données'!$M89:$M3695,'données'!H89:H3695)</f>
        <v>PARIS 12E ARRONDISSEMENT</v>
      </c>
      <c r="E89" s="43" t="str">
        <f t="array" ref="E89">xlookup($G89,'données'!$M89:$M3695,'données'!B89:B3695)</f>
        <v>PARIS</v>
      </c>
      <c r="F89" s="43" t="str">
        <f t="array" ref="F89">xlookup($G89,'données'!$M89:$M3695,'données'!J89:J3695)</f>
        <v>LEGT</v>
      </c>
      <c r="G89" s="44">
        <f>LARGE('données'!M89:M3695,A89)</f>
        <v>142.9</v>
      </c>
    </row>
    <row r="90">
      <c r="A90" s="44">
        <f t="shared" si="1"/>
        <v>89</v>
      </c>
      <c r="B90" s="43" t="str">
        <f t="array" ref="B90">xlookup($G90,'données'!$M90:$M3696,'données'!F90:F3696)</f>
        <v>LYCEE GENERAL PRIVE SAINT THOMAS D AQUIN</v>
      </c>
      <c r="C90" s="43" t="str">
        <f t="array" ref="C90">xlookup($G90,'données'!$M90:$M3696,'données'!I90:I3696)</f>
        <v>privé sous contrat</v>
      </c>
      <c r="D90" s="43" t="str">
        <f t="array" ref="D90">xlookup($G90,'données'!$M90:$M3696,'données'!H90:H3696)</f>
        <v>PARIS 7E ARRONDISSEMENT</v>
      </c>
      <c r="E90" s="43" t="str">
        <f t="array" ref="E90">xlookup($G90,'données'!$M90:$M3696,'données'!B90:B3696)</f>
        <v>PARIS</v>
      </c>
      <c r="F90" s="43" t="str">
        <f t="array" ref="F90">xlookup($G90,'données'!$M90:$M3696,'données'!J90:J3696)</f>
        <v>LEGT</v>
      </c>
      <c r="G90" s="44">
        <f>LARGE('données'!M90:M3696,A90)</f>
        <v>142.8</v>
      </c>
    </row>
    <row r="91">
      <c r="A91" s="44">
        <f t="shared" si="1"/>
        <v>90</v>
      </c>
      <c r="B91" s="43" t="str">
        <f t="array" ref="B91">xlookup($G91,'données'!$M91:$M3697,'données'!F91:F3697)</f>
        <v>LYCEE GENERAL PRIVE SAINT THOMAS D AQUIN</v>
      </c>
      <c r="C91" s="43" t="str">
        <f t="array" ref="C91">xlookup($G91,'données'!$M91:$M3697,'données'!I91:I3697)</f>
        <v>privé sous contrat</v>
      </c>
      <c r="D91" s="43" t="str">
        <f t="array" ref="D91">xlookup($G91,'données'!$M91:$M3697,'données'!H91:H3697)</f>
        <v>PARIS 7E ARRONDISSEMENT</v>
      </c>
      <c r="E91" s="43" t="str">
        <f t="array" ref="E91">xlookup($G91,'données'!$M91:$M3697,'données'!B91:B3697)</f>
        <v>PARIS</v>
      </c>
      <c r="F91" s="43" t="str">
        <f t="array" ref="F91">xlookup($G91,'données'!$M91:$M3697,'données'!J91:J3697)</f>
        <v>LEGT</v>
      </c>
      <c r="G91" s="44">
        <f>LARGE('données'!M91:M3697,A91)</f>
        <v>142.8</v>
      </c>
    </row>
    <row r="92">
      <c r="A92" s="44">
        <f t="shared" si="1"/>
        <v>91</v>
      </c>
      <c r="B92" s="43" t="str">
        <f t="array" ref="B92">xlookup($G92,'données'!$M92:$M3698,'données'!F92:F3698)</f>
        <v>LYCEE GENERAL PRIVE EXTERNAT CHAVAGNES</v>
      </c>
      <c r="C92" s="43" t="str">
        <f t="array" ref="C92">xlookup($G92,'données'!$M92:$M3698,'données'!I92:I3698)</f>
        <v>privé sous contrat</v>
      </c>
      <c r="D92" s="43" t="str">
        <f t="array" ref="D92">xlookup($G92,'données'!$M92:$M3698,'données'!H92:H3698)</f>
        <v>NANTES</v>
      </c>
      <c r="E92" s="43" t="str">
        <f t="array" ref="E92">xlookup($G92,'données'!$M92:$M3698,'données'!B92:B3698)</f>
        <v>NANTES</v>
      </c>
      <c r="F92" s="43" t="str">
        <f t="array" ref="F92">xlookup($G92,'données'!$M92:$M3698,'données'!J92:J3698)</f>
        <v>LEGT</v>
      </c>
      <c r="G92" s="44">
        <f>LARGE('données'!M92:M3698,A92)</f>
        <v>142.5</v>
      </c>
    </row>
    <row r="93">
      <c r="A93" s="44">
        <f t="shared" si="1"/>
        <v>92</v>
      </c>
      <c r="B93" s="43" t="str">
        <f t="array" ref="B93">xlookup($G93,'données'!$M93:$M3699,'données'!F93:F3699)</f>
        <v>LYCEE GENERAL VICTOR DURUY</v>
      </c>
      <c r="C93" s="43" t="str">
        <f t="array" ref="C93">xlookup($G93,'données'!$M93:$M3699,'données'!I93:I3699)</f>
        <v>public</v>
      </c>
      <c r="D93" s="43" t="str">
        <f t="array" ref="D93">xlookup($G93,'données'!$M93:$M3699,'données'!H93:H3699)</f>
        <v>PARIS 7E ARRONDISSEMENT</v>
      </c>
      <c r="E93" s="43" t="str">
        <f t="array" ref="E93">xlookup($G93,'données'!$M93:$M3699,'données'!B93:B3699)</f>
        <v>PARIS</v>
      </c>
      <c r="F93" s="43" t="str">
        <f t="array" ref="F93">xlookup($G93,'données'!$M93:$M3699,'données'!J93:J3699)</f>
        <v>LEGT</v>
      </c>
      <c r="G93" s="44">
        <f>LARGE('données'!M93:M3699,A93)</f>
        <v>142.3</v>
      </c>
    </row>
    <row r="94">
      <c r="A94" s="44">
        <f t="shared" si="1"/>
        <v>93</v>
      </c>
      <c r="B94" s="43" t="str">
        <f t="array" ref="B94">xlookup($G94,'données'!$M94:$M3700,'données'!F94:F3700)</f>
        <v>LYCEE GENERAL VICTOR DURUY</v>
      </c>
      <c r="C94" s="43" t="str">
        <f t="array" ref="C94">xlookup($G94,'données'!$M94:$M3700,'données'!I94:I3700)</f>
        <v>public</v>
      </c>
      <c r="D94" s="43" t="str">
        <f t="array" ref="D94">xlookup($G94,'données'!$M94:$M3700,'données'!H94:H3700)</f>
        <v>PARIS 7E ARRONDISSEMENT</v>
      </c>
      <c r="E94" s="43" t="str">
        <f t="array" ref="E94">xlookup($G94,'données'!$M94:$M3700,'données'!B94:B3700)</f>
        <v>PARIS</v>
      </c>
      <c r="F94" s="43" t="str">
        <f t="array" ref="F94">xlookup($G94,'données'!$M94:$M3700,'données'!J94:J3700)</f>
        <v>LEGT</v>
      </c>
      <c r="G94" s="44">
        <f>LARGE('données'!M94:M3700,A94)</f>
        <v>142.3</v>
      </c>
    </row>
    <row r="95">
      <c r="A95" s="44">
        <f t="shared" si="1"/>
        <v>94</v>
      </c>
      <c r="B95" s="43" t="str">
        <f t="array" ref="B95">xlookup($G95,'données'!$M95:$M3701,'données'!F95:F3701)</f>
        <v>LYCEE GENERAL VICTOR DURUY</v>
      </c>
      <c r="C95" s="43" t="str">
        <f t="array" ref="C95">xlookup($G95,'données'!$M95:$M3701,'données'!I95:I3701)</f>
        <v>public</v>
      </c>
      <c r="D95" s="43" t="str">
        <f t="array" ref="D95">xlookup($G95,'données'!$M95:$M3701,'données'!H95:H3701)</f>
        <v>PARIS 7E ARRONDISSEMENT</v>
      </c>
      <c r="E95" s="43" t="str">
        <f t="array" ref="E95">xlookup($G95,'données'!$M95:$M3701,'données'!B95:B3701)</f>
        <v>PARIS</v>
      </c>
      <c r="F95" s="43" t="str">
        <f t="array" ref="F95">xlookup($G95,'données'!$M95:$M3701,'données'!J95:J3701)</f>
        <v>LEGT</v>
      </c>
      <c r="G95" s="44">
        <f>LARGE('données'!M95:M3701,A95)</f>
        <v>142.3</v>
      </c>
    </row>
    <row r="96">
      <c r="A96" s="44">
        <f t="shared" si="1"/>
        <v>95</v>
      </c>
      <c r="B96" s="43" t="str">
        <f t="array" ref="B96">xlookup($G96,'données'!$M96:$M3702,'données'!F96:F3702)</f>
        <v>LYCEE GENERAL VICTOR DURUY</v>
      </c>
      <c r="C96" s="43" t="str">
        <f t="array" ref="C96">xlookup($G96,'données'!$M96:$M3702,'données'!I96:I3702)</f>
        <v>public</v>
      </c>
      <c r="D96" s="43" t="str">
        <f t="array" ref="D96">xlookup($G96,'données'!$M96:$M3702,'données'!H96:H3702)</f>
        <v>PARIS 7E ARRONDISSEMENT</v>
      </c>
      <c r="E96" s="43" t="str">
        <f t="array" ref="E96">xlookup($G96,'données'!$M96:$M3702,'données'!B96:B3702)</f>
        <v>PARIS</v>
      </c>
      <c r="F96" s="43" t="str">
        <f t="array" ref="F96">xlookup($G96,'données'!$M96:$M3702,'données'!J96:J3702)</f>
        <v>LEGT</v>
      </c>
      <c r="G96" s="44">
        <f>LARGE('données'!M96:M3702,A96)</f>
        <v>142.3</v>
      </c>
    </row>
    <row r="97">
      <c r="A97" s="44">
        <f t="shared" si="1"/>
        <v>96</v>
      </c>
      <c r="B97" s="43" t="str">
        <f t="array" ref="B97">xlookup($G97,'données'!$M97:$M3703,'données'!F97:F3703)</f>
        <v>LYCEE GENERAL ET TECHNOLOGIQUE PRIVE SAINTE THERESE</v>
      </c>
      <c r="C97" s="43" t="str">
        <f t="array" ref="C97">xlookup($G97,'données'!$M97:$M3703,'données'!I97:I3703)</f>
        <v>privé sous contrat</v>
      </c>
      <c r="D97" s="43" t="str">
        <f t="array" ref="D97">xlookup($G97,'données'!$M97:$M3703,'données'!H97:H3703)</f>
        <v>RAMBOUILLET</v>
      </c>
      <c r="E97" s="43" t="str">
        <f t="array" ref="E97">xlookup($G97,'données'!$M97:$M3703,'données'!B97:B3703)</f>
        <v>VERSAILLES</v>
      </c>
      <c r="F97" s="43" t="str">
        <f t="array" ref="F97">xlookup($G97,'données'!$M97:$M3703,'données'!J97:J3703)</f>
        <v>LEGT</v>
      </c>
      <c r="G97" s="44">
        <f>LARGE('données'!M97:M3703,A97)</f>
        <v>142.1</v>
      </c>
    </row>
    <row r="98">
      <c r="A98" s="44">
        <f t="shared" si="1"/>
        <v>97</v>
      </c>
      <c r="B98" s="43" t="str">
        <f t="array" ref="B98">xlookup($G98,'données'!$M98:$M3704,'données'!F98:F3704)</f>
        <v>LYCEE GENERAL ET TECHNOLOGIQUE PRIVE SAINTE THERESE</v>
      </c>
      <c r="C98" s="43" t="str">
        <f t="array" ref="C98">xlookup($G98,'données'!$M98:$M3704,'données'!I98:I3704)</f>
        <v>privé sous contrat</v>
      </c>
      <c r="D98" s="43" t="str">
        <f t="array" ref="D98">xlookup($G98,'données'!$M98:$M3704,'données'!H98:H3704)</f>
        <v>RAMBOUILLET</v>
      </c>
      <c r="E98" s="43" t="str">
        <f t="array" ref="E98">xlookup($G98,'données'!$M98:$M3704,'données'!B98:B3704)</f>
        <v>VERSAILLES</v>
      </c>
      <c r="F98" s="43" t="str">
        <f t="array" ref="F98">xlookup($G98,'données'!$M98:$M3704,'données'!J98:J3704)</f>
        <v>LEGT</v>
      </c>
      <c r="G98" s="44">
        <f>LARGE('données'!M98:M3704,A98)</f>
        <v>142.1</v>
      </c>
    </row>
    <row r="99">
      <c r="A99" s="44">
        <f t="shared" si="1"/>
        <v>98</v>
      </c>
      <c r="B99" s="43" t="str">
        <f t="array" ref="B99">xlookup($G99,'données'!$M99:$M3705,'données'!F99:F3705)</f>
        <v>LYCEE GENERAL ET TECHNOLOGIQUE PRIVE SAINTE THERESE</v>
      </c>
      <c r="C99" s="43" t="str">
        <f t="array" ref="C99">xlookup($G99,'données'!$M99:$M3705,'données'!I99:I3705)</f>
        <v>privé sous contrat</v>
      </c>
      <c r="D99" s="43" t="str">
        <f t="array" ref="D99">xlookup($G99,'données'!$M99:$M3705,'données'!H99:H3705)</f>
        <v>RAMBOUILLET</v>
      </c>
      <c r="E99" s="43" t="str">
        <f t="array" ref="E99">xlookup($G99,'données'!$M99:$M3705,'données'!B99:B3705)</f>
        <v>VERSAILLES</v>
      </c>
      <c r="F99" s="43" t="str">
        <f t="array" ref="F99">xlookup($G99,'données'!$M99:$M3705,'données'!J99:J3705)</f>
        <v>LEGT</v>
      </c>
      <c r="G99" s="44">
        <f>LARGE('données'!M99:M3705,A99)</f>
        <v>142.1</v>
      </c>
    </row>
    <row r="100">
      <c r="A100" s="44">
        <f t="shared" si="1"/>
        <v>99</v>
      </c>
      <c r="B100" s="43" t="str">
        <f t="array" ref="B100">xlookup($G100,'données'!$M100:$M3706,'données'!F100:F3706)</f>
        <v>LYCEE GENERAL PRIVE LE GYMNASE JEAN STURM</v>
      </c>
      <c r="C100" s="43" t="str">
        <f t="array" ref="C100">xlookup($G100,'données'!$M100:$M3706,'données'!I100:I3706)</f>
        <v>privé sous contrat</v>
      </c>
      <c r="D100" s="43" t="str">
        <f t="array" ref="D100">xlookup($G100,'données'!$M100:$M3706,'données'!H100:H3706)</f>
        <v>STRASBOURG</v>
      </c>
      <c r="E100" s="43" t="str">
        <f t="array" ref="E100">xlookup($G100,'données'!$M100:$M3706,'données'!B100:B3706)</f>
        <v>STRASBOURG</v>
      </c>
      <c r="F100" s="43" t="str">
        <f t="array" ref="F100">xlookup($G100,'données'!$M100:$M3706,'données'!J100:J3706)</f>
        <v>LEGT</v>
      </c>
      <c r="G100" s="44">
        <f>LARGE('données'!M100:M3706,A100)</f>
        <v>142</v>
      </c>
    </row>
    <row r="101">
      <c r="A101" s="44">
        <f t="shared" si="1"/>
        <v>100</v>
      </c>
      <c r="B101" s="43" t="str">
        <f t="array" ref="B101">xlookup($G101,'données'!$M101:$M3707,'données'!F101:F3707)</f>
        <v>LYCEE GENERAL PRIVE SAINT JOSEPH</v>
      </c>
      <c r="C101" s="43" t="str">
        <f t="array" ref="C101">xlookup($G101,'données'!$M101:$M3707,'données'!I101:I3707)</f>
        <v>privé sous contrat</v>
      </c>
      <c r="D101" s="43" t="str">
        <f t="array" ref="D101">xlookup($G101,'données'!$M101:$M3707,'données'!H101:H3707)</f>
        <v>REIMS</v>
      </c>
      <c r="E101" s="43" t="str">
        <f t="array" ref="E101">xlookup($G101,'données'!$M101:$M3707,'données'!B101:B3707)</f>
        <v>REIMS</v>
      </c>
      <c r="F101" s="43" t="str">
        <f t="array" ref="F101">xlookup($G101,'données'!$M101:$M3707,'données'!J101:J3707)</f>
        <v>LEGT</v>
      </c>
      <c r="G101" s="44">
        <f>LARGE('données'!M101:M3707,A101)</f>
        <v>141.9</v>
      </c>
    </row>
    <row r="102">
      <c r="A102" s="10"/>
      <c r="F102" s="10"/>
      <c r="G102" s="10"/>
    </row>
    <row r="103">
      <c r="A103" s="10"/>
      <c r="F103" s="10"/>
      <c r="G103" s="10"/>
    </row>
    <row r="104">
      <c r="A104" s="10"/>
      <c r="F104" s="10"/>
      <c r="G104" s="10"/>
    </row>
    <row r="105">
      <c r="A105" s="10"/>
      <c r="F105" s="10"/>
      <c r="G105" s="10"/>
    </row>
    <row r="106">
      <c r="A106" s="10"/>
      <c r="F106" s="10"/>
      <c r="G106" s="10"/>
    </row>
    <row r="107">
      <c r="A107" s="10"/>
      <c r="F107" s="10"/>
      <c r="G107" s="10"/>
    </row>
    <row r="108">
      <c r="A108" s="10"/>
      <c r="F108" s="10"/>
      <c r="G108" s="10"/>
    </row>
    <row r="109">
      <c r="A109" s="10"/>
      <c r="F109" s="10"/>
      <c r="G109" s="10"/>
    </row>
    <row r="110">
      <c r="A110" s="10"/>
      <c r="F110" s="10"/>
      <c r="G110" s="10"/>
    </row>
    <row r="111">
      <c r="A111" s="10"/>
      <c r="F111" s="10"/>
      <c r="G111" s="10"/>
    </row>
    <row r="112">
      <c r="A112" s="10"/>
      <c r="F112" s="10"/>
      <c r="G112" s="10"/>
    </row>
    <row r="113">
      <c r="A113" s="10"/>
      <c r="F113" s="10"/>
      <c r="G113" s="10"/>
    </row>
    <row r="114">
      <c r="A114" s="10"/>
      <c r="F114" s="10"/>
      <c r="G114" s="10"/>
    </row>
    <row r="115">
      <c r="A115" s="10"/>
      <c r="F115" s="10"/>
      <c r="G115" s="10"/>
    </row>
    <row r="116">
      <c r="A116" s="10"/>
      <c r="F116" s="10"/>
      <c r="G116" s="10"/>
    </row>
    <row r="117">
      <c r="A117" s="10"/>
      <c r="F117" s="10"/>
      <c r="G117" s="10"/>
    </row>
    <row r="118">
      <c r="A118" s="10"/>
      <c r="F118" s="10"/>
      <c r="G118" s="10"/>
    </row>
    <row r="119">
      <c r="A119" s="10"/>
      <c r="F119" s="10"/>
      <c r="G119" s="10"/>
    </row>
    <row r="120">
      <c r="A120" s="10"/>
      <c r="F120" s="10"/>
      <c r="G120" s="10"/>
    </row>
    <row r="121">
      <c r="A121" s="10"/>
      <c r="F121" s="10"/>
      <c r="G121" s="10"/>
    </row>
    <row r="122">
      <c r="A122" s="10"/>
      <c r="F122" s="10"/>
      <c r="G122" s="10"/>
    </row>
    <row r="123">
      <c r="A123" s="10"/>
      <c r="F123" s="10"/>
      <c r="G123" s="10"/>
    </row>
    <row r="124">
      <c r="A124" s="10"/>
      <c r="F124" s="10"/>
      <c r="G124" s="10"/>
    </row>
    <row r="125">
      <c r="A125" s="10"/>
      <c r="F125" s="10"/>
      <c r="G125" s="10"/>
    </row>
    <row r="126">
      <c r="A126" s="10"/>
      <c r="F126" s="10"/>
      <c r="G126" s="10"/>
    </row>
    <row r="127">
      <c r="A127" s="10"/>
      <c r="F127" s="10"/>
      <c r="G127" s="10"/>
    </row>
    <row r="128">
      <c r="A128" s="10"/>
      <c r="F128" s="10"/>
      <c r="G128" s="10"/>
    </row>
    <row r="129">
      <c r="A129" s="10"/>
      <c r="F129" s="10"/>
      <c r="G129" s="10"/>
    </row>
    <row r="130">
      <c r="A130" s="10"/>
      <c r="F130" s="10"/>
      <c r="G130" s="10"/>
    </row>
    <row r="131">
      <c r="A131" s="10"/>
      <c r="F131" s="10"/>
      <c r="G131" s="10"/>
    </row>
    <row r="132">
      <c r="A132" s="10"/>
      <c r="F132" s="10"/>
      <c r="G132" s="10"/>
    </row>
    <row r="133">
      <c r="A133" s="10"/>
      <c r="F133" s="10"/>
      <c r="G133" s="10"/>
    </row>
    <row r="134">
      <c r="A134" s="10"/>
      <c r="F134" s="10"/>
      <c r="G134" s="10"/>
    </row>
    <row r="135">
      <c r="A135" s="10"/>
      <c r="F135" s="10"/>
      <c r="G135" s="10"/>
    </row>
    <row r="136">
      <c r="A136" s="10"/>
      <c r="F136" s="10"/>
      <c r="G136" s="10"/>
    </row>
    <row r="137">
      <c r="A137" s="10"/>
      <c r="F137" s="10"/>
      <c r="G137" s="10"/>
    </row>
    <row r="138">
      <c r="A138" s="10"/>
      <c r="F138" s="10"/>
      <c r="G138" s="10"/>
    </row>
    <row r="139">
      <c r="A139" s="10"/>
      <c r="F139" s="10"/>
      <c r="G139" s="10"/>
    </row>
    <row r="140">
      <c r="A140" s="10"/>
      <c r="F140" s="10"/>
      <c r="G140" s="10"/>
    </row>
    <row r="141">
      <c r="A141" s="10"/>
      <c r="F141" s="10"/>
      <c r="G141" s="10"/>
    </row>
    <row r="142">
      <c r="A142" s="10"/>
      <c r="F142" s="10"/>
      <c r="G142" s="10"/>
    </row>
    <row r="143">
      <c r="A143" s="10"/>
      <c r="F143" s="10"/>
      <c r="G143" s="10"/>
    </row>
    <row r="144">
      <c r="A144" s="10"/>
      <c r="F144" s="10"/>
      <c r="G144" s="10"/>
    </row>
    <row r="145">
      <c r="A145" s="10"/>
      <c r="F145" s="10"/>
      <c r="G145" s="10"/>
    </row>
    <row r="146">
      <c r="A146" s="10"/>
      <c r="F146" s="10"/>
      <c r="G146" s="10"/>
    </row>
    <row r="147">
      <c r="A147" s="10"/>
      <c r="F147" s="10"/>
      <c r="G147" s="10"/>
    </row>
    <row r="148">
      <c r="A148" s="10"/>
      <c r="F148" s="10"/>
      <c r="G148" s="10"/>
    </row>
    <row r="149">
      <c r="A149" s="10"/>
      <c r="F149" s="10"/>
      <c r="G149" s="10"/>
    </row>
    <row r="150">
      <c r="A150" s="10"/>
      <c r="F150" s="10"/>
      <c r="G150" s="10"/>
    </row>
    <row r="151">
      <c r="A151" s="10"/>
      <c r="F151" s="10"/>
      <c r="G151" s="10"/>
    </row>
    <row r="152">
      <c r="A152" s="10"/>
      <c r="F152" s="10"/>
      <c r="G152" s="10"/>
    </row>
    <row r="153">
      <c r="A153" s="10"/>
      <c r="F153" s="10"/>
      <c r="G153" s="10"/>
    </row>
    <row r="154">
      <c r="A154" s="10"/>
      <c r="F154" s="10"/>
      <c r="G154" s="10"/>
    </row>
    <row r="155">
      <c r="A155" s="10"/>
      <c r="F155" s="10"/>
      <c r="G155" s="10"/>
    </row>
    <row r="156">
      <c r="A156" s="10"/>
      <c r="F156" s="10"/>
      <c r="G156" s="10"/>
    </row>
    <row r="157">
      <c r="A157" s="10"/>
      <c r="F157" s="10"/>
      <c r="G157" s="10"/>
    </row>
    <row r="158">
      <c r="A158" s="10"/>
      <c r="F158" s="10"/>
      <c r="G158" s="10"/>
    </row>
    <row r="159">
      <c r="A159" s="10"/>
      <c r="F159" s="10"/>
      <c r="G159" s="10"/>
    </row>
    <row r="160">
      <c r="A160" s="10"/>
      <c r="F160" s="10"/>
      <c r="G160" s="10"/>
    </row>
    <row r="161">
      <c r="A161" s="10"/>
      <c r="F161" s="10"/>
      <c r="G161" s="10"/>
    </row>
    <row r="162">
      <c r="A162" s="10"/>
      <c r="F162" s="10"/>
      <c r="G162" s="10"/>
    </row>
    <row r="163">
      <c r="A163" s="10"/>
      <c r="F163" s="10"/>
      <c r="G163" s="10"/>
    </row>
    <row r="164">
      <c r="A164" s="10"/>
      <c r="F164" s="10"/>
      <c r="G164" s="10"/>
    </row>
    <row r="165">
      <c r="A165" s="10"/>
      <c r="F165" s="10"/>
      <c r="G165" s="10"/>
    </row>
    <row r="166">
      <c r="A166" s="10"/>
      <c r="F166" s="10"/>
      <c r="G166" s="10"/>
    </row>
    <row r="167">
      <c r="A167" s="10"/>
      <c r="F167" s="10"/>
      <c r="G167" s="10"/>
    </row>
    <row r="168">
      <c r="A168" s="10"/>
      <c r="F168" s="10"/>
      <c r="G168" s="10"/>
    </row>
    <row r="169">
      <c r="A169" s="10"/>
      <c r="F169" s="10"/>
      <c r="G169" s="10"/>
    </row>
    <row r="170">
      <c r="A170" s="10"/>
      <c r="F170" s="10"/>
      <c r="G170" s="10"/>
    </row>
    <row r="171">
      <c r="A171" s="10"/>
      <c r="F171" s="10"/>
      <c r="G171" s="10"/>
    </row>
    <row r="172">
      <c r="A172" s="10"/>
      <c r="F172" s="10"/>
      <c r="G172" s="10"/>
    </row>
    <row r="173">
      <c r="A173" s="10"/>
      <c r="F173" s="10"/>
      <c r="G173" s="10"/>
    </row>
    <row r="174">
      <c r="A174" s="10"/>
      <c r="F174" s="10"/>
      <c r="G174" s="10"/>
    </row>
    <row r="175">
      <c r="A175" s="10"/>
      <c r="F175" s="10"/>
      <c r="G175" s="10"/>
    </row>
    <row r="176">
      <c r="A176" s="10"/>
      <c r="F176" s="10"/>
      <c r="G176" s="10"/>
    </row>
    <row r="177">
      <c r="A177" s="10"/>
      <c r="F177" s="10"/>
      <c r="G177" s="10"/>
    </row>
    <row r="178">
      <c r="A178" s="10"/>
      <c r="F178" s="10"/>
      <c r="G178" s="10"/>
    </row>
    <row r="179">
      <c r="A179" s="10"/>
      <c r="F179" s="10"/>
      <c r="G179" s="10"/>
    </row>
    <row r="180">
      <c r="A180" s="10"/>
      <c r="F180" s="10"/>
      <c r="G180" s="10"/>
    </row>
    <row r="181">
      <c r="A181" s="10"/>
      <c r="F181" s="10"/>
      <c r="G181" s="10"/>
    </row>
    <row r="182">
      <c r="A182" s="10"/>
      <c r="F182" s="10"/>
      <c r="G182" s="10"/>
    </row>
    <row r="183">
      <c r="A183" s="10"/>
      <c r="F183" s="10"/>
      <c r="G183" s="10"/>
    </row>
    <row r="184">
      <c r="A184" s="10"/>
      <c r="F184" s="10"/>
      <c r="G184" s="10"/>
    </row>
    <row r="185">
      <c r="A185" s="10"/>
      <c r="F185" s="10"/>
      <c r="G185" s="10"/>
    </row>
    <row r="186">
      <c r="A186" s="10"/>
      <c r="F186" s="10"/>
      <c r="G186" s="10"/>
    </row>
    <row r="187">
      <c r="A187" s="10"/>
      <c r="F187" s="10"/>
      <c r="G187" s="10"/>
    </row>
    <row r="188">
      <c r="A188" s="10"/>
      <c r="F188" s="10"/>
      <c r="G188" s="10"/>
    </row>
    <row r="189">
      <c r="A189" s="10"/>
      <c r="F189" s="10"/>
      <c r="G189" s="10"/>
    </row>
    <row r="190">
      <c r="A190" s="10"/>
      <c r="F190" s="10"/>
      <c r="G190" s="10"/>
    </row>
    <row r="191">
      <c r="A191" s="10"/>
      <c r="F191" s="10"/>
      <c r="G191" s="10"/>
    </row>
    <row r="192">
      <c r="A192" s="10"/>
      <c r="F192" s="10"/>
      <c r="G192" s="10"/>
    </row>
    <row r="193">
      <c r="A193" s="10"/>
      <c r="F193" s="10"/>
      <c r="G193" s="10"/>
    </row>
    <row r="194">
      <c r="A194" s="10"/>
      <c r="F194" s="10"/>
      <c r="G194" s="10"/>
    </row>
    <row r="195">
      <c r="A195" s="10"/>
      <c r="F195" s="10"/>
      <c r="G195" s="10"/>
    </row>
    <row r="196">
      <c r="A196" s="10"/>
      <c r="F196" s="10"/>
      <c r="G196" s="10"/>
    </row>
    <row r="197">
      <c r="A197" s="10"/>
      <c r="F197" s="10"/>
      <c r="G197" s="10"/>
    </row>
    <row r="198">
      <c r="A198" s="10"/>
      <c r="F198" s="10"/>
      <c r="G198" s="10"/>
    </row>
    <row r="199">
      <c r="A199" s="10"/>
      <c r="F199" s="10"/>
      <c r="G199" s="10"/>
    </row>
    <row r="200">
      <c r="A200" s="10"/>
      <c r="F200" s="10"/>
      <c r="G200" s="10"/>
    </row>
    <row r="201">
      <c r="A201" s="10"/>
      <c r="F201" s="10"/>
      <c r="G201" s="10"/>
    </row>
    <row r="202">
      <c r="A202" s="10"/>
      <c r="F202" s="10"/>
      <c r="G202" s="10"/>
    </row>
    <row r="203">
      <c r="A203" s="10"/>
      <c r="F203" s="10"/>
      <c r="G203" s="10"/>
    </row>
    <row r="204">
      <c r="A204" s="10"/>
      <c r="F204" s="10"/>
      <c r="G204" s="10"/>
    </row>
    <row r="205">
      <c r="A205" s="10"/>
      <c r="F205" s="10"/>
      <c r="G205" s="10"/>
    </row>
    <row r="206">
      <c r="A206" s="10"/>
      <c r="F206" s="10"/>
      <c r="G206" s="10"/>
    </row>
    <row r="207">
      <c r="A207" s="10"/>
      <c r="F207" s="10"/>
      <c r="G207" s="10"/>
    </row>
    <row r="208">
      <c r="A208" s="10"/>
      <c r="F208" s="10"/>
      <c r="G208" s="10"/>
    </row>
    <row r="209">
      <c r="A209" s="10"/>
      <c r="F209" s="10"/>
      <c r="G209" s="10"/>
    </row>
    <row r="210">
      <c r="A210" s="10"/>
      <c r="F210" s="10"/>
      <c r="G210" s="10"/>
    </row>
    <row r="211">
      <c r="A211" s="10"/>
      <c r="F211" s="10"/>
      <c r="G211" s="10"/>
    </row>
    <row r="212">
      <c r="A212" s="10"/>
      <c r="F212" s="10"/>
      <c r="G212" s="10"/>
    </row>
    <row r="213">
      <c r="A213" s="10"/>
      <c r="F213" s="10"/>
      <c r="G213" s="10"/>
    </row>
    <row r="214">
      <c r="A214" s="10"/>
      <c r="F214" s="10"/>
      <c r="G214" s="10"/>
    </row>
    <row r="215">
      <c r="A215" s="10"/>
      <c r="F215" s="10"/>
      <c r="G215" s="10"/>
    </row>
    <row r="216">
      <c r="A216" s="10"/>
      <c r="F216" s="10"/>
      <c r="G216" s="10"/>
    </row>
    <row r="217">
      <c r="A217" s="10"/>
      <c r="F217" s="10"/>
      <c r="G217" s="10"/>
    </row>
    <row r="218">
      <c r="A218" s="10"/>
      <c r="F218" s="10"/>
      <c r="G218" s="10"/>
    </row>
    <row r="219">
      <c r="A219" s="10"/>
      <c r="F219" s="10"/>
      <c r="G219" s="10"/>
    </row>
    <row r="220">
      <c r="A220" s="10"/>
      <c r="F220" s="10"/>
      <c r="G220" s="10"/>
    </row>
    <row r="221">
      <c r="A221" s="10"/>
      <c r="F221" s="10"/>
      <c r="G221" s="10"/>
    </row>
    <row r="222">
      <c r="A222" s="10"/>
      <c r="F222" s="10"/>
      <c r="G222" s="10"/>
    </row>
    <row r="223">
      <c r="A223" s="10"/>
      <c r="F223" s="10"/>
      <c r="G223" s="10"/>
    </row>
    <row r="224">
      <c r="A224" s="10"/>
      <c r="F224" s="10"/>
      <c r="G224" s="10"/>
    </row>
    <row r="225">
      <c r="A225" s="10"/>
      <c r="F225" s="10"/>
      <c r="G225" s="10"/>
    </row>
    <row r="226">
      <c r="A226" s="10"/>
      <c r="F226" s="10"/>
      <c r="G226" s="10"/>
    </row>
    <row r="227">
      <c r="A227" s="10"/>
      <c r="F227" s="10"/>
      <c r="G227" s="10"/>
    </row>
    <row r="228">
      <c r="A228" s="10"/>
      <c r="F228" s="10"/>
      <c r="G228" s="10"/>
    </row>
    <row r="229">
      <c r="A229" s="10"/>
      <c r="F229" s="10"/>
      <c r="G229" s="10"/>
    </row>
    <row r="230">
      <c r="A230" s="10"/>
      <c r="F230" s="10"/>
      <c r="G230" s="10"/>
    </row>
    <row r="231">
      <c r="A231" s="10"/>
      <c r="F231" s="10"/>
      <c r="G231" s="10"/>
    </row>
    <row r="232">
      <c r="A232" s="10"/>
      <c r="F232" s="10"/>
      <c r="G232" s="10"/>
    </row>
    <row r="233">
      <c r="A233" s="10"/>
      <c r="F233" s="10"/>
      <c r="G233" s="10"/>
    </row>
    <row r="234">
      <c r="A234" s="10"/>
      <c r="F234" s="10"/>
      <c r="G234" s="10"/>
    </row>
    <row r="235">
      <c r="A235" s="10"/>
      <c r="F235" s="10"/>
      <c r="G235" s="10"/>
    </row>
    <row r="236">
      <c r="A236" s="10"/>
      <c r="F236" s="10"/>
      <c r="G236" s="10"/>
    </row>
    <row r="237">
      <c r="A237" s="10"/>
      <c r="F237" s="10"/>
      <c r="G237" s="10"/>
    </row>
    <row r="238">
      <c r="A238" s="10"/>
      <c r="F238" s="10"/>
      <c r="G238" s="10"/>
    </row>
    <row r="239">
      <c r="A239" s="10"/>
      <c r="F239" s="10"/>
      <c r="G239" s="10"/>
    </row>
    <row r="240">
      <c r="A240" s="10"/>
      <c r="F240" s="10"/>
      <c r="G240" s="10"/>
    </row>
    <row r="241">
      <c r="A241" s="10"/>
      <c r="F241" s="10"/>
      <c r="G241" s="10"/>
    </row>
    <row r="242">
      <c r="A242" s="10"/>
      <c r="F242" s="10"/>
      <c r="G242" s="10"/>
    </row>
    <row r="243">
      <c r="A243" s="10"/>
      <c r="F243" s="10"/>
      <c r="G243" s="10"/>
    </row>
    <row r="244">
      <c r="A244" s="10"/>
      <c r="F244" s="10"/>
      <c r="G244" s="10"/>
    </row>
    <row r="245">
      <c r="A245" s="10"/>
      <c r="F245" s="10"/>
      <c r="G245" s="10"/>
    </row>
    <row r="246">
      <c r="A246" s="10"/>
      <c r="F246" s="10"/>
      <c r="G246" s="10"/>
    </row>
    <row r="247">
      <c r="A247" s="10"/>
      <c r="F247" s="10"/>
      <c r="G247" s="10"/>
    </row>
    <row r="248">
      <c r="A248" s="10"/>
      <c r="F248" s="10"/>
      <c r="G248" s="10"/>
    </row>
    <row r="249">
      <c r="A249" s="10"/>
      <c r="F249" s="10"/>
      <c r="G249" s="10"/>
    </row>
    <row r="250">
      <c r="A250" s="10"/>
      <c r="F250" s="10"/>
      <c r="G250" s="10"/>
    </row>
    <row r="251">
      <c r="A251" s="10"/>
      <c r="F251" s="10"/>
      <c r="G251" s="10"/>
    </row>
    <row r="252">
      <c r="A252" s="10"/>
      <c r="F252" s="10"/>
      <c r="G252" s="10"/>
    </row>
    <row r="253">
      <c r="A253" s="10"/>
      <c r="F253" s="10"/>
      <c r="G253" s="10"/>
    </row>
    <row r="254">
      <c r="A254" s="10"/>
      <c r="F254" s="10"/>
      <c r="G254" s="10"/>
    </row>
    <row r="255">
      <c r="A255" s="10"/>
      <c r="F255" s="10"/>
      <c r="G255" s="10"/>
    </row>
    <row r="256">
      <c r="A256" s="10"/>
      <c r="F256" s="10"/>
      <c r="G256" s="10"/>
    </row>
    <row r="257">
      <c r="A257" s="10"/>
      <c r="F257" s="10"/>
      <c r="G257" s="10"/>
    </row>
    <row r="258">
      <c r="A258" s="10"/>
      <c r="F258" s="10"/>
      <c r="G258" s="10"/>
    </row>
    <row r="259">
      <c r="A259" s="10"/>
      <c r="F259" s="10"/>
      <c r="G259" s="10"/>
    </row>
    <row r="260">
      <c r="A260" s="10"/>
      <c r="F260" s="10"/>
      <c r="G260" s="10"/>
    </row>
    <row r="261">
      <c r="A261" s="10"/>
      <c r="F261" s="10"/>
      <c r="G261" s="10"/>
    </row>
    <row r="262">
      <c r="A262" s="10"/>
      <c r="F262" s="10"/>
      <c r="G262" s="10"/>
    </row>
    <row r="263">
      <c r="A263" s="10"/>
      <c r="F263" s="10"/>
      <c r="G263" s="10"/>
    </row>
    <row r="264">
      <c r="A264" s="10"/>
      <c r="F264" s="10"/>
      <c r="G264" s="10"/>
    </row>
    <row r="265">
      <c r="A265" s="10"/>
      <c r="F265" s="10"/>
      <c r="G265" s="10"/>
    </row>
    <row r="266">
      <c r="A266" s="10"/>
      <c r="F266" s="10"/>
      <c r="G266" s="10"/>
    </row>
    <row r="267">
      <c r="A267" s="10"/>
      <c r="F267" s="10"/>
      <c r="G267" s="10"/>
    </row>
    <row r="268">
      <c r="A268" s="10"/>
      <c r="F268" s="10"/>
      <c r="G268" s="10"/>
    </row>
    <row r="269">
      <c r="A269" s="10"/>
      <c r="F269" s="10"/>
      <c r="G269" s="10"/>
    </row>
    <row r="270">
      <c r="A270" s="10"/>
      <c r="F270" s="10"/>
      <c r="G270" s="10"/>
    </row>
    <row r="271">
      <c r="A271" s="10"/>
      <c r="F271" s="10"/>
      <c r="G271" s="10"/>
    </row>
    <row r="272">
      <c r="A272" s="10"/>
      <c r="F272" s="10"/>
      <c r="G272" s="10"/>
    </row>
    <row r="273">
      <c r="A273" s="10"/>
      <c r="F273" s="10"/>
      <c r="G273" s="10"/>
    </row>
    <row r="274">
      <c r="A274" s="10"/>
      <c r="F274" s="10"/>
      <c r="G274" s="10"/>
    </row>
    <row r="275">
      <c r="A275" s="10"/>
      <c r="F275" s="10"/>
      <c r="G275" s="10"/>
    </row>
    <row r="276">
      <c r="A276" s="10"/>
      <c r="F276" s="10"/>
      <c r="G276" s="10"/>
    </row>
    <row r="277">
      <c r="A277" s="10"/>
      <c r="F277" s="10"/>
      <c r="G277" s="10"/>
    </row>
    <row r="278">
      <c r="A278" s="10"/>
      <c r="F278" s="10"/>
      <c r="G278" s="10"/>
    </row>
    <row r="279">
      <c r="A279" s="10"/>
      <c r="F279" s="10"/>
      <c r="G279" s="10"/>
    </row>
    <row r="280">
      <c r="A280" s="10"/>
      <c r="F280" s="10"/>
      <c r="G280" s="10"/>
    </row>
    <row r="281">
      <c r="A281" s="10"/>
      <c r="F281" s="10"/>
      <c r="G281" s="10"/>
    </row>
    <row r="282">
      <c r="A282" s="10"/>
      <c r="F282" s="10"/>
      <c r="G282" s="10"/>
    </row>
    <row r="283">
      <c r="A283" s="10"/>
      <c r="F283" s="10"/>
      <c r="G283" s="10"/>
    </row>
    <row r="284">
      <c r="A284" s="10"/>
      <c r="F284" s="10"/>
      <c r="G284" s="10"/>
    </row>
    <row r="285">
      <c r="A285" s="10"/>
      <c r="F285" s="10"/>
      <c r="G285" s="10"/>
    </row>
    <row r="286">
      <c r="A286" s="10"/>
      <c r="F286" s="10"/>
      <c r="G286" s="10"/>
    </row>
    <row r="287">
      <c r="A287" s="10"/>
      <c r="F287" s="10"/>
      <c r="G287" s="10"/>
    </row>
    <row r="288">
      <c r="A288" s="10"/>
      <c r="F288" s="10"/>
      <c r="G288" s="10"/>
    </row>
    <row r="289">
      <c r="A289" s="10"/>
      <c r="F289" s="10"/>
      <c r="G289" s="10"/>
    </row>
    <row r="290">
      <c r="A290" s="10"/>
      <c r="F290" s="10"/>
      <c r="G290" s="10"/>
    </row>
    <row r="291">
      <c r="A291" s="10"/>
      <c r="F291" s="10"/>
      <c r="G291" s="10"/>
    </row>
    <row r="292">
      <c r="A292" s="10"/>
      <c r="F292" s="10"/>
      <c r="G292" s="10"/>
    </row>
    <row r="293">
      <c r="A293" s="10"/>
      <c r="F293" s="10"/>
      <c r="G293" s="10"/>
    </row>
    <row r="294">
      <c r="A294" s="10"/>
      <c r="F294" s="10"/>
      <c r="G294" s="10"/>
    </row>
    <row r="295">
      <c r="A295" s="10"/>
      <c r="F295" s="10"/>
      <c r="G295" s="10"/>
    </row>
    <row r="296">
      <c r="A296" s="10"/>
      <c r="F296" s="10"/>
      <c r="G296" s="10"/>
    </row>
    <row r="297">
      <c r="A297" s="10"/>
      <c r="F297" s="10"/>
      <c r="G297" s="10"/>
    </row>
    <row r="298">
      <c r="A298" s="10"/>
      <c r="F298" s="10"/>
      <c r="G298" s="10"/>
    </row>
    <row r="299">
      <c r="A299" s="10"/>
      <c r="F299" s="10"/>
      <c r="G299" s="10"/>
    </row>
    <row r="300">
      <c r="A300" s="10"/>
      <c r="F300" s="10"/>
      <c r="G300" s="10"/>
    </row>
    <row r="301">
      <c r="A301" s="10"/>
      <c r="F301" s="10"/>
      <c r="G301" s="10"/>
    </row>
    <row r="302">
      <c r="A302" s="10"/>
      <c r="F302" s="10"/>
      <c r="G302" s="10"/>
    </row>
    <row r="303">
      <c r="A303" s="10"/>
      <c r="F303" s="10"/>
      <c r="G303" s="10"/>
    </row>
    <row r="304">
      <c r="A304" s="10"/>
      <c r="F304" s="10"/>
      <c r="G304" s="10"/>
    </row>
    <row r="305">
      <c r="A305" s="10"/>
      <c r="F305" s="10"/>
      <c r="G305" s="10"/>
    </row>
    <row r="306">
      <c r="A306" s="10"/>
      <c r="F306" s="10"/>
      <c r="G306" s="10"/>
    </row>
    <row r="307">
      <c r="A307" s="10"/>
      <c r="F307" s="10"/>
      <c r="G307" s="10"/>
    </row>
    <row r="308">
      <c r="A308" s="10"/>
      <c r="F308" s="10"/>
      <c r="G308" s="10"/>
    </row>
    <row r="309">
      <c r="A309" s="10"/>
      <c r="F309" s="10"/>
      <c r="G309" s="10"/>
    </row>
    <row r="310">
      <c r="A310" s="10"/>
      <c r="F310" s="10"/>
      <c r="G310" s="10"/>
    </row>
    <row r="311">
      <c r="A311" s="10"/>
      <c r="F311" s="10"/>
      <c r="G311" s="10"/>
    </row>
    <row r="312">
      <c r="A312" s="10"/>
      <c r="F312" s="10"/>
      <c r="G312" s="10"/>
    </row>
    <row r="313">
      <c r="A313" s="10"/>
      <c r="F313" s="10"/>
      <c r="G313" s="10"/>
    </row>
    <row r="314">
      <c r="A314" s="10"/>
      <c r="F314" s="10"/>
      <c r="G314" s="10"/>
    </row>
    <row r="315">
      <c r="A315" s="10"/>
      <c r="F315" s="10"/>
      <c r="G315" s="10"/>
    </row>
    <row r="316">
      <c r="A316" s="10"/>
      <c r="F316" s="10"/>
      <c r="G316" s="10"/>
    </row>
    <row r="317">
      <c r="A317" s="10"/>
      <c r="F317" s="10"/>
      <c r="G317" s="10"/>
    </row>
    <row r="318">
      <c r="A318" s="10"/>
      <c r="F318" s="10"/>
      <c r="G318" s="10"/>
    </row>
    <row r="319">
      <c r="A319" s="10"/>
      <c r="F319" s="10"/>
      <c r="G319" s="10"/>
    </row>
    <row r="320">
      <c r="A320" s="10"/>
      <c r="F320" s="10"/>
      <c r="G320" s="10"/>
    </row>
    <row r="321">
      <c r="A321" s="10"/>
      <c r="F321" s="10"/>
      <c r="G321" s="10"/>
    </row>
    <row r="322">
      <c r="A322" s="10"/>
      <c r="F322" s="10"/>
      <c r="G322" s="10"/>
    </row>
    <row r="323">
      <c r="A323" s="10"/>
      <c r="F323" s="10"/>
      <c r="G323" s="10"/>
    </row>
    <row r="324">
      <c r="A324" s="10"/>
      <c r="F324" s="10"/>
      <c r="G324" s="10"/>
    </row>
    <row r="325">
      <c r="A325" s="10"/>
      <c r="F325" s="10"/>
      <c r="G325" s="10"/>
    </row>
    <row r="326">
      <c r="A326" s="10"/>
      <c r="F326" s="10"/>
      <c r="G326" s="10"/>
    </row>
    <row r="327">
      <c r="A327" s="10"/>
      <c r="F327" s="10"/>
      <c r="G327" s="10"/>
    </row>
    <row r="328">
      <c r="A328" s="10"/>
      <c r="F328" s="10"/>
      <c r="G328" s="10"/>
    </row>
    <row r="329">
      <c r="A329" s="10"/>
      <c r="F329" s="10"/>
      <c r="G329" s="10"/>
    </row>
    <row r="330">
      <c r="A330" s="10"/>
      <c r="F330" s="10"/>
      <c r="G330" s="10"/>
    </row>
    <row r="331">
      <c r="A331" s="10"/>
      <c r="F331" s="10"/>
      <c r="G331" s="10"/>
    </row>
    <row r="332">
      <c r="A332" s="10"/>
      <c r="F332" s="10"/>
      <c r="G332" s="10"/>
    </row>
    <row r="333">
      <c r="A333" s="10"/>
      <c r="F333" s="10"/>
      <c r="G333" s="10"/>
    </row>
    <row r="334">
      <c r="A334" s="10"/>
      <c r="F334" s="10"/>
      <c r="G334" s="10"/>
    </row>
    <row r="335">
      <c r="A335" s="10"/>
      <c r="F335" s="10"/>
      <c r="G335" s="10"/>
    </row>
    <row r="336">
      <c r="A336" s="10"/>
      <c r="F336" s="10"/>
      <c r="G336" s="10"/>
    </row>
    <row r="337">
      <c r="A337" s="10"/>
      <c r="F337" s="10"/>
      <c r="G337" s="10"/>
    </row>
    <row r="338">
      <c r="A338" s="10"/>
      <c r="F338" s="10"/>
      <c r="G338" s="10"/>
    </row>
    <row r="339">
      <c r="A339" s="10"/>
      <c r="F339" s="10"/>
      <c r="G339" s="10"/>
    </row>
    <row r="340">
      <c r="A340" s="10"/>
      <c r="F340" s="10"/>
      <c r="G340" s="10"/>
    </row>
    <row r="341">
      <c r="A341" s="10"/>
      <c r="F341" s="10"/>
      <c r="G341" s="10"/>
    </row>
    <row r="342">
      <c r="A342" s="10"/>
      <c r="F342" s="10"/>
      <c r="G342" s="10"/>
    </row>
    <row r="343">
      <c r="A343" s="10"/>
      <c r="F343" s="10"/>
      <c r="G343" s="10"/>
    </row>
    <row r="344">
      <c r="A344" s="10"/>
      <c r="F344" s="10"/>
      <c r="G344" s="10"/>
    </row>
    <row r="345">
      <c r="A345" s="10"/>
      <c r="F345" s="10"/>
      <c r="G345" s="10"/>
    </row>
    <row r="346">
      <c r="A346" s="10"/>
      <c r="F346" s="10"/>
      <c r="G346" s="10"/>
    </row>
    <row r="347">
      <c r="A347" s="10"/>
      <c r="F347" s="10"/>
      <c r="G347" s="10"/>
    </row>
    <row r="348">
      <c r="A348" s="10"/>
      <c r="F348" s="10"/>
      <c r="G348" s="10"/>
    </row>
    <row r="349">
      <c r="A349" s="10"/>
      <c r="F349" s="10"/>
      <c r="G349" s="10"/>
    </row>
    <row r="350">
      <c r="A350" s="10"/>
      <c r="F350" s="10"/>
      <c r="G350" s="10"/>
    </row>
    <row r="351">
      <c r="A351" s="10"/>
      <c r="F351" s="10"/>
      <c r="G351" s="10"/>
    </row>
    <row r="352">
      <c r="A352" s="10"/>
      <c r="F352" s="10"/>
      <c r="G352" s="10"/>
    </row>
    <row r="353">
      <c r="A353" s="10"/>
      <c r="F353" s="10"/>
      <c r="G353" s="10"/>
    </row>
    <row r="354">
      <c r="A354" s="10"/>
      <c r="F354" s="10"/>
      <c r="G354" s="10"/>
    </row>
    <row r="355">
      <c r="A355" s="10"/>
      <c r="F355" s="10"/>
      <c r="G355" s="10"/>
    </row>
    <row r="356">
      <c r="A356" s="10"/>
      <c r="F356" s="10"/>
      <c r="G356" s="10"/>
    </row>
    <row r="357">
      <c r="A357" s="10"/>
      <c r="F357" s="10"/>
      <c r="G357" s="10"/>
    </row>
    <row r="358">
      <c r="A358" s="10"/>
      <c r="F358" s="10"/>
      <c r="G358" s="10"/>
    </row>
    <row r="359">
      <c r="A359" s="10"/>
      <c r="F359" s="10"/>
      <c r="G359" s="10"/>
    </row>
    <row r="360">
      <c r="A360" s="10"/>
      <c r="F360" s="10"/>
      <c r="G360" s="10"/>
    </row>
    <row r="361">
      <c r="A361" s="10"/>
      <c r="F361" s="10"/>
      <c r="G361" s="10"/>
    </row>
    <row r="362">
      <c r="A362" s="10"/>
      <c r="F362" s="10"/>
      <c r="G362" s="10"/>
    </row>
    <row r="363">
      <c r="A363" s="10"/>
      <c r="F363" s="10"/>
      <c r="G363" s="10"/>
    </row>
    <row r="364">
      <c r="A364" s="10"/>
      <c r="F364" s="10"/>
      <c r="G364" s="10"/>
    </row>
    <row r="365">
      <c r="A365" s="10"/>
      <c r="F365" s="10"/>
      <c r="G365" s="10"/>
    </row>
    <row r="366">
      <c r="A366" s="10"/>
      <c r="F366" s="10"/>
      <c r="G366" s="10"/>
    </row>
    <row r="367">
      <c r="A367" s="10"/>
      <c r="F367" s="10"/>
      <c r="G367" s="10"/>
    </row>
    <row r="368">
      <c r="A368" s="10"/>
      <c r="F368" s="10"/>
      <c r="G368" s="10"/>
    </row>
    <row r="369">
      <c r="A369" s="10"/>
      <c r="F369" s="10"/>
      <c r="G369" s="10"/>
    </row>
    <row r="370">
      <c r="A370" s="10"/>
      <c r="F370" s="10"/>
      <c r="G370" s="10"/>
    </row>
    <row r="371">
      <c r="A371" s="10"/>
      <c r="F371" s="10"/>
      <c r="G371" s="10"/>
    </row>
    <row r="372">
      <c r="A372" s="10"/>
      <c r="F372" s="10"/>
      <c r="G372" s="10"/>
    </row>
    <row r="373">
      <c r="A373" s="10"/>
      <c r="F373" s="10"/>
      <c r="G373" s="10"/>
    </row>
    <row r="374">
      <c r="A374" s="10"/>
      <c r="F374" s="10"/>
      <c r="G374" s="10"/>
    </row>
    <row r="375">
      <c r="A375" s="10"/>
      <c r="F375" s="10"/>
      <c r="G375" s="10"/>
    </row>
    <row r="376">
      <c r="A376" s="10"/>
      <c r="F376" s="10"/>
      <c r="G376" s="10"/>
    </row>
    <row r="377">
      <c r="A377" s="10"/>
      <c r="F377" s="10"/>
      <c r="G377" s="10"/>
    </row>
    <row r="378">
      <c r="A378" s="10"/>
      <c r="F378" s="10"/>
      <c r="G378" s="10"/>
    </row>
    <row r="379">
      <c r="A379" s="10"/>
      <c r="F379" s="10"/>
      <c r="G379" s="10"/>
    </row>
    <row r="380">
      <c r="A380" s="10"/>
      <c r="F380" s="10"/>
      <c r="G380" s="10"/>
    </row>
    <row r="381">
      <c r="A381" s="10"/>
      <c r="F381" s="10"/>
      <c r="G381" s="10"/>
    </row>
    <row r="382">
      <c r="A382" s="10"/>
      <c r="F382" s="10"/>
      <c r="G382" s="10"/>
    </row>
    <row r="383">
      <c r="A383" s="10"/>
      <c r="F383" s="10"/>
      <c r="G383" s="10"/>
    </row>
    <row r="384">
      <c r="A384" s="10"/>
      <c r="F384" s="10"/>
      <c r="G384" s="10"/>
    </row>
    <row r="385">
      <c r="A385" s="10"/>
      <c r="F385" s="10"/>
      <c r="G385" s="10"/>
    </row>
    <row r="386">
      <c r="A386" s="10"/>
      <c r="F386" s="10"/>
      <c r="G386" s="10"/>
    </row>
    <row r="387">
      <c r="A387" s="10"/>
      <c r="F387" s="10"/>
      <c r="G387" s="10"/>
    </row>
    <row r="388">
      <c r="A388" s="10"/>
      <c r="F388" s="10"/>
      <c r="G388" s="10"/>
    </row>
    <row r="389">
      <c r="A389" s="10"/>
      <c r="F389" s="10"/>
      <c r="G389" s="10"/>
    </row>
    <row r="390">
      <c r="A390" s="10"/>
      <c r="F390" s="10"/>
      <c r="G390" s="10"/>
    </row>
    <row r="391">
      <c r="A391" s="10"/>
      <c r="F391" s="10"/>
      <c r="G391" s="10"/>
    </row>
    <row r="392">
      <c r="A392" s="10"/>
      <c r="F392" s="10"/>
      <c r="G392" s="10"/>
    </row>
    <row r="393">
      <c r="A393" s="10"/>
      <c r="F393" s="10"/>
      <c r="G393" s="10"/>
    </row>
    <row r="394">
      <c r="A394" s="10"/>
      <c r="F394" s="10"/>
      <c r="G394" s="10"/>
    </row>
    <row r="395">
      <c r="A395" s="10"/>
      <c r="F395" s="10"/>
      <c r="G395" s="10"/>
    </row>
    <row r="396">
      <c r="A396" s="10"/>
      <c r="F396" s="10"/>
      <c r="G396" s="10"/>
    </row>
    <row r="397">
      <c r="A397" s="10"/>
      <c r="F397" s="10"/>
      <c r="G397" s="10"/>
    </row>
    <row r="398">
      <c r="A398" s="10"/>
      <c r="F398" s="10"/>
      <c r="G398" s="10"/>
    </row>
    <row r="399">
      <c r="A399" s="10"/>
      <c r="F399" s="10"/>
      <c r="G399" s="10"/>
    </row>
    <row r="400">
      <c r="A400" s="10"/>
      <c r="F400" s="10"/>
      <c r="G400" s="10"/>
    </row>
    <row r="401">
      <c r="A401" s="10"/>
      <c r="F401" s="10"/>
      <c r="G401" s="10"/>
    </row>
    <row r="402">
      <c r="A402" s="10"/>
      <c r="F402" s="10"/>
      <c r="G402" s="10"/>
    </row>
    <row r="403">
      <c r="A403" s="10"/>
      <c r="F403" s="10"/>
      <c r="G403" s="10"/>
    </row>
    <row r="404">
      <c r="A404" s="10"/>
      <c r="F404" s="10"/>
      <c r="G404" s="10"/>
    </row>
    <row r="405">
      <c r="A405" s="10"/>
      <c r="F405" s="10"/>
      <c r="G405" s="10"/>
    </row>
    <row r="406">
      <c r="A406" s="10"/>
      <c r="F406" s="10"/>
      <c r="G406" s="10"/>
    </row>
    <row r="407">
      <c r="A407" s="10"/>
      <c r="F407" s="10"/>
      <c r="G407" s="10"/>
    </row>
    <row r="408">
      <c r="A408" s="10"/>
      <c r="F408" s="10"/>
      <c r="G408" s="10"/>
    </row>
    <row r="409">
      <c r="A409" s="10"/>
      <c r="F409" s="10"/>
      <c r="G409" s="10"/>
    </row>
    <row r="410">
      <c r="A410" s="10"/>
      <c r="F410" s="10"/>
      <c r="G410" s="10"/>
    </row>
    <row r="411">
      <c r="A411" s="10"/>
      <c r="F411" s="10"/>
      <c r="G411" s="10"/>
    </row>
    <row r="412">
      <c r="A412" s="10"/>
      <c r="F412" s="10"/>
      <c r="G412" s="10"/>
    </row>
    <row r="413">
      <c r="A413" s="10"/>
      <c r="F413" s="10"/>
      <c r="G413" s="10"/>
    </row>
    <row r="414">
      <c r="A414" s="10"/>
      <c r="F414" s="10"/>
      <c r="G414" s="10"/>
    </row>
    <row r="415">
      <c r="A415" s="10"/>
      <c r="F415" s="10"/>
      <c r="G415" s="10"/>
    </row>
    <row r="416">
      <c r="A416" s="10"/>
      <c r="F416" s="10"/>
      <c r="G416" s="10"/>
    </row>
    <row r="417">
      <c r="A417" s="10"/>
      <c r="F417" s="10"/>
      <c r="G417" s="10"/>
    </row>
    <row r="418">
      <c r="A418" s="10"/>
      <c r="F418" s="10"/>
      <c r="G418" s="10"/>
    </row>
    <row r="419">
      <c r="A419" s="10"/>
      <c r="F419" s="10"/>
      <c r="G419" s="10"/>
    </row>
    <row r="420">
      <c r="A420" s="10"/>
      <c r="F420" s="10"/>
      <c r="G420" s="10"/>
    </row>
    <row r="421">
      <c r="A421" s="10"/>
      <c r="F421" s="10"/>
      <c r="G421" s="10"/>
    </row>
    <row r="422">
      <c r="A422" s="10"/>
      <c r="F422" s="10"/>
      <c r="G422" s="10"/>
    </row>
    <row r="423">
      <c r="A423" s="10"/>
      <c r="F423" s="10"/>
      <c r="G423" s="10"/>
    </row>
    <row r="424">
      <c r="A424" s="10"/>
      <c r="F424" s="10"/>
      <c r="G424" s="10"/>
    </row>
    <row r="425">
      <c r="A425" s="10"/>
      <c r="F425" s="10"/>
      <c r="G425" s="10"/>
    </row>
    <row r="426">
      <c r="A426" s="10"/>
      <c r="F426" s="10"/>
      <c r="G426" s="10"/>
    </row>
    <row r="427">
      <c r="A427" s="10"/>
      <c r="F427" s="10"/>
      <c r="G427" s="10"/>
    </row>
    <row r="428">
      <c r="A428" s="10"/>
      <c r="F428" s="10"/>
      <c r="G428" s="10"/>
    </row>
    <row r="429">
      <c r="A429" s="10"/>
      <c r="F429" s="10"/>
      <c r="G429" s="10"/>
    </row>
    <row r="430">
      <c r="A430" s="10"/>
      <c r="F430" s="10"/>
      <c r="G430" s="10"/>
    </row>
    <row r="431">
      <c r="A431" s="10"/>
      <c r="F431" s="10"/>
      <c r="G431" s="10"/>
    </row>
    <row r="432">
      <c r="A432" s="10"/>
      <c r="F432" s="10"/>
      <c r="G432" s="10"/>
    </row>
    <row r="433">
      <c r="A433" s="10"/>
      <c r="F433" s="10"/>
      <c r="G433" s="10"/>
    </row>
    <row r="434">
      <c r="A434" s="10"/>
      <c r="F434" s="10"/>
      <c r="G434" s="10"/>
    </row>
    <row r="435">
      <c r="A435" s="10"/>
      <c r="F435" s="10"/>
      <c r="G435" s="10"/>
    </row>
    <row r="436">
      <c r="A436" s="10"/>
      <c r="F436" s="10"/>
      <c r="G436" s="10"/>
    </row>
    <row r="437">
      <c r="A437" s="10"/>
      <c r="F437" s="10"/>
      <c r="G437" s="10"/>
    </row>
    <row r="438">
      <c r="A438" s="10"/>
      <c r="F438" s="10"/>
      <c r="G438" s="10"/>
    </row>
    <row r="439">
      <c r="A439" s="10"/>
      <c r="F439" s="10"/>
      <c r="G439" s="10"/>
    </row>
    <row r="440">
      <c r="A440" s="10"/>
      <c r="F440" s="10"/>
      <c r="G440" s="10"/>
    </row>
    <row r="441">
      <c r="A441" s="10"/>
      <c r="F441" s="10"/>
      <c r="G441" s="10"/>
    </row>
    <row r="442">
      <c r="A442" s="10"/>
      <c r="F442" s="10"/>
      <c r="G442" s="10"/>
    </row>
    <row r="443">
      <c r="A443" s="10"/>
      <c r="F443" s="10"/>
      <c r="G443" s="10"/>
    </row>
    <row r="444">
      <c r="A444" s="10"/>
      <c r="F444" s="10"/>
      <c r="G444" s="10"/>
    </row>
    <row r="445">
      <c r="A445" s="10"/>
      <c r="F445" s="10"/>
      <c r="G445" s="10"/>
    </row>
    <row r="446">
      <c r="A446" s="10"/>
      <c r="F446" s="10"/>
      <c r="G446" s="10"/>
    </row>
    <row r="447">
      <c r="A447" s="10"/>
      <c r="F447" s="10"/>
      <c r="G447" s="10"/>
    </row>
    <row r="448">
      <c r="A448" s="10"/>
      <c r="F448" s="10"/>
      <c r="G448" s="10"/>
    </row>
    <row r="449">
      <c r="A449" s="10"/>
      <c r="F449" s="10"/>
      <c r="G449" s="10"/>
    </row>
    <row r="450">
      <c r="A450" s="10"/>
      <c r="F450" s="10"/>
      <c r="G450" s="10"/>
    </row>
    <row r="451">
      <c r="A451" s="10"/>
      <c r="F451" s="10"/>
      <c r="G451" s="10"/>
    </row>
    <row r="452">
      <c r="A452" s="10"/>
      <c r="F452" s="10"/>
      <c r="G452" s="10"/>
    </row>
    <row r="453">
      <c r="A453" s="10"/>
      <c r="F453" s="10"/>
      <c r="G453" s="10"/>
    </row>
    <row r="454">
      <c r="A454" s="10"/>
      <c r="F454" s="10"/>
      <c r="G454" s="10"/>
    </row>
    <row r="455">
      <c r="A455" s="10"/>
      <c r="F455" s="10"/>
      <c r="G455" s="10"/>
    </row>
    <row r="456">
      <c r="A456" s="10"/>
      <c r="F456" s="10"/>
      <c r="G456" s="10"/>
    </row>
    <row r="457">
      <c r="A457" s="10"/>
      <c r="F457" s="10"/>
      <c r="G457" s="10"/>
    </row>
    <row r="458">
      <c r="A458" s="10"/>
      <c r="F458" s="10"/>
      <c r="G458" s="10"/>
    </row>
    <row r="459">
      <c r="A459" s="10"/>
      <c r="F459" s="10"/>
      <c r="G459" s="10"/>
    </row>
    <row r="460">
      <c r="A460" s="10"/>
      <c r="F460" s="10"/>
      <c r="G460" s="10"/>
    </row>
    <row r="461">
      <c r="A461" s="10"/>
      <c r="F461" s="10"/>
      <c r="G461" s="10"/>
    </row>
    <row r="462">
      <c r="A462" s="10"/>
      <c r="F462" s="10"/>
      <c r="G462" s="10"/>
    </row>
    <row r="463">
      <c r="A463" s="10"/>
      <c r="F463" s="10"/>
      <c r="G463" s="10"/>
    </row>
    <row r="464">
      <c r="A464" s="10"/>
      <c r="F464" s="10"/>
      <c r="G464" s="10"/>
    </row>
    <row r="465">
      <c r="A465" s="10"/>
      <c r="F465" s="10"/>
      <c r="G465" s="10"/>
    </row>
    <row r="466">
      <c r="A466" s="10"/>
      <c r="F466" s="10"/>
      <c r="G466" s="10"/>
    </row>
    <row r="467">
      <c r="A467" s="10"/>
      <c r="F467" s="10"/>
      <c r="G467" s="10"/>
    </row>
    <row r="468">
      <c r="A468" s="10"/>
      <c r="F468" s="10"/>
      <c r="G468" s="10"/>
    </row>
    <row r="469">
      <c r="A469" s="10"/>
      <c r="F469" s="10"/>
      <c r="G469" s="10"/>
    </row>
    <row r="470">
      <c r="A470" s="10"/>
      <c r="F470" s="10"/>
      <c r="G470" s="10"/>
    </row>
    <row r="471">
      <c r="A471" s="10"/>
      <c r="F471" s="10"/>
      <c r="G471" s="10"/>
    </row>
    <row r="472">
      <c r="A472" s="10"/>
      <c r="F472" s="10"/>
      <c r="G472" s="10"/>
    </row>
    <row r="473">
      <c r="A473" s="10"/>
      <c r="F473" s="10"/>
      <c r="G473" s="10"/>
    </row>
    <row r="474">
      <c r="A474" s="10"/>
      <c r="F474" s="10"/>
      <c r="G474" s="10"/>
    </row>
    <row r="475">
      <c r="A475" s="10"/>
      <c r="F475" s="10"/>
      <c r="G475" s="10"/>
    </row>
    <row r="476">
      <c r="A476" s="10"/>
      <c r="F476" s="10"/>
      <c r="G476" s="10"/>
    </row>
    <row r="477">
      <c r="A477" s="10"/>
      <c r="F477" s="10"/>
      <c r="G477" s="10"/>
    </row>
    <row r="478">
      <c r="A478" s="10"/>
      <c r="F478" s="10"/>
      <c r="G478" s="10"/>
    </row>
    <row r="479">
      <c r="A479" s="10"/>
      <c r="F479" s="10"/>
      <c r="G479" s="10"/>
    </row>
    <row r="480">
      <c r="A480" s="10"/>
      <c r="F480" s="10"/>
      <c r="G480" s="10"/>
    </row>
    <row r="481">
      <c r="A481" s="10"/>
      <c r="F481" s="10"/>
      <c r="G481" s="10"/>
    </row>
    <row r="482">
      <c r="A482" s="10"/>
      <c r="F482" s="10"/>
      <c r="G482" s="10"/>
    </row>
    <row r="483">
      <c r="A483" s="10"/>
      <c r="F483" s="10"/>
      <c r="G483" s="10"/>
    </row>
    <row r="484">
      <c r="A484" s="10"/>
      <c r="F484" s="10"/>
      <c r="G484" s="10"/>
    </row>
    <row r="485">
      <c r="A485" s="10"/>
      <c r="F485" s="10"/>
      <c r="G485" s="10"/>
    </row>
    <row r="486">
      <c r="A486" s="10"/>
      <c r="F486" s="10"/>
      <c r="G486" s="10"/>
    </row>
    <row r="487">
      <c r="A487" s="10"/>
      <c r="F487" s="10"/>
      <c r="G487" s="10"/>
    </row>
    <row r="488">
      <c r="A488" s="10"/>
      <c r="F488" s="10"/>
      <c r="G488" s="10"/>
    </row>
    <row r="489">
      <c r="A489" s="10"/>
      <c r="F489" s="10"/>
      <c r="G489" s="10"/>
    </row>
    <row r="490">
      <c r="A490" s="10"/>
      <c r="F490" s="10"/>
      <c r="G490" s="10"/>
    </row>
    <row r="491">
      <c r="A491" s="10"/>
      <c r="F491" s="10"/>
      <c r="G491" s="10"/>
    </row>
    <row r="492">
      <c r="A492" s="10"/>
      <c r="F492" s="10"/>
      <c r="G492" s="10"/>
    </row>
    <row r="493">
      <c r="A493" s="10"/>
      <c r="F493" s="10"/>
      <c r="G493" s="10"/>
    </row>
    <row r="494">
      <c r="A494" s="10"/>
      <c r="F494" s="10"/>
      <c r="G494" s="10"/>
    </row>
    <row r="495">
      <c r="A495" s="10"/>
      <c r="F495" s="10"/>
      <c r="G495" s="10"/>
    </row>
    <row r="496">
      <c r="A496" s="10"/>
      <c r="F496" s="10"/>
      <c r="G496" s="10"/>
    </row>
    <row r="497">
      <c r="A497" s="10"/>
      <c r="F497" s="10"/>
      <c r="G497" s="10"/>
    </row>
    <row r="498">
      <c r="A498" s="10"/>
      <c r="F498" s="10"/>
      <c r="G498" s="10"/>
    </row>
    <row r="499">
      <c r="A499" s="10"/>
      <c r="F499" s="10"/>
      <c r="G499" s="10"/>
    </row>
    <row r="500">
      <c r="A500" s="10"/>
      <c r="F500" s="10"/>
      <c r="G500" s="10"/>
    </row>
    <row r="501">
      <c r="A501" s="10"/>
      <c r="F501" s="10"/>
      <c r="G501" s="10"/>
    </row>
    <row r="502">
      <c r="A502" s="10"/>
      <c r="F502" s="10"/>
      <c r="G502" s="10"/>
    </row>
    <row r="503">
      <c r="A503" s="10"/>
      <c r="F503" s="10"/>
      <c r="G503" s="10"/>
    </row>
    <row r="504">
      <c r="A504" s="10"/>
      <c r="F504" s="10"/>
      <c r="G504" s="10"/>
    </row>
    <row r="505">
      <c r="A505" s="10"/>
      <c r="F505" s="10"/>
      <c r="G505" s="10"/>
    </row>
    <row r="506">
      <c r="A506" s="10"/>
      <c r="F506" s="10"/>
      <c r="G506" s="10"/>
    </row>
    <row r="507">
      <c r="A507" s="10"/>
      <c r="F507" s="10"/>
      <c r="G507" s="10"/>
    </row>
    <row r="508">
      <c r="A508" s="10"/>
      <c r="F508" s="10"/>
      <c r="G508" s="10"/>
    </row>
    <row r="509">
      <c r="A509" s="10"/>
      <c r="F509" s="10"/>
      <c r="G509" s="10"/>
    </row>
    <row r="510">
      <c r="A510" s="10"/>
      <c r="F510" s="10"/>
      <c r="G510" s="10"/>
    </row>
    <row r="511">
      <c r="A511" s="10"/>
      <c r="F511" s="10"/>
      <c r="G511" s="10"/>
    </row>
    <row r="512">
      <c r="A512" s="10"/>
      <c r="F512" s="10"/>
      <c r="G512" s="10"/>
    </row>
    <row r="513">
      <c r="A513" s="10"/>
      <c r="F513" s="10"/>
      <c r="G513" s="10"/>
    </row>
    <row r="514">
      <c r="A514" s="10"/>
      <c r="F514" s="10"/>
      <c r="G514" s="10"/>
    </row>
    <row r="515">
      <c r="A515" s="10"/>
      <c r="F515" s="10"/>
      <c r="G515" s="10"/>
    </row>
    <row r="516">
      <c r="A516" s="10"/>
      <c r="F516" s="10"/>
      <c r="G516" s="10"/>
    </row>
    <row r="517">
      <c r="A517" s="10"/>
      <c r="F517" s="10"/>
      <c r="G517" s="10"/>
    </row>
    <row r="518">
      <c r="A518" s="10"/>
      <c r="F518" s="10"/>
      <c r="G518" s="10"/>
    </row>
    <row r="519">
      <c r="A519" s="10"/>
      <c r="F519" s="10"/>
      <c r="G519" s="10"/>
    </row>
    <row r="520">
      <c r="A520" s="10"/>
      <c r="F520" s="10"/>
      <c r="G520" s="10"/>
    </row>
    <row r="521">
      <c r="A521" s="10"/>
      <c r="F521" s="10"/>
      <c r="G521" s="10"/>
    </row>
    <row r="522">
      <c r="A522" s="10"/>
      <c r="F522" s="10"/>
      <c r="G522" s="10"/>
    </row>
    <row r="523">
      <c r="A523" s="10"/>
      <c r="F523" s="10"/>
      <c r="G523" s="10"/>
    </row>
    <row r="524">
      <c r="A524" s="10"/>
      <c r="F524" s="10"/>
      <c r="G524" s="10"/>
    </row>
    <row r="525">
      <c r="A525" s="10"/>
      <c r="F525" s="10"/>
      <c r="G525" s="10"/>
    </row>
    <row r="526">
      <c r="A526" s="10"/>
      <c r="F526" s="10"/>
      <c r="G526" s="10"/>
    </row>
    <row r="527">
      <c r="A527" s="10"/>
      <c r="F527" s="10"/>
      <c r="G527" s="10"/>
    </row>
    <row r="528">
      <c r="A528" s="10"/>
      <c r="F528" s="10"/>
      <c r="G528" s="10"/>
    </row>
    <row r="529">
      <c r="A529" s="10"/>
      <c r="F529" s="10"/>
      <c r="G529" s="10"/>
    </row>
    <row r="530">
      <c r="A530" s="10"/>
      <c r="F530" s="10"/>
      <c r="G530" s="10"/>
    </row>
    <row r="531">
      <c r="A531" s="10"/>
      <c r="F531" s="10"/>
      <c r="G531" s="10"/>
    </row>
    <row r="532">
      <c r="A532" s="10"/>
      <c r="F532" s="10"/>
      <c r="G532" s="10"/>
    </row>
    <row r="533">
      <c r="A533" s="10"/>
      <c r="F533" s="10"/>
      <c r="G533" s="10"/>
    </row>
    <row r="534">
      <c r="A534" s="10"/>
      <c r="F534" s="10"/>
      <c r="G534" s="10"/>
    </row>
    <row r="535">
      <c r="A535" s="10"/>
      <c r="F535" s="10"/>
      <c r="G535" s="10"/>
    </row>
    <row r="536">
      <c r="A536" s="10"/>
      <c r="F536" s="10"/>
      <c r="G536" s="10"/>
    </row>
    <row r="537">
      <c r="A537" s="10"/>
      <c r="F537" s="10"/>
      <c r="G537" s="10"/>
    </row>
    <row r="538">
      <c r="A538" s="10"/>
      <c r="F538" s="10"/>
      <c r="G538" s="10"/>
    </row>
    <row r="539">
      <c r="A539" s="10"/>
      <c r="F539" s="10"/>
      <c r="G539" s="10"/>
    </row>
    <row r="540">
      <c r="A540" s="10"/>
      <c r="F540" s="10"/>
      <c r="G540" s="10"/>
    </row>
    <row r="541">
      <c r="A541" s="10"/>
      <c r="F541" s="10"/>
      <c r="G541" s="10"/>
    </row>
    <row r="542">
      <c r="A542" s="10"/>
      <c r="F542" s="10"/>
      <c r="G542" s="10"/>
    </row>
    <row r="543">
      <c r="A543" s="10"/>
      <c r="F543" s="10"/>
      <c r="G543" s="10"/>
    </row>
    <row r="544">
      <c r="A544" s="10"/>
      <c r="F544" s="10"/>
      <c r="G544" s="10"/>
    </row>
    <row r="545">
      <c r="A545" s="10"/>
      <c r="F545" s="10"/>
      <c r="G545" s="10"/>
    </row>
    <row r="546">
      <c r="A546" s="10"/>
      <c r="F546" s="10"/>
      <c r="G546" s="10"/>
    </row>
    <row r="547">
      <c r="A547" s="10"/>
      <c r="F547" s="10"/>
      <c r="G547" s="10"/>
    </row>
    <row r="548">
      <c r="A548" s="10"/>
      <c r="F548" s="10"/>
      <c r="G548" s="10"/>
    </row>
    <row r="549">
      <c r="A549" s="10"/>
      <c r="F549" s="10"/>
      <c r="G549" s="10"/>
    </row>
    <row r="550">
      <c r="A550" s="10"/>
      <c r="F550" s="10"/>
      <c r="G550" s="10"/>
    </row>
    <row r="551">
      <c r="A551" s="10"/>
      <c r="F551" s="10"/>
      <c r="G551" s="10"/>
    </row>
    <row r="552">
      <c r="A552" s="10"/>
      <c r="F552" s="10"/>
      <c r="G552" s="10"/>
    </row>
    <row r="553">
      <c r="A553" s="10"/>
      <c r="F553" s="10"/>
      <c r="G553" s="10"/>
    </row>
    <row r="554">
      <c r="A554" s="10"/>
      <c r="F554" s="10"/>
      <c r="G554" s="10"/>
    </row>
    <row r="555">
      <c r="A555" s="10"/>
      <c r="F555" s="10"/>
      <c r="G555" s="10"/>
    </row>
    <row r="556">
      <c r="A556" s="10"/>
      <c r="F556" s="10"/>
      <c r="G556" s="10"/>
    </row>
    <row r="557">
      <c r="A557" s="10"/>
      <c r="F557" s="10"/>
      <c r="G557" s="10"/>
    </row>
    <row r="558">
      <c r="A558" s="10"/>
      <c r="F558" s="10"/>
      <c r="G558" s="10"/>
    </row>
    <row r="559">
      <c r="A559" s="10"/>
      <c r="F559" s="10"/>
      <c r="G559" s="10"/>
    </row>
    <row r="560">
      <c r="A560" s="10"/>
      <c r="F560" s="10"/>
      <c r="G560" s="10"/>
    </row>
    <row r="561">
      <c r="A561" s="10"/>
      <c r="F561" s="10"/>
      <c r="G561" s="10"/>
    </row>
    <row r="562">
      <c r="A562" s="10"/>
      <c r="F562" s="10"/>
      <c r="G562" s="10"/>
    </row>
    <row r="563">
      <c r="A563" s="10"/>
      <c r="F563" s="10"/>
      <c r="G563" s="10"/>
    </row>
    <row r="564">
      <c r="A564" s="10"/>
      <c r="F564" s="10"/>
      <c r="G564" s="10"/>
    </row>
    <row r="565">
      <c r="A565" s="10"/>
      <c r="F565" s="10"/>
      <c r="G565" s="10"/>
    </row>
    <row r="566">
      <c r="A566" s="10"/>
      <c r="F566" s="10"/>
      <c r="G566" s="10"/>
    </row>
    <row r="567">
      <c r="A567" s="10"/>
      <c r="F567" s="10"/>
      <c r="G567" s="10"/>
    </row>
    <row r="568">
      <c r="A568" s="10"/>
      <c r="F568" s="10"/>
      <c r="G568" s="10"/>
    </row>
    <row r="569">
      <c r="A569" s="10"/>
      <c r="F569" s="10"/>
      <c r="G569" s="10"/>
    </row>
    <row r="570">
      <c r="A570" s="10"/>
      <c r="F570" s="10"/>
      <c r="G570" s="10"/>
    </row>
    <row r="571">
      <c r="A571" s="10"/>
      <c r="F571" s="10"/>
      <c r="G571" s="10"/>
    </row>
    <row r="572">
      <c r="A572" s="10"/>
      <c r="F572" s="10"/>
      <c r="G572" s="10"/>
    </row>
    <row r="573">
      <c r="A573" s="10"/>
      <c r="F573" s="10"/>
      <c r="G573" s="10"/>
    </row>
    <row r="574">
      <c r="A574" s="10"/>
      <c r="F574" s="10"/>
      <c r="G574" s="10"/>
    </row>
    <row r="575">
      <c r="A575" s="10"/>
      <c r="F575" s="10"/>
      <c r="G575" s="10"/>
    </row>
    <row r="576">
      <c r="A576" s="10"/>
      <c r="F576" s="10"/>
      <c r="G576" s="10"/>
    </row>
    <row r="577">
      <c r="A577" s="10"/>
      <c r="F577" s="10"/>
      <c r="G577" s="10"/>
    </row>
    <row r="578">
      <c r="A578" s="10"/>
      <c r="F578" s="10"/>
      <c r="G578" s="10"/>
    </row>
    <row r="579">
      <c r="A579" s="10"/>
      <c r="F579" s="10"/>
      <c r="G579" s="10"/>
    </row>
    <row r="580">
      <c r="A580" s="10"/>
      <c r="F580" s="10"/>
      <c r="G580" s="10"/>
    </row>
    <row r="581">
      <c r="A581" s="10"/>
      <c r="F581" s="10"/>
      <c r="G581" s="10"/>
    </row>
    <row r="582">
      <c r="A582" s="10"/>
      <c r="F582" s="10"/>
      <c r="G582" s="10"/>
    </row>
    <row r="583">
      <c r="A583" s="10"/>
      <c r="F583" s="10"/>
      <c r="G583" s="10"/>
    </row>
    <row r="584">
      <c r="A584" s="10"/>
      <c r="F584" s="10"/>
      <c r="G584" s="10"/>
    </row>
    <row r="585">
      <c r="A585" s="10"/>
      <c r="F585" s="10"/>
      <c r="G585" s="10"/>
    </row>
    <row r="586">
      <c r="A586" s="10"/>
      <c r="F586" s="10"/>
      <c r="G586" s="10"/>
    </row>
    <row r="587">
      <c r="A587" s="10"/>
      <c r="F587" s="10"/>
      <c r="G587" s="10"/>
    </row>
    <row r="588">
      <c r="A588" s="10"/>
      <c r="F588" s="10"/>
      <c r="G588" s="10"/>
    </row>
    <row r="589">
      <c r="A589" s="10"/>
      <c r="F589" s="10"/>
      <c r="G589" s="10"/>
    </row>
    <row r="590">
      <c r="A590" s="10"/>
      <c r="F590" s="10"/>
      <c r="G590" s="10"/>
    </row>
    <row r="591">
      <c r="A591" s="10"/>
      <c r="F591" s="10"/>
      <c r="G591" s="10"/>
    </row>
    <row r="592">
      <c r="A592" s="10"/>
      <c r="F592" s="10"/>
      <c r="G592" s="10"/>
    </row>
    <row r="593">
      <c r="A593" s="10"/>
      <c r="F593" s="10"/>
      <c r="G593" s="10"/>
    </row>
    <row r="594">
      <c r="A594" s="10"/>
      <c r="F594" s="10"/>
      <c r="G594" s="10"/>
    </row>
    <row r="595">
      <c r="A595" s="10"/>
      <c r="F595" s="10"/>
      <c r="G595" s="10"/>
    </row>
    <row r="596">
      <c r="A596" s="10"/>
      <c r="F596" s="10"/>
      <c r="G596" s="10"/>
    </row>
    <row r="597">
      <c r="A597" s="10"/>
      <c r="F597" s="10"/>
      <c r="G597" s="10"/>
    </row>
    <row r="598">
      <c r="A598" s="10"/>
      <c r="F598" s="10"/>
      <c r="G598" s="10"/>
    </row>
    <row r="599">
      <c r="A599" s="10"/>
      <c r="F599" s="10"/>
      <c r="G599" s="10"/>
    </row>
    <row r="600">
      <c r="A600" s="10"/>
      <c r="F600" s="10"/>
      <c r="G600" s="10"/>
    </row>
    <row r="601">
      <c r="A601" s="10"/>
      <c r="F601" s="10"/>
      <c r="G601" s="10"/>
    </row>
    <row r="602">
      <c r="A602" s="10"/>
      <c r="F602" s="10"/>
      <c r="G602" s="10"/>
    </row>
    <row r="603">
      <c r="A603" s="10"/>
      <c r="F603" s="10"/>
      <c r="G603" s="10"/>
    </row>
    <row r="604">
      <c r="A604" s="10"/>
      <c r="F604" s="10"/>
      <c r="G604" s="10"/>
    </row>
    <row r="605">
      <c r="A605" s="10"/>
      <c r="F605" s="10"/>
      <c r="G605" s="10"/>
    </row>
    <row r="606">
      <c r="A606" s="10"/>
      <c r="F606" s="10"/>
      <c r="G606" s="10"/>
    </row>
    <row r="607">
      <c r="A607" s="10"/>
      <c r="F607" s="10"/>
      <c r="G607" s="10"/>
    </row>
    <row r="608">
      <c r="A608" s="10"/>
      <c r="F608" s="10"/>
      <c r="G608" s="10"/>
    </row>
    <row r="609">
      <c r="A609" s="10"/>
      <c r="F609" s="10"/>
      <c r="G609" s="10"/>
    </row>
    <row r="610">
      <c r="A610" s="10"/>
      <c r="F610" s="10"/>
      <c r="G610" s="10"/>
    </row>
    <row r="611">
      <c r="A611" s="10"/>
      <c r="F611" s="10"/>
      <c r="G611" s="10"/>
    </row>
    <row r="612">
      <c r="A612" s="10"/>
      <c r="F612" s="10"/>
      <c r="G612" s="10"/>
    </row>
    <row r="613">
      <c r="A613" s="10"/>
      <c r="F613" s="10"/>
      <c r="G613" s="10"/>
    </row>
    <row r="614">
      <c r="A614" s="10"/>
      <c r="F614" s="10"/>
      <c r="G614" s="10"/>
    </row>
    <row r="615">
      <c r="A615" s="10"/>
      <c r="F615" s="10"/>
      <c r="G615" s="10"/>
    </row>
    <row r="616">
      <c r="A616" s="10"/>
      <c r="F616" s="10"/>
      <c r="G616" s="10"/>
    </row>
    <row r="617">
      <c r="A617" s="10"/>
      <c r="F617" s="10"/>
      <c r="G617" s="10"/>
    </row>
    <row r="618">
      <c r="A618" s="10"/>
      <c r="F618" s="10"/>
      <c r="G618" s="10"/>
    </row>
    <row r="619">
      <c r="A619" s="10"/>
      <c r="F619" s="10"/>
      <c r="G619" s="10"/>
    </row>
    <row r="620">
      <c r="A620" s="10"/>
      <c r="F620" s="10"/>
      <c r="G620" s="10"/>
    </row>
    <row r="621">
      <c r="A621" s="10"/>
      <c r="F621" s="10"/>
      <c r="G621" s="10"/>
    </row>
    <row r="622">
      <c r="A622" s="10"/>
      <c r="F622" s="10"/>
      <c r="G622" s="10"/>
    </row>
    <row r="623">
      <c r="A623" s="10"/>
      <c r="F623" s="10"/>
      <c r="G623" s="10"/>
    </row>
    <row r="624">
      <c r="A624" s="10"/>
      <c r="F624" s="10"/>
      <c r="G624" s="10"/>
    </row>
    <row r="625">
      <c r="A625" s="10"/>
      <c r="F625" s="10"/>
      <c r="G625" s="10"/>
    </row>
    <row r="626">
      <c r="A626" s="10"/>
      <c r="F626" s="10"/>
      <c r="G626" s="10"/>
    </row>
    <row r="627">
      <c r="A627" s="10"/>
      <c r="F627" s="10"/>
      <c r="G627" s="10"/>
    </row>
    <row r="628">
      <c r="A628" s="10"/>
      <c r="F628" s="10"/>
      <c r="G628" s="10"/>
    </row>
    <row r="629">
      <c r="A629" s="10"/>
      <c r="F629" s="10"/>
      <c r="G629" s="10"/>
    </row>
    <row r="630">
      <c r="A630" s="10"/>
      <c r="F630" s="10"/>
      <c r="G630" s="10"/>
    </row>
    <row r="631">
      <c r="A631" s="10"/>
      <c r="F631" s="10"/>
      <c r="G631" s="10"/>
    </row>
    <row r="632">
      <c r="A632" s="10"/>
      <c r="F632" s="10"/>
      <c r="G632" s="10"/>
    </row>
    <row r="633">
      <c r="A633" s="10"/>
      <c r="F633" s="10"/>
      <c r="G633" s="10"/>
    </row>
    <row r="634">
      <c r="A634" s="10"/>
      <c r="F634" s="10"/>
      <c r="G634" s="10"/>
    </row>
    <row r="635">
      <c r="A635" s="10"/>
      <c r="F635" s="10"/>
      <c r="G635" s="10"/>
    </row>
    <row r="636">
      <c r="A636" s="10"/>
      <c r="F636" s="10"/>
      <c r="G636" s="10"/>
    </row>
    <row r="637">
      <c r="A637" s="10"/>
      <c r="F637" s="10"/>
      <c r="G637" s="10"/>
    </row>
    <row r="638">
      <c r="A638" s="10"/>
      <c r="F638" s="10"/>
      <c r="G638" s="10"/>
    </row>
    <row r="639">
      <c r="A639" s="10"/>
      <c r="F639" s="10"/>
      <c r="G639" s="10"/>
    </row>
    <row r="640">
      <c r="A640" s="10"/>
      <c r="F640" s="10"/>
      <c r="G640" s="10"/>
    </row>
    <row r="641">
      <c r="A641" s="10"/>
      <c r="F641" s="10"/>
      <c r="G641" s="10"/>
    </row>
    <row r="642">
      <c r="A642" s="10"/>
      <c r="F642" s="10"/>
      <c r="G642" s="10"/>
    </row>
    <row r="643">
      <c r="A643" s="10"/>
      <c r="F643" s="10"/>
      <c r="G643" s="10"/>
    </row>
    <row r="644">
      <c r="A644" s="10"/>
      <c r="F644" s="10"/>
      <c r="G644" s="10"/>
    </row>
    <row r="645">
      <c r="A645" s="10"/>
      <c r="F645" s="10"/>
      <c r="G645" s="10"/>
    </row>
    <row r="646">
      <c r="A646" s="10"/>
      <c r="F646" s="10"/>
      <c r="G646" s="10"/>
    </row>
    <row r="647">
      <c r="A647" s="10"/>
      <c r="F647" s="10"/>
      <c r="G647" s="10"/>
    </row>
    <row r="648">
      <c r="A648" s="10"/>
      <c r="F648" s="10"/>
      <c r="G648" s="10"/>
    </row>
    <row r="649">
      <c r="A649" s="10"/>
      <c r="F649" s="10"/>
      <c r="G649" s="10"/>
    </row>
    <row r="650">
      <c r="A650" s="10"/>
      <c r="F650" s="10"/>
      <c r="G650" s="10"/>
    </row>
    <row r="651">
      <c r="A651" s="10"/>
      <c r="F651" s="10"/>
      <c r="G651" s="10"/>
    </row>
    <row r="652">
      <c r="A652" s="10"/>
      <c r="F652" s="10"/>
      <c r="G652" s="10"/>
    </row>
    <row r="653">
      <c r="A653" s="10"/>
      <c r="F653" s="10"/>
      <c r="G653" s="10"/>
    </row>
    <row r="654">
      <c r="A654" s="10"/>
      <c r="F654" s="10"/>
      <c r="G654" s="10"/>
    </row>
    <row r="655">
      <c r="A655" s="10"/>
      <c r="F655" s="10"/>
      <c r="G655" s="10"/>
    </row>
    <row r="656">
      <c r="A656" s="10"/>
      <c r="F656" s="10"/>
      <c r="G656" s="10"/>
    </row>
    <row r="657">
      <c r="A657" s="10"/>
      <c r="F657" s="10"/>
      <c r="G657" s="10"/>
    </row>
    <row r="658">
      <c r="A658" s="10"/>
      <c r="F658" s="10"/>
      <c r="G658" s="10"/>
    </row>
    <row r="659">
      <c r="A659" s="10"/>
      <c r="F659" s="10"/>
      <c r="G659" s="10"/>
    </row>
    <row r="660">
      <c r="A660" s="10"/>
      <c r="F660" s="10"/>
      <c r="G660" s="10"/>
    </row>
    <row r="661">
      <c r="A661" s="10"/>
      <c r="F661" s="10"/>
      <c r="G661" s="10"/>
    </row>
    <row r="662">
      <c r="A662" s="10"/>
      <c r="F662" s="10"/>
      <c r="G662" s="10"/>
    </row>
    <row r="663">
      <c r="A663" s="10"/>
      <c r="F663" s="10"/>
      <c r="G663" s="10"/>
    </row>
    <row r="664">
      <c r="A664" s="10"/>
      <c r="F664" s="10"/>
      <c r="G664" s="10"/>
    </row>
    <row r="665">
      <c r="A665" s="10"/>
      <c r="F665" s="10"/>
      <c r="G665" s="10"/>
    </row>
    <row r="666">
      <c r="A666" s="10"/>
      <c r="F666" s="10"/>
      <c r="G666" s="10"/>
    </row>
    <row r="667">
      <c r="A667" s="10"/>
      <c r="F667" s="10"/>
      <c r="G667" s="10"/>
    </row>
    <row r="668">
      <c r="A668" s="10"/>
      <c r="F668" s="10"/>
      <c r="G668" s="10"/>
    </row>
    <row r="669">
      <c r="A669" s="10"/>
      <c r="F669" s="10"/>
      <c r="G669" s="10"/>
    </row>
    <row r="670">
      <c r="A670" s="10"/>
      <c r="F670" s="10"/>
      <c r="G670" s="10"/>
    </row>
    <row r="671">
      <c r="A671" s="10"/>
      <c r="F671" s="10"/>
      <c r="G671" s="10"/>
    </row>
    <row r="672">
      <c r="A672" s="10"/>
      <c r="F672" s="10"/>
      <c r="G672" s="10"/>
    </row>
    <row r="673">
      <c r="A673" s="10"/>
      <c r="F673" s="10"/>
      <c r="G673" s="10"/>
    </row>
    <row r="674">
      <c r="A674" s="10"/>
      <c r="F674" s="10"/>
      <c r="G674" s="10"/>
    </row>
    <row r="675">
      <c r="A675" s="10"/>
      <c r="F675" s="10"/>
      <c r="G675" s="10"/>
    </row>
    <row r="676">
      <c r="A676" s="10"/>
      <c r="F676" s="10"/>
      <c r="G676" s="10"/>
    </row>
    <row r="677">
      <c r="A677" s="10"/>
      <c r="F677" s="10"/>
      <c r="G677" s="10"/>
    </row>
    <row r="678">
      <c r="A678" s="10"/>
      <c r="F678" s="10"/>
      <c r="G678" s="10"/>
    </row>
    <row r="679">
      <c r="A679" s="10"/>
      <c r="F679" s="10"/>
      <c r="G679" s="10"/>
    </row>
    <row r="680">
      <c r="A680" s="10"/>
      <c r="F680" s="10"/>
      <c r="G680" s="10"/>
    </row>
    <row r="681">
      <c r="A681" s="10"/>
      <c r="F681" s="10"/>
      <c r="G681" s="10"/>
    </row>
    <row r="682">
      <c r="A682" s="10"/>
      <c r="F682" s="10"/>
      <c r="G682" s="10"/>
    </row>
    <row r="683">
      <c r="A683" s="10"/>
      <c r="F683" s="10"/>
      <c r="G683" s="10"/>
    </row>
    <row r="684">
      <c r="A684" s="10"/>
      <c r="F684" s="10"/>
      <c r="G684" s="10"/>
    </row>
    <row r="685">
      <c r="A685" s="10"/>
      <c r="F685" s="10"/>
      <c r="G685" s="10"/>
    </row>
    <row r="686">
      <c r="A686" s="10"/>
      <c r="F686" s="10"/>
      <c r="G686" s="10"/>
    </row>
    <row r="687">
      <c r="A687" s="10"/>
      <c r="F687" s="10"/>
      <c r="G687" s="10"/>
    </row>
    <row r="688">
      <c r="A688" s="10"/>
      <c r="F688" s="10"/>
      <c r="G688" s="10"/>
    </row>
    <row r="689">
      <c r="A689" s="10"/>
      <c r="F689" s="10"/>
      <c r="G689" s="10"/>
    </row>
    <row r="690">
      <c r="A690" s="10"/>
      <c r="F690" s="10"/>
      <c r="G690" s="10"/>
    </row>
    <row r="691">
      <c r="A691" s="10"/>
      <c r="F691" s="10"/>
      <c r="G691" s="10"/>
    </row>
    <row r="692">
      <c r="A692" s="10"/>
      <c r="F692" s="10"/>
      <c r="G692" s="10"/>
    </row>
    <row r="693">
      <c r="A693" s="10"/>
      <c r="F693" s="10"/>
      <c r="G693" s="10"/>
    </row>
    <row r="694">
      <c r="A694" s="10"/>
      <c r="F694" s="10"/>
      <c r="G694" s="10"/>
    </row>
    <row r="695">
      <c r="A695" s="10"/>
      <c r="F695" s="10"/>
      <c r="G695" s="10"/>
    </row>
    <row r="696">
      <c r="A696" s="10"/>
      <c r="F696" s="10"/>
      <c r="G696" s="10"/>
    </row>
    <row r="697">
      <c r="A697" s="10"/>
      <c r="F697" s="10"/>
      <c r="G697" s="10"/>
    </row>
    <row r="698">
      <c r="A698" s="10"/>
      <c r="F698" s="10"/>
      <c r="G698" s="10"/>
    </row>
    <row r="699">
      <c r="A699" s="10"/>
      <c r="F699" s="10"/>
      <c r="G699" s="10"/>
    </row>
    <row r="700">
      <c r="A700" s="10"/>
      <c r="F700" s="10"/>
      <c r="G700" s="10"/>
    </row>
    <row r="701">
      <c r="A701" s="10"/>
      <c r="F701" s="10"/>
      <c r="G701" s="10"/>
    </row>
    <row r="702">
      <c r="A702" s="10"/>
      <c r="F702" s="10"/>
      <c r="G702" s="10"/>
    </row>
    <row r="703">
      <c r="A703" s="10"/>
      <c r="F703" s="10"/>
      <c r="G703" s="10"/>
    </row>
    <row r="704">
      <c r="A704" s="10"/>
      <c r="F704" s="10"/>
      <c r="G704" s="10"/>
    </row>
    <row r="705">
      <c r="A705" s="10"/>
      <c r="F705" s="10"/>
      <c r="G705" s="10"/>
    </row>
    <row r="706">
      <c r="A706" s="10"/>
      <c r="F706" s="10"/>
      <c r="G706" s="10"/>
    </row>
    <row r="707">
      <c r="A707" s="10"/>
      <c r="F707" s="10"/>
      <c r="G707" s="10"/>
    </row>
    <row r="708">
      <c r="A708" s="10"/>
      <c r="F708" s="10"/>
      <c r="G708" s="10"/>
    </row>
    <row r="709">
      <c r="A709" s="10"/>
      <c r="F709" s="10"/>
      <c r="G709" s="10"/>
    </row>
    <row r="710">
      <c r="A710" s="10"/>
      <c r="F710" s="10"/>
      <c r="G710" s="10"/>
    </row>
    <row r="711">
      <c r="A711" s="10"/>
      <c r="F711" s="10"/>
      <c r="G711" s="10"/>
    </row>
    <row r="712">
      <c r="A712" s="10"/>
      <c r="F712" s="10"/>
      <c r="G712" s="10"/>
    </row>
    <row r="713">
      <c r="A713" s="10"/>
      <c r="F713" s="10"/>
      <c r="G713" s="10"/>
    </row>
    <row r="714">
      <c r="A714" s="10"/>
      <c r="F714" s="10"/>
      <c r="G714" s="10"/>
    </row>
    <row r="715">
      <c r="A715" s="10"/>
      <c r="F715" s="10"/>
      <c r="G715" s="10"/>
    </row>
    <row r="716">
      <c r="A716" s="10"/>
      <c r="F716" s="10"/>
      <c r="G716" s="10"/>
    </row>
    <row r="717">
      <c r="A717" s="10"/>
      <c r="F717" s="10"/>
      <c r="G717" s="10"/>
    </row>
    <row r="718">
      <c r="A718" s="10"/>
      <c r="F718" s="10"/>
      <c r="G718" s="10"/>
    </row>
    <row r="719">
      <c r="A719" s="10"/>
      <c r="F719" s="10"/>
      <c r="G719" s="10"/>
    </row>
    <row r="720">
      <c r="A720" s="10"/>
      <c r="F720" s="10"/>
      <c r="G720" s="10"/>
    </row>
    <row r="721">
      <c r="A721" s="10"/>
      <c r="F721" s="10"/>
      <c r="G721" s="10"/>
    </row>
    <row r="722">
      <c r="A722" s="10"/>
      <c r="F722" s="10"/>
      <c r="G722" s="10"/>
    </row>
    <row r="723">
      <c r="A723" s="10"/>
      <c r="F723" s="10"/>
      <c r="G723" s="10"/>
    </row>
    <row r="724">
      <c r="A724" s="10"/>
      <c r="F724" s="10"/>
      <c r="G724" s="10"/>
    </row>
    <row r="725">
      <c r="A725" s="10"/>
      <c r="F725" s="10"/>
      <c r="G725" s="10"/>
    </row>
    <row r="726">
      <c r="A726" s="10"/>
      <c r="F726" s="10"/>
      <c r="G726" s="10"/>
    </row>
    <row r="727">
      <c r="A727" s="10"/>
      <c r="F727" s="10"/>
      <c r="G727" s="10"/>
    </row>
    <row r="728">
      <c r="A728" s="10"/>
      <c r="F728" s="10"/>
      <c r="G728" s="10"/>
    </row>
    <row r="729">
      <c r="A729" s="10"/>
      <c r="F729" s="10"/>
      <c r="G729" s="10"/>
    </row>
    <row r="730">
      <c r="A730" s="10"/>
      <c r="F730" s="10"/>
      <c r="G730" s="10"/>
    </row>
    <row r="731">
      <c r="A731" s="10"/>
      <c r="F731" s="10"/>
      <c r="G731" s="10"/>
    </row>
    <row r="732">
      <c r="A732" s="10"/>
      <c r="F732" s="10"/>
      <c r="G732" s="10"/>
    </row>
    <row r="733">
      <c r="A733" s="10"/>
      <c r="F733" s="10"/>
      <c r="G733" s="10"/>
    </row>
    <row r="734">
      <c r="A734" s="10"/>
      <c r="F734" s="10"/>
      <c r="G734" s="10"/>
    </row>
    <row r="735">
      <c r="A735" s="10"/>
      <c r="F735" s="10"/>
      <c r="G735" s="10"/>
    </row>
    <row r="736">
      <c r="A736" s="10"/>
      <c r="F736" s="10"/>
      <c r="G736" s="10"/>
    </row>
    <row r="737">
      <c r="A737" s="10"/>
      <c r="F737" s="10"/>
      <c r="G737" s="10"/>
    </row>
    <row r="738">
      <c r="A738" s="10"/>
      <c r="F738" s="10"/>
      <c r="G738" s="10"/>
    </row>
    <row r="739">
      <c r="A739" s="10"/>
      <c r="F739" s="10"/>
      <c r="G739" s="10"/>
    </row>
    <row r="740">
      <c r="A740" s="10"/>
      <c r="F740" s="10"/>
      <c r="G740" s="10"/>
    </row>
    <row r="741">
      <c r="A741" s="10"/>
      <c r="F741" s="10"/>
      <c r="G741" s="10"/>
    </row>
    <row r="742">
      <c r="A742" s="10"/>
      <c r="F742" s="10"/>
      <c r="G742" s="10"/>
    </row>
    <row r="743">
      <c r="A743" s="10"/>
      <c r="F743" s="10"/>
      <c r="G743" s="10"/>
    </row>
    <row r="744">
      <c r="A744" s="10"/>
      <c r="F744" s="10"/>
      <c r="G744" s="10"/>
    </row>
    <row r="745">
      <c r="A745" s="10"/>
      <c r="F745" s="10"/>
      <c r="G745" s="10"/>
    </row>
    <row r="746">
      <c r="A746" s="10"/>
      <c r="F746" s="10"/>
      <c r="G746" s="10"/>
    </row>
    <row r="747">
      <c r="A747" s="10"/>
      <c r="F747" s="10"/>
      <c r="G747" s="10"/>
    </row>
    <row r="748">
      <c r="A748" s="10"/>
      <c r="F748" s="10"/>
      <c r="G748" s="10"/>
    </row>
    <row r="749">
      <c r="A749" s="10"/>
      <c r="F749" s="10"/>
      <c r="G749" s="10"/>
    </row>
    <row r="750">
      <c r="A750" s="10"/>
      <c r="F750" s="10"/>
      <c r="G750" s="10"/>
    </row>
    <row r="751">
      <c r="A751" s="10"/>
      <c r="F751" s="10"/>
      <c r="G751" s="10"/>
    </row>
    <row r="752">
      <c r="A752" s="10"/>
      <c r="F752" s="10"/>
      <c r="G752" s="10"/>
    </row>
    <row r="753">
      <c r="A753" s="10"/>
      <c r="F753" s="10"/>
      <c r="G753" s="10"/>
    </row>
    <row r="754">
      <c r="A754" s="10"/>
      <c r="F754" s="10"/>
      <c r="G754" s="10"/>
    </row>
    <row r="755">
      <c r="A755" s="10"/>
      <c r="F755" s="10"/>
      <c r="G755" s="10"/>
    </row>
    <row r="756">
      <c r="A756" s="10"/>
      <c r="F756" s="10"/>
      <c r="G756" s="10"/>
    </row>
    <row r="757">
      <c r="A757" s="10"/>
      <c r="F757" s="10"/>
      <c r="G757" s="10"/>
    </row>
    <row r="758">
      <c r="A758" s="10"/>
      <c r="F758" s="10"/>
      <c r="G758" s="10"/>
    </row>
    <row r="759">
      <c r="A759" s="10"/>
      <c r="F759" s="10"/>
      <c r="G759" s="10"/>
    </row>
    <row r="760">
      <c r="A760" s="10"/>
      <c r="F760" s="10"/>
      <c r="G760" s="10"/>
    </row>
    <row r="761">
      <c r="A761" s="10"/>
      <c r="F761" s="10"/>
      <c r="G761" s="10"/>
    </row>
    <row r="762">
      <c r="A762" s="10"/>
      <c r="F762" s="10"/>
      <c r="G762" s="10"/>
    </row>
    <row r="763">
      <c r="A763" s="10"/>
      <c r="F763" s="10"/>
      <c r="G763" s="10"/>
    </row>
    <row r="764">
      <c r="A764" s="10"/>
      <c r="F764" s="10"/>
      <c r="G764" s="10"/>
    </row>
    <row r="765">
      <c r="A765" s="10"/>
      <c r="F765" s="10"/>
      <c r="G765" s="10"/>
    </row>
    <row r="766">
      <c r="A766" s="10"/>
      <c r="F766" s="10"/>
      <c r="G766" s="10"/>
    </row>
    <row r="767">
      <c r="A767" s="10"/>
      <c r="F767" s="10"/>
      <c r="G767" s="10"/>
    </row>
    <row r="768">
      <c r="A768" s="10"/>
      <c r="F768" s="10"/>
      <c r="G768" s="10"/>
    </row>
    <row r="769">
      <c r="A769" s="10"/>
      <c r="F769" s="10"/>
      <c r="G769" s="10"/>
    </row>
    <row r="770">
      <c r="A770" s="10"/>
      <c r="F770" s="10"/>
      <c r="G770" s="10"/>
    </row>
    <row r="771">
      <c r="A771" s="10"/>
      <c r="F771" s="10"/>
      <c r="G771" s="10"/>
    </row>
    <row r="772">
      <c r="A772" s="10"/>
      <c r="F772" s="10"/>
      <c r="G772" s="10"/>
    </row>
    <row r="773">
      <c r="A773" s="10"/>
      <c r="F773" s="10"/>
      <c r="G773" s="10"/>
    </row>
    <row r="774">
      <c r="A774" s="10"/>
      <c r="F774" s="10"/>
      <c r="G774" s="10"/>
    </row>
    <row r="775">
      <c r="A775" s="10"/>
      <c r="F775" s="10"/>
      <c r="G775" s="10"/>
    </row>
    <row r="776">
      <c r="A776" s="10"/>
      <c r="F776" s="10"/>
      <c r="G776" s="10"/>
    </row>
    <row r="777">
      <c r="A777" s="10"/>
      <c r="F777" s="10"/>
      <c r="G777" s="10"/>
    </row>
    <row r="778">
      <c r="A778" s="10"/>
      <c r="F778" s="10"/>
      <c r="G778" s="10"/>
    </row>
    <row r="779">
      <c r="A779" s="10"/>
      <c r="F779" s="10"/>
      <c r="G779" s="10"/>
    </row>
    <row r="780">
      <c r="A780" s="10"/>
      <c r="F780" s="10"/>
      <c r="G780" s="10"/>
    </row>
    <row r="781">
      <c r="A781" s="10"/>
      <c r="F781" s="10"/>
      <c r="G781" s="10"/>
    </row>
    <row r="782">
      <c r="A782" s="10"/>
      <c r="F782" s="10"/>
      <c r="G782" s="10"/>
    </row>
    <row r="783">
      <c r="A783" s="10"/>
      <c r="F783" s="10"/>
      <c r="G783" s="10"/>
    </row>
    <row r="784">
      <c r="A784" s="10"/>
      <c r="F784" s="10"/>
      <c r="G784" s="10"/>
    </row>
    <row r="785">
      <c r="A785" s="10"/>
      <c r="F785" s="10"/>
      <c r="G785" s="10"/>
    </row>
    <row r="786">
      <c r="A786" s="10"/>
      <c r="F786" s="10"/>
      <c r="G786" s="10"/>
    </row>
    <row r="787">
      <c r="A787" s="10"/>
      <c r="F787" s="10"/>
      <c r="G787" s="10"/>
    </row>
    <row r="788">
      <c r="A788" s="10"/>
      <c r="F788" s="10"/>
      <c r="G788" s="10"/>
    </row>
    <row r="789">
      <c r="A789" s="10"/>
      <c r="F789" s="10"/>
      <c r="G789" s="10"/>
    </row>
    <row r="790">
      <c r="A790" s="10"/>
      <c r="F790" s="10"/>
      <c r="G790" s="10"/>
    </row>
    <row r="791">
      <c r="A791" s="10"/>
      <c r="F791" s="10"/>
      <c r="G791" s="10"/>
    </row>
    <row r="792">
      <c r="A792" s="10"/>
      <c r="F792" s="10"/>
      <c r="G792" s="10"/>
    </row>
    <row r="793">
      <c r="A793" s="10"/>
      <c r="F793" s="10"/>
      <c r="G793" s="10"/>
    </row>
    <row r="794">
      <c r="A794" s="10"/>
      <c r="F794" s="10"/>
      <c r="G794" s="10"/>
    </row>
    <row r="795">
      <c r="A795" s="10"/>
      <c r="F795" s="10"/>
      <c r="G795" s="10"/>
    </row>
    <row r="796">
      <c r="A796" s="10"/>
      <c r="F796" s="10"/>
      <c r="G796" s="10"/>
    </row>
    <row r="797">
      <c r="A797" s="10"/>
      <c r="F797" s="10"/>
      <c r="G797" s="10"/>
    </row>
    <row r="798">
      <c r="A798" s="10"/>
      <c r="F798" s="10"/>
      <c r="G798" s="10"/>
    </row>
    <row r="799">
      <c r="A799" s="10"/>
      <c r="F799" s="10"/>
      <c r="G799" s="10"/>
    </row>
    <row r="800">
      <c r="A800" s="10"/>
      <c r="F800" s="10"/>
      <c r="G800" s="10"/>
    </row>
    <row r="801">
      <c r="A801" s="10"/>
      <c r="F801" s="10"/>
      <c r="G801" s="10"/>
    </row>
    <row r="802">
      <c r="A802" s="10"/>
      <c r="F802" s="10"/>
      <c r="G802" s="10"/>
    </row>
    <row r="803">
      <c r="A803" s="10"/>
      <c r="F803" s="10"/>
      <c r="G803" s="10"/>
    </row>
    <row r="804">
      <c r="A804" s="10"/>
      <c r="F804" s="10"/>
      <c r="G804" s="10"/>
    </row>
    <row r="805">
      <c r="A805" s="10"/>
      <c r="F805" s="10"/>
      <c r="G805" s="10"/>
    </row>
    <row r="806">
      <c r="A806" s="10"/>
      <c r="F806" s="10"/>
      <c r="G806" s="10"/>
    </row>
    <row r="807">
      <c r="A807" s="10"/>
      <c r="F807" s="10"/>
      <c r="G807" s="10"/>
    </row>
    <row r="808">
      <c r="A808" s="10"/>
      <c r="F808" s="10"/>
      <c r="G808" s="10"/>
    </row>
    <row r="809">
      <c r="A809" s="10"/>
      <c r="F809" s="10"/>
      <c r="G809" s="10"/>
    </row>
    <row r="810">
      <c r="A810" s="10"/>
      <c r="F810" s="10"/>
      <c r="G810" s="10"/>
    </row>
    <row r="811">
      <c r="A811" s="10"/>
      <c r="F811" s="10"/>
      <c r="G811" s="10"/>
    </row>
    <row r="812">
      <c r="A812" s="10"/>
      <c r="F812" s="10"/>
      <c r="G812" s="10"/>
    </row>
    <row r="813">
      <c r="A813" s="10"/>
      <c r="F813" s="10"/>
      <c r="G813" s="10"/>
    </row>
    <row r="814">
      <c r="A814" s="10"/>
      <c r="F814" s="10"/>
      <c r="G814" s="10"/>
    </row>
    <row r="815">
      <c r="A815" s="10"/>
      <c r="F815" s="10"/>
      <c r="G815" s="10"/>
    </row>
    <row r="816">
      <c r="A816" s="10"/>
      <c r="F816" s="10"/>
      <c r="G816" s="10"/>
    </row>
    <row r="817">
      <c r="A817" s="10"/>
      <c r="F817" s="10"/>
      <c r="G817" s="10"/>
    </row>
    <row r="818">
      <c r="A818" s="10"/>
      <c r="F818" s="10"/>
      <c r="G818" s="10"/>
    </row>
    <row r="819">
      <c r="A819" s="10"/>
      <c r="F819" s="10"/>
      <c r="G819" s="10"/>
    </row>
    <row r="820">
      <c r="A820" s="10"/>
      <c r="F820" s="10"/>
      <c r="G820" s="10"/>
    </row>
    <row r="821">
      <c r="A821" s="10"/>
      <c r="F821" s="10"/>
      <c r="G821" s="10"/>
    </row>
    <row r="822">
      <c r="A822" s="10"/>
      <c r="F822" s="10"/>
      <c r="G822" s="10"/>
    </row>
    <row r="823">
      <c r="A823" s="10"/>
      <c r="F823" s="10"/>
      <c r="G823" s="10"/>
    </row>
    <row r="824">
      <c r="A824" s="10"/>
      <c r="F824" s="10"/>
      <c r="G824" s="10"/>
    </row>
    <row r="825">
      <c r="A825" s="10"/>
      <c r="F825" s="10"/>
      <c r="G825" s="10"/>
    </row>
    <row r="826">
      <c r="A826" s="10"/>
      <c r="F826" s="10"/>
      <c r="G826" s="10"/>
    </row>
    <row r="827">
      <c r="A827" s="10"/>
      <c r="F827" s="10"/>
      <c r="G827" s="10"/>
    </row>
    <row r="828">
      <c r="A828" s="10"/>
      <c r="F828" s="10"/>
      <c r="G828" s="10"/>
    </row>
    <row r="829">
      <c r="A829" s="10"/>
      <c r="F829" s="10"/>
      <c r="G829" s="10"/>
    </row>
    <row r="830">
      <c r="A830" s="10"/>
      <c r="F830" s="10"/>
      <c r="G830" s="10"/>
    </row>
    <row r="831">
      <c r="A831" s="10"/>
      <c r="F831" s="10"/>
      <c r="G831" s="10"/>
    </row>
    <row r="832">
      <c r="A832" s="10"/>
      <c r="F832" s="10"/>
      <c r="G832" s="10"/>
    </row>
    <row r="833">
      <c r="A833" s="10"/>
      <c r="F833" s="10"/>
      <c r="G833" s="10"/>
    </row>
    <row r="834">
      <c r="A834" s="10"/>
      <c r="F834" s="10"/>
      <c r="G834" s="10"/>
    </row>
    <row r="835">
      <c r="A835" s="10"/>
      <c r="F835" s="10"/>
      <c r="G835" s="10"/>
    </row>
    <row r="836">
      <c r="A836" s="10"/>
      <c r="F836" s="10"/>
      <c r="G836" s="10"/>
    </row>
    <row r="837">
      <c r="A837" s="10"/>
      <c r="F837" s="10"/>
      <c r="G837" s="10"/>
    </row>
    <row r="838">
      <c r="A838" s="10"/>
      <c r="F838" s="10"/>
      <c r="G838" s="10"/>
    </row>
    <row r="839">
      <c r="A839" s="10"/>
      <c r="F839" s="10"/>
      <c r="G839" s="10"/>
    </row>
    <row r="840">
      <c r="A840" s="10"/>
      <c r="F840" s="10"/>
      <c r="G840" s="10"/>
    </row>
    <row r="841">
      <c r="A841" s="10"/>
      <c r="F841" s="10"/>
      <c r="G841" s="10"/>
    </row>
    <row r="842">
      <c r="A842" s="10"/>
      <c r="F842" s="10"/>
      <c r="G842" s="10"/>
    </row>
    <row r="843">
      <c r="A843" s="10"/>
      <c r="F843" s="10"/>
      <c r="G843" s="10"/>
    </row>
    <row r="844">
      <c r="A844" s="10"/>
      <c r="F844" s="10"/>
      <c r="G844" s="10"/>
    </row>
    <row r="845">
      <c r="A845" s="10"/>
      <c r="F845" s="10"/>
      <c r="G845" s="10"/>
    </row>
    <row r="846">
      <c r="A846" s="10"/>
      <c r="F846" s="10"/>
      <c r="G846" s="10"/>
    </row>
    <row r="847">
      <c r="A847" s="10"/>
      <c r="F847" s="10"/>
      <c r="G847" s="10"/>
    </row>
    <row r="848">
      <c r="A848" s="10"/>
      <c r="F848" s="10"/>
      <c r="G848" s="10"/>
    </row>
    <row r="849">
      <c r="A849" s="10"/>
      <c r="F849" s="10"/>
      <c r="G849" s="10"/>
    </row>
    <row r="850">
      <c r="A850" s="10"/>
      <c r="F850" s="10"/>
      <c r="G850" s="10"/>
    </row>
    <row r="851">
      <c r="A851" s="10"/>
      <c r="F851" s="10"/>
      <c r="G851" s="10"/>
    </row>
    <row r="852">
      <c r="A852" s="10"/>
      <c r="F852" s="10"/>
      <c r="G852" s="10"/>
    </row>
    <row r="853">
      <c r="A853" s="10"/>
      <c r="F853" s="10"/>
      <c r="G853" s="10"/>
    </row>
    <row r="854">
      <c r="A854" s="10"/>
      <c r="F854" s="10"/>
      <c r="G854" s="10"/>
    </row>
    <row r="855">
      <c r="A855" s="10"/>
      <c r="F855" s="10"/>
      <c r="G855" s="10"/>
    </row>
    <row r="856">
      <c r="A856" s="10"/>
      <c r="F856" s="10"/>
      <c r="G856" s="10"/>
    </row>
    <row r="857">
      <c r="A857" s="10"/>
      <c r="F857" s="10"/>
      <c r="G857" s="10"/>
    </row>
    <row r="858">
      <c r="A858" s="10"/>
      <c r="F858" s="10"/>
      <c r="G858" s="10"/>
    </row>
    <row r="859">
      <c r="A859" s="10"/>
      <c r="F859" s="10"/>
      <c r="G859" s="10"/>
    </row>
    <row r="860">
      <c r="A860" s="10"/>
      <c r="F860" s="10"/>
      <c r="G860" s="10"/>
    </row>
    <row r="861">
      <c r="A861" s="10"/>
      <c r="F861" s="10"/>
      <c r="G861" s="10"/>
    </row>
    <row r="862">
      <c r="A862" s="10"/>
      <c r="F862" s="10"/>
      <c r="G862" s="10"/>
    </row>
    <row r="863">
      <c r="A863" s="10"/>
      <c r="F863" s="10"/>
      <c r="G863" s="10"/>
    </row>
    <row r="864">
      <c r="A864" s="10"/>
      <c r="F864" s="10"/>
      <c r="G864" s="10"/>
    </row>
    <row r="865">
      <c r="A865" s="10"/>
      <c r="F865" s="10"/>
      <c r="G865" s="10"/>
    </row>
    <row r="866">
      <c r="A866" s="10"/>
      <c r="F866" s="10"/>
      <c r="G866" s="10"/>
    </row>
    <row r="867">
      <c r="A867" s="10"/>
      <c r="F867" s="10"/>
      <c r="G867" s="10"/>
    </row>
    <row r="868">
      <c r="A868" s="10"/>
      <c r="F868" s="10"/>
      <c r="G868" s="10"/>
    </row>
    <row r="869">
      <c r="A869" s="10"/>
      <c r="F869" s="10"/>
      <c r="G869" s="10"/>
    </row>
    <row r="870">
      <c r="A870" s="10"/>
      <c r="F870" s="10"/>
      <c r="G870" s="10"/>
    </row>
    <row r="871">
      <c r="A871" s="10"/>
      <c r="F871" s="10"/>
      <c r="G871" s="10"/>
    </row>
    <row r="872">
      <c r="A872" s="10"/>
      <c r="F872" s="10"/>
      <c r="G872" s="10"/>
    </row>
    <row r="873">
      <c r="A873" s="10"/>
      <c r="F873" s="10"/>
      <c r="G873" s="10"/>
    </row>
    <row r="874">
      <c r="A874" s="10"/>
      <c r="F874" s="10"/>
      <c r="G874" s="10"/>
    </row>
    <row r="875">
      <c r="A875" s="10"/>
      <c r="F875" s="10"/>
      <c r="G875" s="10"/>
    </row>
    <row r="876">
      <c r="A876" s="10"/>
      <c r="F876" s="10"/>
      <c r="G876" s="10"/>
    </row>
    <row r="877">
      <c r="A877" s="10"/>
      <c r="F877" s="10"/>
      <c r="G877" s="10"/>
    </row>
    <row r="878">
      <c r="A878" s="10"/>
      <c r="F878" s="10"/>
      <c r="G878" s="10"/>
    </row>
    <row r="879">
      <c r="A879" s="10"/>
      <c r="F879" s="10"/>
      <c r="G879" s="10"/>
    </row>
    <row r="880">
      <c r="A880" s="10"/>
      <c r="F880" s="10"/>
      <c r="G880" s="10"/>
    </row>
    <row r="881">
      <c r="A881" s="10"/>
      <c r="F881" s="10"/>
      <c r="G881" s="10"/>
    </row>
    <row r="882">
      <c r="A882" s="10"/>
      <c r="F882" s="10"/>
      <c r="G882" s="10"/>
    </row>
    <row r="883">
      <c r="A883" s="10"/>
      <c r="F883" s="10"/>
      <c r="G883" s="10"/>
    </row>
    <row r="884">
      <c r="A884" s="10"/>
      <c r="F884" s="10"/>
      <c r="G884" s="10"/>
    </row>
    <row r="885">
      <c r="A885" s="10"/>
      <c r="F885" s="10"/>
      <c r="G885" s="10"/>
    </row>
    <row r="886">
      <c r="A886" s="10"/>
      <c r="F886" s="10"/>
      <c r="G886" s="10"/>
    </row>
    <row r="887">
      <c r="A887" s="10"/>
      <c r="F887" s="10"/>
      <c r="G887" s="10"/>
    </row>
    <row r="888">
      <c r="A888" s="10"/>
      <c r="F888" s="10"/>
      <c r="G888" s="10"/>
    </row>
    <row r="889">
      <c r="A889" s="10"/>
      <c r="F889" s="10"/>
      <c r="G889" s="10"/>
    </row>
    <row r="890">
      <c r="A890" s="10"/>
      <c r="F890" s="10"/>
      <c r="G890" s="10"/>
    </row>
    <row r="891">
      <c r="A891" s="10"/>
      <c r="F891" s="10"/>
      <c r="G891" s="10"/>
    </row>
    <row r="892">
      <c r="A892" s="10"/>
      <c r="F892" s="10"/>
      <c r="G892" s="10"/>
    </row>
    <row r="893">
      <c r="A893" s="10"/>
      <c r="F893" s="10"/>
      <c r="G893" s="10"/>
    </row>
    <row r="894">
      <c r="A894" s="10"/>
      <c r="F894" s="10"/>
      <c r="G894" s="10"/>
    </row>
    <row r="895">
      <c r="A895" s="10"/>
      <c r="F895" s="10"/>
      <c r="G895" s="10"/>
    </row>
    <row r="896">
      <c r="A896" s="10"/>
      <c r="F896" s="10"/>
      <c r="G896" s="10"/>
    </row>
    <row r="897">
      <c r="A897" s="10"/>
      <c r="F897" s="10"/>
      <c r="G897" s="10"/>
    </row>
    <row r="898">
      <c r="A898" s="10"/>
      <c r="F898" s="10"/>
      <c r="G898" s="10"/>
    </row>
    <row r="899">
      <c r="A899" s="10"/>
      <c r="F899" s="10"/>
      <c r="G899" s="10"/>
    </row>
    <row r="900">
      <c r="A900" s="10"/>
      <c r="F900" s="10"/>
      <c r="G900" s="10"/>
    </row>
    <row r="901">
      <c r="A901" s="10"/>
      <c r="F901" s="10"/>
      <c r="G901" s="10"/>
    </row>
    <row r="902">
      <c r="A902" s="10"/>
      <c r="F902" s="10"/>
      <c r="G902" s="10"/>
    </row>
    <row r="903">
      <c r="A903" s="10"/>
      <c r="F903" s="10"/>
      <c r="G903" s="10"/>
    </row>
    <row r="904">
      <c r="A904" s="10"/>
      <c r="F904" s="10"/>
      <c r="G904" s="10"/>
    </row>
    <row r="905">
      <c r="A905" s="10"/>
      <c r="F905" s="10"/>
      <c r="G905" s="10"/>
    </row>
    <row r="906">
      <c r="A906" s="10"/>
      <c r="F906" s="10"/>
      <c r="G906" s="10"/>
    </row>
    <row r="907">
      <c r="A907" s="10"/>
      <c r="F907" s="10"/>
      <c r="G907" s="10"/>
    </row>
    <row r="908">
      <c r="A908" s="10"/>
      <c r="F908" s="10"/>
      <c r="G908" s="10"/>
    </row>
    <row r="909">
      <c r="A909" s="10"/>
      <c r="F909" s="10"/>
      <c r="G909" s="10"/>
    </row>
    <row r="910">
      <c r="A910" s="10"/>
      <c r="F910" s="10"/>
      <c r="G910" s="10"/>
    </row>
    <row r="911">
      <c r="A911" s="10"/>
      <c r="F911" s="10"/>
      <c r="G911" s="10"/>
    </row>
    <row r="912">
      <c r="A912" s="10"/>
      <c r="F912" s="10"/>
      <c r="G912" s="10"/>
    </row>
    <row r="913">
      <c r="A913" s="10"/>
      <c r="F913" s="10"/>
      <c r="G913" s="10"/>
    </row>
    <row r="914">
      <c r="A914" s="10"/>
      <c r="F914" s="10"/>
      <c r="G914" s="10"/>
    </row>
    <row r="915">
      <c r="A915" s="10"/>
      <c r="F915" s="10"/>
      <c r="G915" s="10"/>
    </row>
    <row r="916">
      <c r="A916" s="10"/>
      <c r="F916" s="10"/>
      <c r="G916" s="10"/>
    </row>
    <row r="917">
      <c r="A917" s="10"/>
      <c r="F917" s="10"/>
      <c r="G917" s="10"/>
    </row>
    <row r="918">
      <c r="A918" s="10"/>
      <c r="F918" s="10"/>
      <c r="G918" s="10"/>
    </row>
    <row r="919">
      <c r="A919" s="10"/>
      <c r="F919" s="10"/>
      <c r="G919" s="10"/>
    </row>
    <row r="920">
      <c r="A920" s="10"/>
      <c r="F920" s="10"/>
      <c r="G920" s="10"/>
    </row>
    <row r="921">
      <c r="A921" s="10"/>
      <c r="F921" s="10"/>
      <c r="G921" s="10"/>
    </row>
    <row r="922">
      <c r="A922" s="10"/>
      <c r="F922" s="10"/>
      <c r="G922" s="10"/>
    </row>
    <row r="923">
      <c r="A923" s="10"/>
      <c r="F923" s="10"/>
      <c r="G923" s="10"/>
    </row>
    <row r="924">
      <c r="A924" s="10"/>
      <c r="F924" s="10"/>
      <c r="G924" s="10"/>
    </row>
    <row r="925">
      <c r="A925" s="10"/>
      <c r="F925" s="10"/>
      <c r="G925" s="10"/>
    </row>
    <row r="926">
      <c r="A926" s="10"/>
      <c r="F926" s="10"/>
      <c r="G926" s="10"/>
    </row>
    <row r="927">
      <c r="A927" s="10"/>
      <c r="F927" s="10"/>
      <c r="G927" s="10"/>
    </row>
    <row r="928">
      <c r="A928" s="10"/>
      <c r="F928" s="10"/>
      <c r="G928" s="10"/>
    </row>
    <row r="929">
      <c r="A929" s="10"/>
      <c r="F929" s="10"/>
      <c r="G929" s="10"/>
    </row>
    <row r="930">
      <c r="A930" s="10"/>
      <c r="F930" s="10"/>
      <c r="G930" s="10"/>
    </row>
    <row r="931">
      <c r="A931" s="10"/>
      <c r="F931" s="10"/>
      <c r="G931" s="10"/>
    </row>
    <row r="932">
      <c r="A932" s="10"/>
      <c r="F932" s="10"/>
      <c r="G932" s="10"/>
    </row>
    <row r="933">
      <c r="A933" s="10"/>
      <c r="F933" s="10"/>
      <c r="G933" s="10"/>
    </row>
    <row r="934">
      <c r="A934" s="10"/>
      <c r="F934" s="10"/>
      <c r="G934" s="10"/>
    </row>
    <row r="935">
      <c r="A935" s="10"/>
      <c r="F935" s="10"/>
      <c r="G935" s="10"/>
    </row>
    <row r="936">
      <c r="A936" s="10"/>
      <c r="F936" s="10"/>
      <c r="G936" s="10"/>
    </row>
    <row r="937">
      <c r="A937" s="10"/>
      <c r="F937" s="10"/>
      <c r="G937" s="10"/>
    </row>
    <row r="938">
      <c r="A938" s="10"/>
      <c r="F938" s="10"/>
      <c r="G938" s="10"/>
    </row>
    <row r="939">
      <c r="A939" s="10"/>
      <c r="F939" s="10"/>
      <c r="G939" s="10"/>
    </row>
    <row r="940">
      <c r="A940" s="10"/>
      <c r="F940" s="10"/>
      <c r="G940" s="10"/>
    </row>
    <row r="941">
      <c r="A941" s="10"/>
      <c r="F941" s="10"/>
      <c r="G941" s="10"/>
    </row>
    <row r="942">
      <c r="A942" s="10"/>
      <c r="F942" s="10"/>
      <c r="G942" s="10"/>
    </row>
    <row r="943">
      <c r="A943" s="10"/>
      <c r="F943" s="10"/>
      <c r="G943" s="10"/>
    </row>
    <row r="944">
      <c r="A944" s="10"/>
      <c r="F944" s="10"/>
      <c r="G944" s="10"/>
    </row>
    <row r="945">
      <c r="A945" s="10"/>
      <c r="F945" s="10"/>
      <c r="G945" s="10"/>
    </row>
    <row r="946">
      <c r="A946" s="10"/>
      <c r="F946" s="10"/>
      <c r="G946" s="10"/>
    </row>
    <row r="947">
      <c r="A947" s="10"/>
      <c r="F947" s="10"/>
      <c r="G947" s="10"/>
    </row>
    <row r="948">
      <c r="A948" s="10"/>
      <c r="F948" s="10"/>
      <c r="G948" s="10"/>
    </row>
    <row r="949">
      <c r="A949" s="10"/>
      <c r="F949" s="10"/>
      <c r="G949" s="10"/>
    </row>
    <row r="950">
      <c r="A950" s="10"/>
      <c r="F950" s="10"/>
      <c r="G950" s="10"/>
    </row>
    <row r="951">
      <c r="A951" s="10"/>
      <c r="F951" s="10"/>
      <c r="G951" s="10"/>
    </row>
    <row r="952">
      <c r="A952" s="10"/>
      <c r="F952" s="10"/>
      <c r="G952" s="10"/>
    </row>
    <row r="953">
      <c r="A953" s="10"/>
      <c r="F953" s="10"/>
      <c r="G953" s="10"/>
    </row>
    <row r="954">
      <c r="A954" s="10"/>
      <c r="F954" s="10"/>
      <c r="G954" s="10"/>
    </row>
    <row r="955">
      <c r="A955" s="10"/>
      <c r="F955" s="10"/>
      <c r="G955" s="10"/>
    </row>
    <row r="956">
      <c r="A956" s="10"/>
      <c r="F956" s="10"/>
      <c r="G956" s="10"/>
    </row>
    <row r="957">
      <c r="A957" s="10"/>
      <c r="F957" s="10"/>
      <c r="G957" s="10"/>
    </row>
    <row r="958">
      <c r="A958" s="10"/>
      <c r="F958" s="10"/>
      <c r="G958" s="10"/>
    </row>
    <row r="959">
      <c r="A959" s="10"/>
      <c r="F959" s="10"/>
      <c r="G959" s="10"/>
    </row>
    <row r="960">
      <c r="A960" s="10"/>
      <c r="F960" s="10"/>
      <c r="G960" s="10"/>
    </row>
    <row r="961">
      <c r="A961" s="10"/>
      <c r="F961" s="10"/>
      <c r="G961" s="10"/>
    </row>
    <row r="962">
      <c r="A962" s="10"/>
      <c r="F962" s="10"/>
      <c r="G962" s="10"/>
    </row>
    <row r="963">
      <c r="A963" s="10"/>
      <c r="F963" s="10"/>
      <c r="G963" s="10"/>
    </row>
    <row r="964">
      <c r="A964" s="10"/>
      <c r="F964" s="10"/>
      <c r="G964" s="10"/>
    </row>
    <row r="965">
      <c r="A965" s="10"/>
      <c r="F965" s="10"/>
      <c r="G965" s="10"/>
    </row>
    <row r="966">
      <c r="A966" s="10"/>
      <c r="F966" s="10"/>
      <c r="G966" s="10"/>
    </row>
    <row r="967">
      <c r="A967" s="10"/>
      <c r="F967" s="10"/>
      <c r="G967" s="10"/>
    </row>
    <row r="968">
      <c r="A968" s="10"/>
      <c r="F968" s="10"/>
      <c r="G968" s="10"/>
    </row>
    <row r="969">
      <c r="A969" s="10"/>
      <c r="F969" s="10"/>
      <c r="G969" s="10"/>
    </row>
    <row r="970">
      <c r="A970" s="10"/>
      <c r="F970" s="10"/>
      <c r="G970" s="10"/>
    </row>
    <row r="971">
      <c r="A971" s="10"/>
      <c r="F971" s="10"/>
      <c r="G971" s="10"/>
    </row>
    <row r="972">
      <c r="A972" s="10"/>
      <c r="F972" s="10"/>
      <c r="G972" s="10"/>
    </row>
    <row r="973">
      <c r="A973" s="10"/>
      <c r="F973" s="10"/>
      <c r="G973" s="10"/>
    </row>
    <row r="974">
      <c r="A974" s="10"/>
      <c r="F974" s="10"/>
      <c r="G974" s="10"/>
    </row>
    <row r="975">
      <c r="A975" s="10"/>
      <c r="F975" s="10"/>
      <c r="G975" s="10"/>
    </row>
    <row r="976">
      <c r="A976" s="10"/>
      <c r="F976" s="10"/>
      <c r="G976" s="10"/>
    </row>
    <row r="977">
      <c r="A977" s="10"/>
      <c r="F977" s="10"/>
      <c r="G977" s="10"/>
    </row>
    <row r="978">
      <c r="A978" s="10"/>
      <c r="F978" s="10"/>
      <c r="G978" s="10"/>
    </row>
    <row r="979">
      <c r="A979" s="10"/>
      <c r="F979" s="10"/>
      <c r="G979" s="10"/>
    </row>
    <row r="980">
      <c r="A980" s="10"/>
      <c r="F980" s="10"/>
      <c r="G980" s="10"/>
    </row>
    <row r="981">
      <c r="A981" s="10"/>
      <c r="F981" s="10"/>
      <c r="G981" s="10"/>
    </row>
    <row r="982">
      <c r="A982" s="10"/>
      <c r="F982" s="10"/>
      <c r="G982" s="10"/>
    </row>
    <row r="983">
      <c r="A983" s="10"/>
      <c r="F983" s="10"/>
      <c r="G983" s="10"/>
    </row>
    <row r="984">
      <c r="A984" s="10"/>
      <c r="F984" s="10"/>
      <c r="G984" s="10"/>
    </row>
    <row r="985">
      <c r="A985" s="10"/>
      <c r="F985" s="10"/>
      <c r="G985" s="10"/>
    </row>
    <row r="986">
      <c r="A986" s="10"/>
      <c r="F986" s="10"/>
      <c r="G986" s="10"/>
    </row>
    <row r="987">
      <c r="A987" s="10"/>
      <c r="F987" s="10"/>
      <c r="G987" s="10"/>
    </row>
    <row r="988">
      <c r="A988" s="10"/>
      <c r="F988" s="10"/>
      <c r="G988" s="10"/>
    </row>
    <row r="989">
      <c r="A989" s="10"/>
      <c r="F989" s="10"/>
      <c r="G989" s="10"/>
    </row>
    <row r="990">
      <c r="A990" s="10"/>
      <c r="F990" s="10"/>
      <c r="G990" s="10"/>
    </row>
    <row r="991">
      <c r="A991" s="10"/>
      <c r="F991" s="10"/>
      <c r="G991" s="10"/>
    </row>
    <row r="992">
      <c r="A992" s="10"/>
      <c r="F992" s="10"/>
      <c r="G992" s="10"/>
    </row>
    <row r="993">
      <c r="A993" s="10"/>
      <c r="F993" s="10"/>
      <c r="G993" s="10"/>
    </row>
    <row r="994">
      <c r="A994" s="10"/>
      <c r="F994" s="10"/>
      <c r="G994" s="10"/>
    </row>
    <row r="995">
      <c r="A995" s="10"/>
      <c r="F995" s="10"/>
      <c r="G995" s="10"/>
    </row>
    <row r="996">
      <c r="A996" s="10"/>
      <c r="F996" s="10"/>
      <c r="G996" s="10"/>
    </row>
    <row r="997">
      <c r="A997" s="10"/>
      <c r="F997" s="10"/>
      <c r="G997" s="10"/>
    </row>
    <row r="998">
      <c r="A998" s="10"/>
      <c r="F998" s="10"/>
      <c r="G998" s="10"/>
    </row>
    <row r="999">
      <c r="A999" s="10"/>
      <c r="F999" s="10"/>
      <c r="G999" s="10"/>
    </row>
    <row r="1000">
      <c r="A1000" s="10"/>
      <c r="F1000" s="10"/>
      <c r="G1000" s="10"/>
    </row>
  </sheetData>
  <mergeCells count="1">
    <mergeCell ref="J1:L1"/>
  </mergeCells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2" max="2" width="56.0"/>
    <col customWidth="1" min="4" max="4" width="25.11"/>
  </cols>
  <sheetData>
    <row r="1">
      <c r="A1" s="39" t="s">
        <v>54</v>
      </c>
      <c r="B1" s="40" t="s">
        <v>55</v>
      </c>
      <c r="C1" s="40" t="s">
        <v>10</v>
      </c>
      <c r="D1" s="40" t="s">
        <v>56</v>
      </c>
      <c r="E1" s="40" t="s">
        <v>45</v>
      </c>
      <c r="F1" s="39" t="s">
        <v>25</v>
      </c>
      <c r="G1" s="39" t="s">
        <v>57</v>
      </c>
      <c r="J1" s="41" t="s">
        <v>37</v>
      </c>
    </row>
    <row r="2">
      <c r="A2" s="42">
        <v>1.0</v>
      </c>
      <c r="B2" s="43" t="str">
        <f t="array" ref="B2">xlookup($G2,'données'!$M2:$M3608,'données'!F2:F3608)</f>
        <v>LYCEE PROFESSIONNEL PRIVE DE COIFFURE ET D ESTHETIQUE</v>
      </c>
      <c r="C2" s="43" t="str">
        <f t="array" ref="C2">xlookup($G2,'données'!$M2:$M3608,'données'!I2:I3608)</f>
        <v>privé sous contrat</v>
      </c>
      <c r="D2" s="43" t="str">
        <f t="array" ref="D2">xlookup($G2,'données'!$M2:$M3608,'données'!H2:H3608)</f>
        <v>LES ABYMES</v>
      </c>
      <c r="E2" s="43" t="str">
        <f t="array" ref="E2">xlookup($G2,'données'!$M2:$M3608,'données'!B2:B3608)</f>
        <v>GUADELOUPE</v>
      </c>
      <c r="F2" s="43" t="str">
        <f t="array" ref="F2">xlookup($G2,'données'!$M2:$M3608,'données'!J2:J3608)</f>
        <v>LP</v>
      </c>
      <c r="G2" s="44">
        <f>SMALL('données'!M2:M3608,A2)</f>
        <v>49.5</v>
      </c>
      <c r="J2" s="13" t="s">
        <v>30</v>
      </c>
      <c r="K2" s="13" t="s">
        <v>31</v>
      </c>
      <c r="L2" s="13" t="s">
        <v>32</v>
      </c>
    </row>
    <row r="3">
      <c r="A3" s="44">
        <f t="shared" ref="A3:A101" si="1">A2+1</f>
        <v>2</v>
      </c>
      <c r="B3" s="43" t="str">
        <f t="array" ref="B3">xlookup($G3,'données'!$M3:$M3609,'données'!F3:F3609)</f>
        <v>LYCEE POLYVALENT RAYMOND TARCY</v>
      </c>
      <c r="C3" s="43" t="str">
        <f t="array" ref="C3">xlookup($G3,'données'!$M3:$M3609,'données'!I3:I3609)</f>
        <v>public</v>
      </c>
      <c r="D3" s="43" t="str">
        <f t="array" ref="D3">xlookup($G3,'données'!$M3:$M3609,'données'!H3:H3609)</f>
        <v>SAINT LAURENT DU MARONI</v>
      </c>
      <c r="E3" s="43" t="str">
        <f t="array" ref="E3">xlookup($G3,'données'!$M3:$M3609,'données'!B3:B3609)</f>
        <v>GUYANE</v>
      </c>
      <c r="F3" s="43" t="str">
        <f t="array" ref="F3">xlookup($G3,'données'!$M3:$M3609,'données'!J3:J3609)</f>
        <v>LPO</v>
      </c>
      <c r="G3" s="44">
        <f>SMALL('données'!M3:M3609,A3)</f>
        <v>58</v>
      </c>
      <c r="J3" s="14" t="s">
        <v>22</v>
      </c>
      <c r="K3" s="15">
        <f>COUNTIF(C2:C101,"public")</f>
        <v>84</v>
      </c>
      <c r="L3" s="15">
        <f>countif(C2:C101,"privé sous contrat")</f>
        <v>16</v>
      </c>
    </row>
    <row r="4">
      <c r="A4" s="44">
        <f t="shared" si="1"/>
        <v>3</v>
      </c>
      <c r="B4" s="43" t="str">
        <f t="array" ref="B4">xlookup($G4,'données'!$M4:$M3610,'données'!F4:F3610)</f>
        <v>LYCEE PROFESSIONNEL DE DZOUMOGNE LYCEES DES METIERS</v>
      </c>
      <c r="C4" s="43" t="str">
        <f t="array" ref="C4">xlookup($G4,'données'!$M4:$M3610,'données'!I4:I3610)</f>
        <v>public</v>
      </c>
      <c r="D4" s="43" t="str">
        <f t="array" ref="D4">xlookup($G4,'données'!$M4:$M3610,'données'!H4:H3610)</f>
        <v>BANDRABOUA</v>
      </c>
      <c r="E4" s="43" t="str">
        <f t="array" ref="E4">xlookup($G4,'données'!$M4:$M3610,'données'!B4:B3610)</f>
        <v>MAYOTTE</v>
      </c>
      <c r="F4" s="43" t="str">
        <f t="array" ref="F4">xlookup($G4,'données'!$M4:$M3610,'données'!J4:J3610)</f>
        <v>LP</v>
      </c>
      <c r="G4" s="44">
        <f>SMALL('données'!M4:M3610,A4)</f>
        <v>60.3</v>
      </c>
    </row>
    <row r="5">
      <c r="A5" s="44">
        <f t="shared" si="1"/>
        <v>4</v>
      </c>
      <c r="B5" s="43" t="str">
        <f t="array" ref="B5">xlookup($G5,'données'!$M5:$M3611,'données'!F5:F3611)</f>
        <v>LYCEE POLYVALENT LUMINA SOPHIE</v>
      </c>
      <c r="C5" s="43" t="str">
        <f t="array" ref="C5">xlookup($G5,'données'!$M5:$M3611,'données'!I5:I3611)</f>
        <v>public</v>
      </c>
      <c r="D5" s="43" t="str">
        <f t="array" ref="D5">xlookup($G5,'données'!$M5:$M3611,'données'!H5:H3611)</f>
        <v>SAINT LAURENT DU MARONI</v>
      </c>
      <c r="E5" s="43" t="str">
        <f t="array" ref="E5">xlookup($G5,'données'!$M5:$M3611,'données'!B5:B3611)</f>
        <v>GUYANE</v>
      </c>
      <c r="F5" s="43" t="str">
        <f t="array" ref="F5">xlookup($G5,'données'!$M5:$M3611,'données'!J5:J3611)</f>
        <v>LPO</v>
      </c>
      <c r="G5" s="44">
        <f>SMALL('données'!M5:M3611,A5)</f>
        <v>60.7</v>
      </c>
    </row>
    <row r="6">
      <c r="A6" s="44">
        <f t="shared" si="1"/>
        <v>5</v>
      </c>
      <c r="B6" s="43" t="str">
        <f t="array" ref="B6">xlookup($G6,'données'!$M6:$M3612,'données'!F6:F3612)</f>
        <v>LYCEE PROFESSIONNEL LA CALADE LYCEE DES METIERS DE LA MODE ET DU TERTIAIRE</v>
      </c>
      <c r="C6" s="43" t="str">
        <f t="array" ref="C6">xlookup($G6,'données'!$M6:$M3612,'données'!I6:I3612)</f>
        <v>public</v>
      </c>
      <c r="D6" s="43" t="str">
        <f t="array" ref="D6">xlookup($G6,'données'!$M6:$M3612,'données'!H6:H3612)</f>
        <v>MARSEILLE 15E ARRONDISSEMENT</v>
      </c>
      <c r="E6" s="43" t="str">
        <f t="array" ref="E6">xlookup($G6,'données'!$M6:$M3612,'données'!B6:B3612)</f>
        <v>AIX-MARSEILLE</v>
      </c>
      <c r="F6" s="43" t="str">
        <f t="array" ref="F6">xlookup($G6,'données'!$M6:$M3612,'données'!J6:J3612)</f>
        <v>LP</v>
      </c>
      <c r="G6" s="44">
        <f>SMALL('données'!M6:M3612,A6)</f>
        <v>61.2</v>
      </c>
      <c r="I6" s="13" t="s">
        <v>25</v>
      </c>
      <c r="J6" s="13" t="s">
        <v>15</v>
      </c>
      <c r="K6" s="13" t="s">
        <v>13</v>
      </c>
      <c r="L6" s="13" t="s">
        <v>14</v>
      </c>
    </row>
    <row r="7">
      <c r="A7" s="44">
        <f t="shared" si="1"/>
        <v>6</v>
      </c>
      <c r="B7" s="43" t="str">
        <f t="array" ref="B7">xlookup($G7,'données'!$M7:$M3613,'données'!F7:F3613)</f>
        <v>LYCEE TECHNOLOGIQUE PRIVE SAINT LOUIS</v>
      </c>
      <c r="C7" s="43" t="str">
        <f t="array" ref="C7">xlookup($G7,'données'!$M7:$M3613,'données'!I7:I3613)</f>
        <v>privé sous contrat</v>
      </c>
      <c r="D7" s="43" t="str">
        <f t="array" ref="D7">xlookup($G7,'données'!$M7:$M3613,'données'!H7:H3613)</f>
        <v>MARSEILLE 15E ARRONDISSEMENT</v>
      </c>
      <c r="E7" s="43" t="str">
        <f t="array" ref="E7">xlookup($G7,'données'!$M7:$M3613,'données'!B7:B3613)</f>
        <v>AIX-MARSEILLE</v>
      </c>
      <c r="F7" s="43" t="str">
        <f t="array" ref="F7">xlookup($G7,'données'!$M7:$M3613,'données'!J7:J3613)</f>
        <v>LPO</v>
      </c>
      <c r="G7" s="44">
        <f>SMALL('données'!M7:M3613,A7)</f>
        <v>61.3</v>
      </c>
      <c r="I7" s="14" t="s">
        <v>22</v>
      </c>
      <c r="J7" s="15">
        <f>COUNTIF($F2:$F101,"LEGT")</f>
        <v>4</v>
      </c>
      <c r="K7" s="15">
        <f>COUNTIF($F2:$F101,"LP")</f>
        <v>75</v>
      </c>
      <c r="L7" s="15">
        <f>COUNTIF($F2:$F101,"LPO")</f>
        <v>21</v>
      </c>
    </row>
    <row r="8">
      <c r="A8" s="44">
        <f t="shared" si="1"/>
        <v>7</v>
      </c>
      <c r="B8" s="43" t="str">
        <f t="array" ref="B8">xlookup($G8,'données'!$M8:$M3614,'données'!F8:F3614)</f>
        <v>LYCEE TECHNOLOGIQUE PRIVE SAINT LOUIS</v>
      </c>
      <c r="C8" s="43" t="str">
        <f t="array" ref="C8">xlookup($G8,'données'!$M8:$M3614,'données'!I8:I3614)</f>
        <v>privé sous contrat</v>
      </c>
      <c r="D8" s="43" t="str">
        <f t="array" ref="D8">xlookup($G8,'données'!$M8:$M3614,'données'!H8:H3614)</f>
        <v>MARSEILLE 15E ARRONDISSEMENT</v>
      </c>
      <c r="E8" s="43" t="str">
        <f t="array" ref="E8">xlookup($G8,'données'!$M8:$M3614,'données'!B8:B3614)</f>
        <v>AIX-MARSEILLE</v>
      </c>
      <c r="F8" s="43" t="str">
        <f t="array" ref="F8">xlookup($G8,'données'!$M8:$M3614,'données'!J8:J3614)</f>
        <v>LPO</v>
      </c>
      <c r="G8" s="44">
        <f>SMALL('données'!M8:M3614,A8)</f>
        <v>61.3</v>
      </c>
    </row>
    <row r="9">
      <c r="A9" s="44">
        <f t="shared" si="1"/>
        <v>8</v>
      </c>
      <c r="B9" s="43" t="str">
        <f t="array" ref="B9">xlookup($G9,'données'!$M9:$M3615,'données'!F9:F3615)</f>
        <v>LYCEE TECHNOLOGIQUE PRIVE SAINT LOUIS</v>
      </c>
      <c r="C9" s="43" t="str">
        <f t="array" ref="C9">xlookup($G9,'données'!$M9:$M3615,'données'!I9:I3615)</f>
        <v>privé sous contrat</v>
      </c>
      <c r="D9" s="43" t="str">
        <f t="array" ref="D9">xlookup($G9,'données'!$M9:$M3615,'données'!H9:H3615)</f>
        <v>MARSEILLE 15E ARRONDISSEMENT</v>
      </c>
      <c r="E9" s="43" t="str">
        <f t="array" ref="E9">xlookup($G9,'données'!$M9:$M3615,'données'!B9:B3615)</f>
        <v>AIX-MARSEILLE</v>
      </c>
      <c r="F9" s="43" t="str">
        <f t="array" ref="F9">xlookup($G9,'données'!$M9:$M3615,'données'!J9:J3615)</f>
        <v>LPO</v>
      </c>
      <c r="G9" s="44">
        <f>SMALL('données'!M9:M3615,A9)</f>
        <v>61.3</v>
      </c>
    </row>
    <row r="10">
      <c r="A10" s="44">
        <f t="shared" si="1"/>
        <v>9</v>
      </c>
      <c r="B10" s="43" t="str">
        <f t="array" ref="B10">xlookup($G10,'données'!$M10:$M3616,'données'!F10:F3616)</f>
        <v>LYCEE POLYVALENT NELSON MANDELA LYCEE DES METIERS DE LA GESTION DES ENTREPRISES ADMINISTRATIVE COMPTABLE FINANCIERE COMMERCIALE INFORMATIQUE</v>
      </c>
      <c r="C10" s="43" t="str">
        <f t="array" ref="C10">xlookup($G10,'données'!$M10:$M3616,'données'!I10:I3616)</f>
        <v>public</v>
      </c>
      <c r="D10" s="43" t="str">
        <f t="array" ref="D10">xlookup($G10,'données'!$M10:$M3616,'données'!H10:H3616)</f>
        <v>SAINT BENOIT</v>
      </c>
      <c r="E10" s="43" t="str">
        <f t="array" ref="E10">xlookup($G10,'données'!$M10:$M3616,'données'!B10:B3616)</f>
        <v>LA REUNION</v>
      </c>
      <c r="F10" s="43" t="str">
        <f t="array" ref="F10">xlookup($G10,'données'!$M10:$M3616,'données'!J10:J3616)</f>
        <v>LPO</v>
      </c>
      <c r="G10" s="44">
        <f>SMALL('données'!M10:M3616,A10)</f>
        <v>61.5</v>
      </c>
    </row>
    <row r="11">
      <c r="A11" s="44">
        <f t="shared" si="1"/>
        <v>10</v>
      </c>
      <c r="B11" s="43" t="str">
        <f t="array" ref="B11">xlookup($G11,'données'!$M11:$M3617,'données'!F11:F3617)</f>
        <v>LYCEE PROFESSIONNEL PATU DE ROSEMONT LYCEE DES METIERS DE LA MAINTENANCE ET DE LA SECURITE</v>
      </c>
      <c r="C11" s="43" t="str">
        <f t="array" ref="C11">xlookup($G11,'données'!$M11:$M3617,'données'!I11:I3617)</f>
        <v>public</v>
      </c>
      <c r="D11" s="43" t="str">
        <f t="array" ref="D11">xlookup($G11,'données'!$M11:$M3617,'données'!H11:H3617)</f>
        <v>SAINT BENOIT</v>
      </c>
      <c r="E11" s="43" t="str">
        <f t="array" ref="E11">xlookup($G11,'données'!$M11:$M3617,'données'!B11:B3617)</f>
        <v>LA REUNION</v>
      </c>
      <c r="F11" s="43" t="str">
        <f t="array" ref="F11">xlookup($G11,'données'!$M11:$M3617,'données'!J11:J3617)</f>
        <v>LP</v>
      </c>
      <c r="G11" s="44">
        <f>SMALL('données'!M11:M3617,A11)</f>
        <v>62.2</v>
      </c>
    </row>
    <row r="12">
      <c r="A12" s="44">
        <f t="shared" si="1"/>
        <v>11</v>
      </c>
      <c r="B12" s="43" t="str">
        <f t="array" ref="B12">xlookup($G12,'données'!$M12:$M3618,'données'!F12:F3618)</f>
        <v>LYCEE PROFESSIONNEL JULIEN DE RONTAUNAY</v>
      </c>
      <c r="C12" s="43" t="str">
        <f t="array" ref="C12">xlookup($G12,'données'!$M12:$M3618,'données'!I12:I3618)</f>
        <v>public</v>
      </c>
      <c r="D12" s="43" t="str">
        <f t="array" ref="D12">xlookup($G12,'données'!$M12:$M3618,'données'!H12:H3618)</f>
        <v>SAINT DENIS</v>
      </c>
      <c r="E12" s="43" t="str">
        <f t="array" ref="E12">xlookup($G12,'données'!$M12:$M3618,'données'!B12:B3618)</f>
        <v>LA REUNION</v>
      </c>
      <c r="F12" s="43" t="str">
        <f t="array" ref="F12">xlookup($G12,'données'!$M12:$M3618,'données'!J12:J3618)</f>
        <v>LP</v>
      </c>
      <c r="G12" s="44">
        <f>SMALL('données'!M12:M3618,A12)</f>
        <v>62.4</v>
      </c>
    </row>
    <row r="13">
      <c r="A13" s="44">
        <f t="shared" si="1"/>
        <v>12</v>
      </c>
      <c r="B13" s="43" t="str">
        <f t="array" ref="B13">xlookup($G13,'données'!$M13:$M3619,'données'!F13:F3619)</f>
        <v>LYCEE PROFESSIONNEL LA VISTE LYCEE DES METIERS DE LA SANTE ET DU SOCIAL</v>
      </c>
      <c r="C13" s="43" t="str">
        <f t="array" ref="C13">xlookup($G13,'données'!$M13:$M3619,'données'!I13:I3619)</f>
        <v>public</v>
      </c>
      <c r="D13" s="43" t="str">
        <f t="array" ref="D13">xlookup($G13,'données'!$M13:$M3619,'données'!H13:H3619)</f>
        <v>MARSEILLE 15E ARRONDISSEMENT</v>
      </c>
      <c r="E13" s="43" t="str">
        <f t="array" ref="E13">xlookup($G13,'données'!$M13:$M3619,'données'!B13:B3619)</f>
        <v>AIX-MARSEILLE</v>
      </c>
      <c r="F13" s="43" t="str">
        <f t="array" ref="F13">xlookup($G13,'données'!$M13:$M3619,'données'!J13:J3619)</f>
        <v>LP</v>
      </c>
      <c r="G13" s="44">
        <f>SMALL('données'!M13:M3619,A13)</f>
        <v>62.6</v>
      </c>
    </row>
    <row r="14">
      <c r="A14" s="44">
        <f t="shared" si="1"/>
        <v>13</v>
      </c>
      <c r="B14" s="43" t="str">
        <f t="array" ref="B14">xlookup($G14,'données'!$M14:$M3620,'données'!F14:F3620)</f>
        <v>LYCEE PROFESSIONNEL ROCHES MAIGRES</v>
      </c>
      <c r="C14" s="43" t="str">
        <f t="array" ref="C14">xlookup($G14,'données'!$M14:$M3620,'données'!I14:I3620)</f>
        <v>public</v>
      </c>
      <c r="D14" s="43" t="str">
        <f t="array" ref="D14">xlookup($G14,'données'!$M14:$M3620,'données'!H14:H3620)</f>
        <v>SAINT LOUIS</v>
      </c>
      <c r="E14" s="43" t="str">
        <f t="array" ref="E14">xlookup($G14,'données'!$M14:$M3620,'données'!B14:B3620)</f>
        <v>LA REUNION</v>
      </c>
      <c r="F14" s="43" t="str">
        <f t="array" ref="F14">xlookup($G14,'données'!$M14:$M3620,'données'!J14:J3620)</f>
        <v>LP</v>
      </c>
      <c r="G14" s="44">
        <f>SMALL('données'!M14:M3620,A14)</f>
        <v>62.8</v>
      </c>
    </row>
    <row r="15">
      <c r="A15" s="44">
        <f t="shared" si="1"/>
        <v>14</v>
      </c>
      <c r="B15" s="43" t="str">
        <f t="array" ref="B15">xlookup($G15,'données'!$M15:$M3621,'données'!F15:F3621)</f>
        <v>LYCEE PROFESSIONNEL LYCEE DES METIERS LA FLORIDE</v>
      </c>
      <c r="C15" s="43" t="str">
        <f t="array" ref="C15">xlookup($G15,'données'!$M15:$M3621,'données'!I15:I3621)</f>
        <v>public</v>
      </c>
      <c r="D15" s="43" t="str">
        <f t="array" ref="D15">xlookup($G15,'données'!$M15:$M3621,'données'!H15:H3621)</f>
        <v>MARSEILLE 14E ARRONDISSEMENT</v>
      </c>
      <c r="E15" s="43" t="str">
        <f t="array" ref="E15">xlookup($G15,'données'!$M15:$M3621,'données'!B15:B3621)</f>
        <v>AIX-MARSEILLE</v>
      </c>
      <c r="F15" s="43" t="str">
        <f t="array" ref="F15">xlookup($G15,'données'!$M15:$M3621,'données'!J15:J3621)</f>
        <v>LP</v>
      </c>
      <c r="G15" s="44">
        <f>SMALL('données'!M15:M3621,A15)</f>
        <v>63.1</v>
      </c>
    </row>
    <row r="16">
      <c r="A16" s="44">
        <f t="shared" si="1"/>
        <v>15</v>
      </c>
      <c r="B16" s="43" t="str">
        <f t="array" ref="B16">xlookup($G16,'données'!$M16:$M3622,'données'!F16:F3622)</f>
        <v>LYCEE PROFESSIONNEL TURGOT LYCEE DES METIERS DES SERVICES ADMINISTRATIFS ET DE LA RELATION CLIENT</v>
      </c>
      <c r="C16" s="43" t="str">
        <f t="array" ref="C16">xlookup($G16,'données'!$M16:$M3622,'données'!I16:I3622)</f>
        <v>public</v>
      </c>
      <c r="D16" s="43" t="str">
        <f t="array" ref="D16">xlookup($G16,'données'!$M16:$M3622,'données'!H16:H3622)</f>
        <v>ROUBAIX</v>
      </c>
      <c r="E16" s="43" t="str">
        <f t="array" ref="E16">xlookup($G16,'données'!$M16:$M3622,'données'!B16:B3622)</f>
        <v>LILLE</v>
      </c>
      <c r="F16" s="43" t="str">
        <f t="array" ref="F16">xlookup($G16,'données'!$M16:$M3622,'données'!J16:J3622)</f>
        <v>LP</v>
      </c>
      <c r="G16" s="44">
        <f>SMALL('données'!M16:M3622,A16)</f>
        <v>63.4</v>
      </c>
    </row>
    <row r="17">
      <c r="A17" s="44">
        <f t="shared" si="1"/>
        <v>16</v>
      </c>
      <c r="B17" s="43" t="str">
        <f t="array" ref="B17">xlookup($G17,'données'!$M17:$M3623,'données'!F17:F3623)</f>
        <v>LYCEE PROFESSIONNEL TURGOT LYCEE DES METIERS DES SERVICES ADMINISTRATIFS ET DE LA RELATION CLIENT</v>
      </c>
      <c r="C17" s="43" t="str">
        <f t="array" ref="C17">xlookup($G17,'données'!$M17:$M3623,'données'!I17:I3623)</f>
        <v>public</v>
      </c>
      <c r="D17" s="43" t="str">
        <f t="array" ref="D17">xlookup($G17,'données'!$M17:$M3623,'données'!H17:H3623)</f>
        <v>ROUBAIX</v>
      </c>
      <c r="E17" s="43" t="str">
        <f t="array" ref="E17">xlookup($G17,'données'!$M17:$M3623,'données'!B17:B3623)</f>
        <v>LILLE</v>
      </c>
      <c r="F17" s="43" t="str">
        <f t="array" ref="F17">xlookup($G17,'données'!$M17:$M3623,'données'!J17:J3623)</f>
        <v>LP</v>
      </c>
      <c r="G17" s="44">
        <f>SMALL('données'!M17:M3623,A17)</f>
        <v>63.4</v>
      </c>
    </row>
    <row r="18">
      <c r="A18" s="44">
        <f t="shared" si="1"/>
        <v>17</v>
      </c>
      <c r="B18" s="43" t="str">
        <f t="array" ref="B18">xlookup($G18,'données'!$M18:$M3624,'données'!F18:F3624)</f>
        <v>LYCEE POLYVALENT LEOPOLD ELFORT</v>
      </c>
      <c r="C18" s="43" t="str">
        <f t="array" ref="C18">xlookup($G18,'données'!$M18:$M3624,'données'!I18:I3624)</f>
        <v>public</v>
      </c>
      <c r="D18" s="43" t="str">
        <f t="array" ref="D18">xlookup($G18,'données'!$M18:$M3624,'données'!H18:H3624)</f>
        <v>MANA</v>
      </c>
      <c r="E18" s="43" t="str">
        <f t="array" ref="E18">xlookup($G18,'données'!$M18:$M3624,'données'!B18:B3624)</f>
        <v>GUYANE</v>
      </c>
      <c r="F18" s="43" t="str">
        <f t="array" ref="F18">xlookup($G18,'données'!$M18:$M3624,'données'!J18:J3624)</f>
        <v>LPO</v>
      </c>
      <c r="G18" s="44">
        <f>SMALL('données'!M18:M3624,A18)</f>
        <v>63.5</v>
      </c>
    </row>
    <row r="19">
      <c r="A19" s="44">
        <f t="shared" si="1"/>
        <v>18</v>
      </c>
      <c r="B19" s="43" t="str">
        <f t="array" ref="B19">xlookup($G19,'données'!$M19:$M3625,'données'!F19:F3625)</f>
        <v>LPO DE DEMBENI</v>
      </c>
      <c r="C19" s="43" t="str">
        <f t="array" ref="C19">xlookup($G19,'données'!$M19:$M3625,'données'!I19:I3625)</f>
        <v>public</v>
      </c>
      <c r="D19" s="43" t="str">
        <f t="array" ref="D19">xlookup($G19,'données'!$M19:$M3625,'données'!H19:H3625)</f>
        <v>DEMBENI</v>
      </c>
      <c r="E19" s="43" t="str">
        <f t="array" ref="E19">xlookup($G19,'données'!$M19:$M3625,'données'!B19:B3625)</f>
        <v>MAYOTTE</v>
      </c>
      <c r="F19" s="43" t="str">
        <f t="array" ref="F19">xlookup($G19,'données'!$M19:$M3625,'données'!J19:J3625)</f>
        <v>LPO</v>
      </c>
      <c r="G19" s="44">
        <f>SMALL('données'!M19:M3625,A19)</f>
        <v>63.6</v>
      </c>
    </row>
    <row r="20">
      <c r="A20" s="44">
        <f t="shared" si="1"/>
        <v>19</v>
      </c>
      <c r="B20" s="43" t="str">
        <f t="array" ref="B20">xlookup($G20,'données'!$M20:$M3626,'données'!F20:F3626)</f>
        <v>LPO DE DEMBENI</v>
      </c>
      <c r="C20" s="43" t="str">
        <f t="array" ref="C20">xlookup($G20,'données'!$M20:$M3626,'données'!I20:I3626)</f>
        <v>public</v>
      </c>
      <c r="D20" s="43" t="str">
        <f t="array" ref="D20">xlookup($G20,'données'!$M20:$M3626,'données'!H20:H3626)</f>
        <v>DEMBENI</v>
      </c>
      <c r="E20" s="43" t="str">
        <f t="array" ref="E20">xlookup($G20,'données'!$M20:$M3626,'données'!B20:B3626)</f>
        <v>MAYOTTE</v>
      </c>
      <c r="F20" s="43" t="str">
        <f t="array" ref="F20">xlookup($G20,'données'!$M20:$M3626,'données'!J20:J3626)</f>
        <v>LPO</v>
      </c>
      <c r="G20" s="44">
        <f>SMALL('données'!M20:M3626,A20)</f>
        <v>63.6</v>
      </c>
    </row>
    <row r="21">
      <c r="A21" s="44">
        <f t="shared" si="1"/>
        <v>20</v>
      </c>
      <c r="B21" s="43" t="str">
        <f t="array" ref="B21">xlookup($G21,'données'!$M21:$M3627,'données'!F21:F3627)</f>
        <v>LYCEE PROFESSIONNEL LAVOISIER</v>
      </c>
      <c r="C21" s="43" t="str">
        <f t="array" ref="C21">xlookup($G21,'données'!$M21:$M3627,'données'!I21:I3627)</f>
        <v>public</v>
      </c>
      <c r="D21" s="43" t="str">
        <f t="array" ref="D21">xlookup($G21,'données'!$M21:$M3627,'données'!H21:H3627)</f>
        <v>ROUBAIX</v>
      </c>
      <c r="E21" s="43" t="str">
        <f t="array" ref="E21">xlookup($G21,'données'!$M21:$M3627,'données'!B21:B3627)</f>
        <v>LILLE</v>
      </c>
      <c r="F21" s="43" t="str">
        <f t="array" ref="F21">xlookup($G21,'données'!$M21:$M3627,'données'!J21:J3627)</f>
        <v>LP</v>
      </c>
      <c r="G21" s="44">
        <f>SMALL('données'!M21:M3627,A21)</f>
        <v>63.8</v>
      </c>
    </row>
    <row r="22">
      <c r="A22" s="44">
        <f t="shared" si="1"/>
        <v>21</v>
      </c>
      <c r="B22" s="43" t="str">
        <f t="array" ref="B22">xlookup($G22,'données'!$M22:$M3628,'données'!F22:F3628)</f>
        <v>LYCEE PROFESSIONNEL LE CHATELIER</v>
      </c>
      <c r="C22" s="43" t="str">
        <f t="array" ref="C22">xlookup($G22,'données'!$M22:$M3628,'données'!I22:I3628)</f>
        <v>public</v>
      </c>
      <c r="D22" s="43" t="str">
        <f t="array" ref="D22">xlookup($G22,'données'!$M22:$M3628,'données'!H22:H3628)</f>
        <v>MARSEILLE 3E ARRONDISSEMENT</v>
      </c>
      <c r="E22" s="43" t="str">
        <f t="array" ref="E22">xlookup($G22,'données'!$M22:$M3628,'données'!B22:B3628)</f>
        <v>AIX-MARSEILLE</v>
      </c>
      <c r="F22" s="43" t="str">
        <f t="array" ref="F22">xlookup($G22,'données'!$M22:$M3628,'données'!J22:J3628)</f>
        <v>LP</v>
      </c>
      <c r="G22" s="44">
        <f>SMALL('données'!M22:M3628,A22)</f>
        <v>64.2</v>
      </c>
    </row>
    <row r="23">
      <c r="A23" s="44">
        <f t="shared" si="1"/>
        <v>22</v>
      </c>
      <c r="B23" s="43" t="str">
        <f t="array" ref="B23">xlookup($G23,'données'!$M23:$M3629,'données'!F23:F3629)</f>
        <v>LYCEE PROFESSIONNEL LE CHATELIER</v>
      </c>
      <c r="C23" s="43" t="str">
        <f t="array" ref="C23">xlookup($G23,'données'!$M23:$M3629,'données'!I23:I3629)</f>
        <v>public</v>
      </c>
      <c r="D23" s="43" t="str">
        <f t="array" ref="D23">xlookup($G23,'données'!$M23:$M3629,'données'!H23:H3629)</f>
        <v>MARSEILLE 3E ARRONDISSEMENT</v>
      </c>
      <c r="E23" s="43" t="str">
        <f t="array" ref="E23">xlookup($G23,'données'!$M23:$M3629,'données'!B23:B3629)</f>
        <v>AIX-MARSEILLE</v>
      </c>
      <c r="F23" s="43" t="str">
        <f t="array" ref="F23">xlookup($G23,'données'!$M23:$M3629,'données'!J23:J3629)</f>
        <v>LP</v>
      </c>
      <c r="G23" s="44">
        <f>SMALL('données'!M23:M3629,A23)</f>
        <v>64.2</v>
      </c>
    </row>
    <row r="24">
      <c r="A24" s="44">
        <f t="shared" si="1"/>
        <v>23</v>
      </c>
      <c r="B24" s="43" t="str">
        <f t="array" ref="B24">xlookup($G24,'données'!$M24:$M3630,'données'!F24:F3630)</f>
        <v>LYCEE PROFESSIONNEL LOUIS LOUCHEUR</v>
      </c>
      <c r="C24" s="43" t="str">
        <f t="array" ref="C24">xlookup($G24,'données'!$M24:$M3630,'données'!I24:I3630)</f>
        <v>public</v>
      </c>
      <c r="D24" s="43" t="str">
        <f t="array" ref="D24">xlookup($G24,'données'!$M24:$M3630,'données'!H24:H3630)</f>
        <v>ROUBAIX</v>
      </c>
      <c r="E24" s="43" t="str">
        <f t="array" ref="E24">xlookup($G24,'données'!$M24:$M3630,'données'!B24:B3630)</f>
        <v>LILLE</v>
      </c>
      <c r="F24" s="43" t="str">
        <f t="array" ref="F24">xlookup($G24,'données'!$M24:$M3630,'données'!J24:J3630)</f>
        <v>LP</v>
      </c>
      <c r="G24" s="44">
        <f>SMALL('données'!M24:M3630,A24)</f>
        <v>64.3</v>
      </c>
    </row>
    <row r="25">
      <c r="A25" s="44">
        <f t="shared" si="1"/>
        <v>24</v>
      </c>
      <c r="B25" s="43" t="str">
        <f t="array" ref="B25">xlookup($G25,'données'!$M25:$M3631,'données'!F25:F3631)</f>
        <v>LYCEE PROFESSIONNEL LOUIS ARMAND</v>
      </c>
      <c r="C25" s="43" t="str">
        <f t="array" ref="C25">xlookup($G25,'données'!$M25:$M3631,'données'!I25:I3631)</f>
        <v>public</v>
      </c>
      <c r="D25" s="43" t="str">
        <f t="array" ref="D25">xlookup($G25,'données'!$M25:$M3631,'données'!H25:H3631)</f>
        <v>JEUMONT</v>
      </c>
      <c r="E25" s="43" t="str">
        <f t="array" ref="E25">xlookup($G25,'données'!$M25:$M3631,'données'!B25:B3631)</f>
        <v>LILLE</v>
      </c>
      <c r="F25" s="43" t="str">
        <f t="array" ref="F25">xlookup($G25,'données'!$M25:$M3631,'données'!J25:J3631)</f>
        <v>LP</v>
      </c>
      <c r="G25" s="44">
        <f>SMALL('données'!M25:M3631,A25)</f>
        <v>64.7</v>
      </c>
    </row>
    <row r="26">
      <c r="A26" s="44">
        <f t="shared" si="1"/>
        <v>25</v>
      </c>
      <c r="B26" s="43" t="str">
        <f t="array" ref="B26">xlookup($G26,'données'!$M26:$M3632,'données'!F26:F3632)</f>
        <v>LYCEE PROFESSIONNEL AMIRAL LACAZE</v>
      </c>
      <c r="C26" s="43" t="str">
        <f t="array" ref="C26">xlookup($G26,'données'!$M26:$M3632,'données'!I26:I3632)</f>
        <v>public</v>
      </c>
      <c r="D26" s="43" t="str">
        <f t="array" ref="D26">xlookup($G26,'données'!$M26:$M3632,'données'!H26:H3632)</f>
        <v>SAINT DENIS</v>
      </c>
      <c r="E26" s="43" t="str">
        <f t="array" ref="E26">xlookup($G26,'données'!$M26:$M3632,'données'!B26:B3632)</f>
        <v>LA REUNION</v>
      </c>
      <c r="F26" s="43" t="str">
        <f t="array" ref="F26">xlookup($G26,'données'!$M26:$M3632,'données'!J26:J3632)</f>
        <v>LP</v>
      </c>
      <c r="G26" s="44">
        <f>SMALL('données'!M26:M3632,A26)</f>
        <v>64.9</v>
      </c>
    </row>
    <row r="27">
      <c r="A27" s="44">
        <f t="shared" si="1"/>
        <v>26</v>
      </c>
      <c r="B27" s="43" t="str">
        <f t="array" ref="B27">xlookup($G27,'données'!$M27:$M3633,'données'!F27:F3633)</f>
        <v>LYCEE PROFESSIONNEL AMIRAL LACAZE</v>
      </c>
      <c r="C27" s="43" t="str">
        <f t="array" ref="C27">xlookup($G27,'données'!$M27:$M3633,'données'!I27:I3633)</f>
        <v>public</v>
      </c>
      <c r="D27" s="43" t="str">
        <f t="array" ref="D27">xlookup($G27,'données'!$M27:$M3633,'données'!H27:H3633)</f>
        <v>SAINT DENIS</v>
      </c>
      <c r="E27" s="43" t="str">
        <f t="array" ref="E27">xlookup($G27,'données'!$M27:$M3633,'données'!B27:B3633)</f>
        <v>LA REUNION</v>
      </c>
      <c r="F27" s="43" t="str">
        <f t="array" ref="F27">xlookup($G27,'données'!$M27:$M3633,'données'!J27:J3633)</f>
        <v>LP</v>
      </c>
      <c r="G27" s="44">
        <f>SMALL('données'!M27:M3633,A27)</f>
        <v>64.9</v>
      </c>
    </row>
    <row r="28">
      <c r="A28" s="44">
        <f t="shared" si="1"/>
        <v>27</v>
      </c>
      <c r="B28" s="43" t="str">
        <f t="array" ref="B28">xlookup($G28,'données'!$M28:$M3634,'données'!F28:F3634)</f>
        <v>LYCEE PROFESSIONNEL VICTOR SCHOELCHER</v>
      </c>
      <c r="C28" s="43" t="str">
        <f t="array" ref="C28">xlookup($G28,'données'!$M28:$M3634,'données'!I28:I3634)</f>
        <v>public</v>
      </c>
      <c r="D28" s="43" t="str">
        <f t="array" ref="D28">xlookup($G28,'données'!$M28:$M3634,'données'!H28:H3634)</f>
        <v>SAINT LOUIS</v>
      </c>
      <c r="E28" s="43" t="str">
        <f t="array" ref="E28">xlookup($G28,'données'!$M28:$M3634,'données'!B28:B3634)</f>
        <v>LA REUNION</v>
      </c>
      <c r="F28" s="43" t="str">
        <f t="array" ref="F28">xlookup($G28,'données'!$M28:$M3634,'données'!J28:J3634)</f>
        <v>LP</v>
      </c>
      <c r="G28" s="44">
        <f>SMALL('données'!M28:M3634,A28)</f>
        <v>65</v>
      </c>
    </row>
    <row r="29">
      <c r="A29" s="44">
        <f t="shared" si="1"/>
        <v>28</v>
      </c>
      <c r="B29" s="43" t="str">
        <f t="array" ref="B29">xlookup($G29,'données'!$M29:$M3635,'données'!F29:F3635)</f>
        <v>LYCEE PROFESSIONNEL LEON DE LEPERVANCHE LYCEE DES METIERS DES SERVICES AUX PERSONNES ET AUX ENTREPRISES</v>
      </c>
      <c r="C29" s="43" t="str">
        <f t="array" ref="C29">xlookup($G29,'données'!$M29:$M3635,'données'!I29:I3635)</f>
        <v>public</v>
      </c>
      <c r="D29" s="43" t="str">
        <f t="array" ref="D29">xlookup($G29,'données'!$M29:$M3635,'données'!H29:H3635)</f>
        <v>LE PORT</v>
      </c>
      <c r="E29" s="43" t="str">
        <f t="array" ref="E29">xlookup($G29,'données'!$M29:$M3635,'données'!B29:B3635)</f>
        <v>LA REUNION</v>
      </c>
      <c r="F29" s="43" t="str">
        <f t="array" ref="F29">xlookup($G29,'données'!$M29:$M3635,'données'!J29:J3635)</f>
        <v>LP</v>
      </c>
      <c r="G29" s="44">
        <f>SMALL('données'!M29:M3635,A29)</f>
        <v>65.4</v>
      </c>
    </row>
    <row r="30">
      <c r="A30" s="44">
        <f t="shared" si="1"/>
        <v>29</v>
      </c>
      <c r="B30" s="43" t="str">
        <f t="array" ref="B30">xlookup($G30,'données'!$M30:$M3636,'données'!F30:F3636)</f>
        <v>LYCEE DES LUMIERES</v>
      </c>
      <c r="C30" s="43" t="str">
        <f t="array" ref="C30">xlookup($G30,'données'!$M30:$M3636,'données'!I30:I3636)</f>
        <v>public</v>
      </c>
      <c r="D30" s="43" t="str">
        <f t="array" ref="D30">xlookup($G30,'données'!$M30:$M3636,'données'!H30:H3636)</f>
        <v>MAMOUDZOU</v>
      </c>
      <c r="E30" s="43" t="str">
        <f t="array" ref="E30">xlookup($G30,'données'!$M30:$M3636,'données'!B30:B3636)</f>
        <v>MAYOTTE</v>
      </c>
      <c r="F30" s="43" t="str">
        <f t="array" ref="F30">xlookup($G30,'données'!$M30:$M3636,'données'!J30:J3636)</f>
        <v>LPO</v>
      </c>
      <c r="G30" s="44">
        <f>SMALL('données'!M30:M3636,A30)</f>
        <v>65.6</v>
      </c>
    </row>
    <row r="31">
      <c r="A31" s="44">
        <f t="shared" si="1"/>
        <v>30</v>
      </c>
      <c r="B31" s="43" t="str">
        <f t="array" ref="B31">xlookup($G31,'données'!$M31:$M3637,'données'!F31:F3637)</f>
        <v>ECOLE PROFESSIONNELLE PRIVEE DE L ASSOCIATION FOREZIENNE D ECOLES DE PRODUCTION</v>
      </c>
      <c r="C31" s="43" t="str">
        <f t="array" ref="C31">xlookup($G31,'données'!$M31:$M3637,'données'!I31:I3637)</f>
        <v>privé sous contrat</v>
      </c>
      <c r="D31" s="43" t="str">
        <f t="array" ref="D31">xlookup($G31,'données'!$M31:$M3637,'données'!H31:H3637)</f>
        <v>SAINT ETIENNE</v>
      </c>
      <c r="E31" s="43" t="str">
        <f t="array" ref="E31">xlookup($G31,'données'!$M31:$M3637,'données'!B31:B3637)</f>
        <v>LYON</v>
      </c>
      <c r="F31" s="43" t="str">
        <f t="array" ref="F31">xlookup($G31,'données'!$M31:$M3637,'données'!J31:J3637)</f>
        <v>LP</v>
      </c>
      <c r="G31" s="44">
        <f>SMALL('données'!M31:M3637,A31)</f>
        <v>66</v>
      </c>
    </row>
    <row r="32">
      <c r="A32" s="44">
        <f t="shared" si="1"/>
        <v>31</v>
      </c>
      <c r="B32" s="43" t="str">
        <f t="array" ref="B32">xlookup($G32,'données'!$M32:$M3638,'données'!F32:F3638)</f>
        <v>ECOLE PROFESSIONNELLE PRIVEE DE L ASSOCIATION FOREZIENNE D ECOLES DE PRODUCTION</v>
      </c>
      <c r="C32" s="43" t="str">
        <f t="array" ref="C32">xlookup($G32,'données'!$M32:$M3638,'données'!I32:I3638)</f>
        <v>privé sous contrat</v>
      </c>
      <c r="D32" s="43" t="str">
        <f t="array" ref="D32">xlookup($G32,'données'!$M32:$M3638,'données'!H32:H3638)</f>
        <v>SAINT ETIENNE</v>
      </c>
      <c r="E32" s="43" t="str">
        <f t="array" ref="E32">xlookup($G32,'données'!$M32:$M3638,'données'!B32:B3638)</f>
        <v>LYON</v>
      </c>
      <c r="F32" s="43" t="str">
        <f t="array" ref="F32">xlookup($G32,'données'!$M32:$M3638,'données'!J32:J3638)</f>
        <v>LP</v>
      </c>
      <c r="G32" s="44">
        <f>SMALL('données'!M32:M3638,A32)</f>
        <v>66</v>
      </c>
    </row>
    <row r="33">
      <c r="A33" s="44">
        <f t="shared" si="1"/>
        <v>32</v>
      </c>
      <c r="B33" s="43" t="str">
        <f t="array" ref="B33">xlookup($G33,'données'!$M33:$M3639,'données'!F33:F3639)</f>
        <v>LYCEE PROFESSIONNEL LA PEUPLERAIE</v>
      </c>
      <c r="C33" s="43" t="str">
        <f t="array" ref="C33">xlookup($G33,'données'!$M33:$M3639,'données'!I33:I3639)</f>
        <v>public</v>
      </c>
      <c r="D33" s="43" t="str">
        <f t="array" ref="D33">xlookup($G33,'données'!$M33:$M3639,'données'!H33:H3639)</f>
        <v>SALLAUMINES</v>
      </c>
      <c r="E33" s="43" t="str">
        <f t="array" ref="E33">xlookup($G33,'données'!$M33:$M3639,'données'!B33:B3639)</f>
        <v>LILLE</v>
      </c>
      <c r="F33" s="43" t="str">
        <f t="array" ref="F33">xlookup($G33,'données'!$M33:$M3639,'données'!J33:J3639)</f>
        <v>LP</v>
      </c>
      <c r="G33" s="44">
        <f>SMALL('données'!M33:M3639,A33)</f>
        <v>66.1</v>
      </c>
    </row>
    <row r="34">
      <c r="A34" s="44">
        <f t="shared" si="1"/>
        <v>33</v>
      </c>
      <c r="B34" s="43" t="str">
        <f t="array" ref="B34">xlookup($G34,'données'!$M34:$M3640,'données'!F34:F3640)</f>
        <v>LYCEE PROFESSIONNEL MAX JOSEPHINE</v>
      </c>
      <c r="C34" s="43" t="str">
        <f t="array" ref="C34">xlookup($G34,'données'!$M34:$M3640,'données'!I34:I3640)</f>
        <v>public</v>
      </c>
      <c r="D34" s="43" t="str">
        <f t="array" ref="D34">xlookup($G34,'données'!$M34:$M3640,'données'!H34:H3640)</f>
        <v>CAYENNE</v>
      </c>
      <c r="E34" s="43" t="str">
        <f t="array" ref="E34">xlookup($G34,'données'!$M34:$M3640,'données'!B34:B3640)</f>
        <v>GUYANE</v>
      </c>
      <c r="F34" s="43" t="str">
        <f t="array" ref="F34">xlookup($G34,'données'!$M34:$M3640,'données'!J34:J3640)</f>
        <v>LP</v>
      </c>
      <c r="G34" s="44">
        <f>SMALL('données'!M34:M3640,A34)</f>
        <v>66.2</v>
      </c>
    </row>
    <row r="35">
      <c r="A35" s="44">
        <f t="shared" si="1"/>
        <v>34</v>
      </c>
      <c r="B35" s="43" t="str">
        <f t="array" ref="B35">xlookup($G35,'données'!$M35:$M3641,'données'!F35:F3641)</f>
        <v>LYCEE PROFESSIONNEL MAX JOSEPHINE</v>
      </c>
      <c r="C35" s="43" t="str">
        <f t="array" ref="C35">xlookup($G35,'données'!$M35:$M3641,'données'!I35:I3641)</f>
        <v>public</v>
      </c>
      <c r="D35" s="43" t="str">
        <f t="array" ref="D35">xlookup($G35,'données'!$M35:$M3641,'données'!H35:H3641)</f>
        <v>CAYENNE</v>
      </c>
      <c r="E35" s="43" t="str">
        <f t="array" ref="E35">xlookup($G35,'données'!$M35:$M3641,'données'!B35:B3641)</f>
        <v>GUYANE</v>
      </c>
      <c r="F35" s="43" t="str">
        <f t="array" ref="F35">xlookup($G35,'données'!$M35:$M3641,'données'!J35:J3641)</f>
        <v>LP</v>
      </c>
      <c r="G35" s="44">
        <f>SMALL('données'!M35:M3641,A35)</f>
        <v>66.2</v>
      </c>
    </row>
    <row r="36">
      <c r="A36" s="44">
        <f t="shared" si="1"/>
        <v>35</v>
      </c>
      <c r="B36" s="43" t="str">
        <f t="array" ref="B36">xlookup($G36,'données'!$M36:$M3642,'données'!F36:F3642)</f>
        <v>LYCEE PROFESSIONNEL ISNELLE AMELIN</v>
      </c>
      <c r="C36" s="43" t="str">
        <f t="array" ref="C36">xlookup($G36,'données'!$M36:$M3642,'données'!I36:I3642)</f>
        <v>public</v>
      </c>
      <c r="D36" s="43" t="str">
        <f t="array" ref="D36">xlookup($G36,'données'!$M36:$M3642,'données'!H36:H3642)</f>
        <v>SAINTE MARIE</v>
      </c>
      <c r="E36" s="43" t="str">
        <f t="array" ref="E36">xlookup($G36,'données'!$M36:$M3642,'données'!B36:B3642)</f>
        <v>LA REUNION</v>
      </c>
      <c r="F36" s="43" t="str">
        <f t="array" ref="F36">xlookup($G36,'données'!$M36:$M3642,'données'!J36:J3642)</f>
        <v>LP</v>
      </c>
      <c r="G36" s="44">
        <f>SMALL('données'!M36:M3642,A36)</f>
        <v>66.7</v>
      </c>
    </row>
    <row r="37">
      <c r="A37" s="44">
        <f t="shared" si="1"/>
        <v>36</v>
      </c>
      <c r="B37" s="43" t="str">
        <f t="array" ref="B37">xlookup($G37,'données'!$M37:$M3643,'données'!F37:F3643)</f>
        <v>LYCEE PROFESSIONNEL PAUL LANGEVIN</v>
      </c>
      <c r="C37" s="43" t="str">
        <f t="array" ref="C37">xlookup($G37,'données'!$M37:$M3643,'données'!I37:I3643)</f>
        <v>public</v>
      </c>
      <c r="D37" s="43" t="str">
        <f t="array" ref="D37">xlookup($G37,'données'!$M37:$M3643,'données'!H37:H3643)</f>
        <v>SAINT JOSEPH</v>
      </c>
      <c r="E37" s="43" t="str">
        <f t="array" ref="E37">xlookup($G37,'données'!$M37:$M3643,'données'!B37:B3643)</f>
        <v>LA REUNION</v>
      </c>
      <c r="F37" s="43" t="str">
        <f t="array" ref="F37">xlookup($G37,'données'!$M37:$M3643,'données'!J37:J3643)</f>
        <v>LP</v>
      </c>
      <c r="G37" s="44">
        <f>SMALL('données'!M37:M3643,A37)</f>
        <v>66.8</v>
      </c>
    </row>
    <row r="38">
      <c r="A38" s="44">
        <f t="shared" si="1"/>
        <v>37</v>
      </c>
      <c r="B38" s="43" t="str">
        <f t="array" ref="B38">xlookup($G38,'données'!$M38:$M3644,'données'!F38:F3644)</f>
        <v>LYCEE PROFESSIONNEL PRIVE LA CABUCELLE</v>
      </c>
      <c r="C38" s="43" t="str">
        <f t="array" ref="C38">xlookup($G38,'données'!$M38:$M3644,'données'!I38:I3644)</f>
        <v>privé sous contrat</v>
      </c>
      <c r="D38" s="43" t="str">
        <f t="array" ref="D38">xlookup($G38,'données'!$M38:$M3644,'données'!H38:H3644)</f>
        <v>MARSEILLE 15E ARRONDISSEMENT</v>
      </c>
      <c r="E38" s="43" t="str">
        <f t="array" ref="E38">xlookup($G38,'données'!$M38:$M3644,'données'!B38:B3644)</f>
        <v>AIX-MARSEILLE</v>
      </c>
      <c r="F38" s="43" t="str">
        <f t="array" ref="F38">xlookup($G38,'données'!$M38:$M3644,'données'!J38:J3644)</f>
        <v>LP</v>
      </c>
      <c r="G38" s="44">
        <f>SMALL('données'!M38:M3644,A38)</f>
        <v>67</v>
      </c>
    </row>
    <row r="39">
      <c r="A39" s="44">
        <f t="shared" si="1"/>
        <v>38</v>
      </c>
      <c r="B39" s="43" t="str">
        <f t="array" ref="B39">xlookup($G39,'données'!$M39:$M3645,'données'!F39:F3645)</f>
        <v>LYCEE PROFESSIONNEL PRIVE LA CABUCELLE</v>
      </c>
      <c r="C39" s="43" t="str">
        <f t="array" ref="C39">xlookup($G39,'données'!$M39:$M3645,'données'!I39:I3645)</f>
        <v>privé sous contrat</v>
      </c>
      <c r="D39" s="43" t="str">
        <f t="array" ref="D39">xlookup($G39,'données'!$M39:$M3645,'données'!H39:H3645)</f>
        <v>MARSEILLE 15E ARRONDISSEMENT</v>
      </c>
      <c r="E39" s="43" t="str">
        <f t="array" ref="E39">xlookup($G39,'données'!$M39:$M3645,'données'!B39:B3645)</f>
        <v>AIX-MARSEILLE</v>
      </c>
      <c r="F39" s="43" t="str">
        <f t="array" ref="F39">xlookup($G39,'données'!$M39:$M3645,'données'!J39:J3645)</f>
        <v>LP</v>
      </c>
      <c r="G39" s="44">
        <f>SMALL('données'!M39:M3645,A39)</f>
        <v>67</v>
      </c>
    </row>
    <row r="40">
      <c r="A40" s="44">
        <f t="shared" si="1"/>
        <v>39</v>
      </c>
      <c r="B40" s="43" t="str">
        <f t="array" ref="B40">xlookup($G40,'données'!$M40:$M3646,'données'!F40:F3646)</f>
        <v>LYCEE PROFESSIONNEL PRIVE SAINTE ELISABETH</v>
      </c>
      <c r="C40" s="43" t="str">
        <f t="array" ref="C40">xlookup($G40,'données'!$M40:$M3646,'données'!I40:I3646)</f>
        <v>privé sous contrat</v>
      </c>
      <c r="D40" s="43" t="str">
        <f t="array" ref="D40">xlookup($G40,'données'!$M40:$M3646,'données'!H40:H3646)</f>
        <v>DOUARNENEZ</v>
      </c>
      <c r="E40" s="43" t="str">
        <f t="array" ref="E40">xlookup($G40,'données'!$M40:$M3646,'données'!B40:B3646)</f>
        <v>RENNES</v>
      </c>
      <c r="F40" s="43" t="str">
        <f t="array" ref="F40">xlookup($G40,'données'!$M40:$M3646,'données'!J40:J3646)</f>
        <v>LP</v>
      </c>
      <c r="G40" s="44">
        <f>SMALL('données'!M40:M3646,A40)</f>
        <v>67.2</v>
      </c>
    </row>
    <row r="41">
      <c r="A41" s="44">
        <f t="shared" si="1"/>
        <v>40</v>
      </c>
      <c r="B41" s="43" t="str">
        <f t="array" ref="B41">xlookup($G41,'données'!$M41:$M3647,'données'!F41:F3647)</f>
        <v>LYCEE PROFESSIONNEL ALAIN SAVARY LYCEE DES METIERS</v>
      </c>
      <c r="C41" s="43" t="str">
        <f t="array" ref="C41">xlookup($G41,'données'!$M41:$M3647,'données'!I41:I3647)</f>
        <v>public</v>
      </c>
      <c r="D41" s="43" t="str">
        <f t="array" ref="D41">xlookup($G41,'données'!$M41:$M3647,'données'!H41:H3647)</f>
        <v>WATTRELOS</v>
      </c>
      <c r="E41" s="43" t="str">
        <f t="array" ref="E41">xlookup($G41,'données'!$M41:$M3647,'données'!B41:B3647)</f>
        <v>LILLE</v>
      </c>
      <c r="F41" s="43" t="str">
        <f t="array" ref="F41">xlookup($G41,'données'!$M41:$M3647,'données'!J41:J3647)</f>
        <v>LP</v>
      </c>
      <c r="G41" s="44">
        <f>SMALL('données'!M41:M3647,A41)</f>
        <v>67.4</v>
      </c>
    </row>
    <row r="42">
      <c r="A42" s="44">
        <f t="shared" si="1"/>
        <v>41</v>
      </c>
      <c r="B42" s="43" t="str">
        <f t="array" ref="B42">xlookup($G42,'données'!$M42:$M3648,'données'!F42:F3648)</f>
        <v>LYCEE PROFESSIONNEL RENE CASSIN</v>
      </c>
      <c r="C42" s="43" t="str">
        <f t="array" ref="C42">xlookup($G42,'données'!$M42:$M3648,'données'!I42:I3648)</f>
        <v>public</v>
      </c>
      <c r="D42" s="43" t="str">
        <f t="array" ref="D42">xlookup($G42,'données'!$M42:$M3648,'données'!H42:H3648)</f>
        <v>MONTIGNY EN OSTREVENT</v>
      </c>
      <c r="E42" s="43" t="str">
        <f t="array" ref="E42">xlookup($G42,'données'!$M42:$M3648,'données'!B42:B3648)</f>
        <v>LILLE</v>
      </c>
      <c r="F42" s="43" t="str">
        <f t="array" ref="F42">xlookup($G42,'données'!$M42:$M3648,'données'!J42:J3648)</f>
        <v>LP</v>
      </c>
      <c r="G42" s="44">
        <f>SMALL('données'!M42:M3648,A42)</f>
        <v>67.6</v>
      </c>
    </row>
    <row r="43">
      <c r="A43" s="44">
        <f t="shared" si="1"/>
        <v>42</v>
      </c>
      <c r="B43" s="43" t="str">
        <f t="array" ref="B43">xlookup($G43,'données'!$M43:$M3649,'données'!F43:F3649)</f>
        <v>LYCEE POLYVALENT BLAISE PASCAL LYCEE DES METIERS</v>
      </c>
      <c r="C43" s="43" t="str">
        <f t="array" ref="C43">xlookup($G43,'données'!$M43:$M3649,'données'!I43:I3649)</f>
        <v>public</v>
      </c>
      <c r="D43" s="43" t="str">
        <f t="array" ref="D43">xlookup($G43,'données'!$M43:$M3649,'données'!H43:H3649)</f>
        <v>FORBACH</v>
      </c>
      <c r="E43" s="43" t="str">
        <f t="array" ref="E43">xlookup($G43,'données'!$M43:$M3649,'données'!B43:B3649)</f>
        <v>NANCY-METZ</v>
      </c>
      <c r="F43" s="43" t="str">
        <f t="array" ref="F43">xlookup($G43,'données'!$M43:$M3649,'données'!J43:J3649)</f>
        <v>LPO</v>
      </c>
      <c r="G43" s="44">
        <f>SMALL('données'!M43:M3649,A43)</f>
        <v>67.7</v>
      </c>
    </row>
    <row r="44">
      <c r="A44" s="44">
        <f t="shared" si="1"/>
        <v>43</v>
      </c>
      <c r="B44" s="43" t="str">
        <f t="array" ref="B44">xlookup($G44,'données'!$M44:$M3650,'données'!F44:F3650)</f>
        <v>LYCEE PROFESSIONNEL PRIVE CATHOLIQUE SAINTE SUZANNE</v>
      </c>
      <c r="C44" s="43" t="str">
        <f t="array" ref="C44">xlookup($G44,'données'!$M44:$M3650,'données'!I44:I3650)</f>
        <v>privé sous contrat</v>
      </c>
      <c r="D44" s="43" t="str">
        <f t="array" ref="D44">xlookup($G44,'données'!$M44:$M3650,'données'!H44:H3650)</f>
        <v>SAINTE SUZANNE</v>
      </c>
      <c r="E44" s="43" t="str">
        <f t="array" ref="E44">xlookup($G44,'données'!$M44:$M3650,'données'!B44:B3650)</f>
        <v>LA REUNION</v>
      </c>
      <c r="F44" s="43" t="str">
        <f t="array" ref="F44">xlookup($G44,'données'!$M44:$M3650,'données'!J44:J3650)</f>
        <v>LP</v>
      </c>
      <c r="G44" s="44">
        <f>SMALL('données'!M44:M3650,A44)</f>
        <v>67.8</v>
      </c>
    </row>
    <row r="45">
      <c r="A45" s="44">
        <f t="shared" si="1"/>
        <v>44</v>
      </c>
      <c r="B45" s="43" t="str">
        <f t="array" ref="B45">xlookup($G45,'données'!$M45:$M3651,'données'!F45:F3651)</f>
        <v>LYCEE POLYVALENT BALATA</v>
      </c>
      <c r="C45" s="43" t="str">
        <f t="array" ref="C45">xlookup($G45,'données'!$M45:$M3651,'données'!I45:I3651)</f>
        <v>public</v>
      </c>
      <c r="D45" s="43" t="str">
        <f t="array" ref="D45">xlookup($G45,'données'!$M45:$M3651,'données'!H45:H3651)</f>
        <v>MATOURY</v>
      </c>
      <c r="E45" s="43" t="str">
        <f t="array" ref="E45">xlookup($G45,'données'!$M45:$M3651,'données'!B45:B3651)</f>
        <v>GUYANE</v>
      </c>
      <c r="F45" s="43" t="str">
        <f t="array" ref="F45">xlookup($G45,'données'!$M45:$M3651,'données'!J45:J3651)</f>
        <v>LPO</v>
      </c>
      <c r="G45" s="44">
        <f>SMALL('données'!M45:M3651,A45)</f>
        <v>67.9</v>
      </c>
    </row>
    <row r="46">
      <c r="A46" s="44">
        <f t="shared" si="1"/>
        <v>45</v>
      </c>
      <c r="B46" s="43" t="str">
        <f t="array" ref="B46">xlookup($G46,'données'!$M46:$M3652,'données'!F46:F3652)</f>
        <v>LYCEE PROFESSIONNEL VUE BELLE LYCEE DES METIERS DU COMMERCE ET DE LA DISTRIBUTION</v>
      </c>
      <c r="C46" s="43" t="str">
        <f t="array" ref="C46">xlookup($G46,'données'!$M46:$M3652,'données'!I46:I3652)</f>
        <v>public</v>
      </c>
      <c r="D46" s="43" t="str">
        <f t="array" ref="D46">xlookup($G46,'données'!$M46:$M3652,'données'!H46:H3652)</f>
        <v>SAINT PAUL</v>
      </c>
      <c r="E46" s="43" t="str">
        <f t="array" ref="E46">xlookup($G46,'données'!$M46:$M3652,'données'!B46:B3652)</f>
        <v>LA REUNION</v>
      </c>
      <c r="F46" s="43" t="str">
        <f t="array" ref="F46">xlookup($G46,'données'!$M46:$M3652,'données'!J46:J3652)</f>
        <v>LP</v>
      </c>
      <c r="G46" s="44">
        <f>SMALL('données'!M46:M3652,A46)</f>
        <v>68</v>
      </c>
    </row>
    <row r="47">
      <c r="A47" s="44">
        <f t="shared" si="1"/>
        <v>46</v>
      </c>
      <c r="B47" s="43" t="str">
        <f t="array" ref="B47">xlookup($G47,'données'!$M47:$M3653,'données'!F47:F3653)</f>
        <v>LPO JEAN MOULIN LYCEE DES METIERS DE LA SECURITE ET DE LA PREVENTION LYCEE DES METIERS DES SERVICES ADMINISTRATIFS ET DE LA RELATION AUX CLIENTS</v>
      </c>
      <c r="C47" s="43" t="str">
        <f t="array" ref="C47">xlookup($G47,'données'!$M47:$M3653,'données'!I47:I3653)</f>
        <v>public</v>
      </c>
      <c r="D47" s="43" t="str">
        <f t="array" ref="D47">xlookup($G47,'données'!$M47:$M3653,'données'!H47:H3653)</f>
        <v>ROUBAIX</v>
      </c>
      <c r="E47" s="43" t="str">
        <f t="array" ref="E47">xlookup($G47,'données'!$M47:$M3653,'données'!B47:B3653)</f>
        <v>LILLE</v>
      </c>
      <c r="F47" s="43" t="str">
        <f t="array" ref="F47">xlookup($G47,'données'!$M47:$M3653,'données'!J47:J3653)</f>
        <v>LPO</v>
      </c>
      <c r="G47" s="44">
        <f>SMALL('données'!M47:M3653,A47)</f>
        <v>68.2</v>
      </c>
    </row>
    <row r="48">
      <c r="A48" s="44">
        <f t="shared" si="1"/>
        <v>47</v>
      </c>
      <c r="B48" s="43" t="str">
        <f t="array" ref="B48">xlookup($G48,'données'!$M48:$M3654,'données'!F48:F3654)</f>
        <v>LYCEE GENERAL ET TECHNOLOGIQUE VICTOR HUGO</v>
      </c>
      <c r="C48" s="43" t="str">
        <f t="array" ref="C48">xlookup($G48,'données'!$M48:$M3654,'données'!I48:I3654)</f>
        <v>public</v>
      </c>
      <c r="D48" s="43" t="str">
        <f t="array" ref="D48">xlookup($G48,'données'!$M48:$M3654,'données'!H48:H3654)</f>
        <v>MARSEILLE 3E ARRONDISSEMENT</v>
      </c>
      <c r="E48" s="43" t="str">
        <f t="array" ref="E48">xlookup($G48,'données'!$M48:$M3654,'données'!B48:B3654)</f>
        <v>AIX-MARSEILLE</v>
      </c>
      <c r="F48" s="43" t="str">
        <f t="array" ref="F48">xlookup($G48,'données'!$M48:$M3654,'données'!J48:J3654)</f>
        <v>LEGT</v>
      </c>
      <c r="G48" s="44">
        <f>SMALL('données'!M48:M3654,A48)</f>
        <v>68.3</v>
      </c>
    </row>
    <row r="49">
      <c r="A49" s="44">
        <f t="shared" si="1"/>
        <v>48</v>
      </c>
      <c r="B49" s="43" t="str">
        <f t="array" ref="B49">xlookup($G49,'données'!$M49:$M3655,'données'!F49:F3655)</f>
        <v>LYCEE PROFESSIONNEL COLBERT LYCEE DES METIERS DES SERVICES AUX ENTREPRISES ET A LA PERSONNE</v>
      </c>
      <c r="C49" s="43" t="str">
        <f t="array" ref="C49">xlookup($G49,'données'!$M49:$M3655,'données'!I49:I3655)</f>
        <v>public</v>
      </c>
      <c r="D49" s="43" t="str">
        <f t="array" ref="D49">xlookup($G49,'données'!$M49:$M3655,'données'!H49:H3655)</f>
        <v>MARSEILLE 7E ARRONDISSEMENT</v>
      </c>
      <c r="E49" s="43" t="str">
        <f t="array" ref="E49">xlookup($G49,'données'!$M49:$M3655,'données'!B49:B3655)</f>
        <v>AIX-MARSEILLE</v>
      </c>
      <c r="F49" s="43" t="str">
        <f t="array" ref="F49">xlookup($G49,'données'!$M49:$M3655,'données'!J49:J3655)</f>
        <v>LP</v>
      </c>
      <c r="G49" s="44">
        <f>SMALL('données'!M49:M3655,A49)</f>
        <v>68.4</v>
      </c>
    </row>
    <row r="50">
      <c r="A50" s="44">
        <f t="shared" si="1"/>
        <v>49</v>
      </c>
      <c r="B50" s="43" t="str">
        <f t="array" ref="B50">xlookup($G50,'données'!$M50:$M3656,'données'!F50:F3656)</f>
        <v>LYCEE PROFESSIONNEL JEAN CHARLES CAZIN</v>
      </c>
      <c r="C50" s="43" t="str">
        <f t="array" ref="C50">xlookup($G50,'données'!$M50:$M3656,'données'!I50:I3656)</f>
        <v>public</v>
      </c>
      <c r="D50" s="43" t="str">
        <f t="array" ref="D50">xlookup($G50,'données'!$M50:$M3656,'données'!H50:H3656)</f>
        <v>BOULOGNE SUR MER</v>
      </c>
      <c r="E50" s="43" t="str">
        <f t="array" ref="E50">xlookup($G50,'données'!$M50:$M3656,'données'!B50:B3656)</f>
        <v>LILLE</v>
      </c>
      <c r="F50" s="43" t="str">
        <f t="array" ref="F50">xlookup($G50,'données'!$M50:$M3656,'données'!J50:J3656)</f>
        <v>LP</v>
      </c>
      <c r="G50" s="44">
        <f>SMALL('données'!M50:M3656,A50)</f>
        <v>68.5</v>
      </c>
    </row>
    <row r="51">
      <c r="A51" s="44">
        <f t="shared" si="1"/>
        <v>50</v>
      </c>
      <c r="B51" s="43" t="str">
        <f t="array" ref="B51">xlookup($G51,'données'!$M51:$M3657,'données'!F51:F3657)</f>
        <v>LYCEE PROFESSIONNEL JEAN CHARLES CAZIN</v>
      </c>
      <c r="C51" s="43" t="str">
        <f t="array" ref="C51">xlookup($G51,'données'!$M51:$M3657,'données'!I51:I3657)</f>
        <v>public</v>
      </c>
      <c r="D51" s="43" t="str">
        <f t="array" ref="D51">xlookup($G51,'données'!$M51:$M3657,'données'!H51:H3657)</f>
        <v>BOULOGNE SUR MER</v>
      </c>
      <c r="E51" s="43" t="str">
        <f t="array" ref="E51">xlookup($G51,'données'!$M51:$M3657,'données'!B51:B3657)</f>
        <v>LILLE</v>
      </c>
      <c r="F51" s="43" t="str">
        <f t="array" ref="F51">xlookup($G51,'données'!$M51:$M3657,'données'!J51:J3657)</f>
        <v>LP</v>
      </c>
      <c r="G51" s="44">
        <f>SMALL('données'!M51:M3657,A51)</f>
        <v>68.5</v>
      </c>
    </row>
    <row r="52">
      <c r="A52" s="44">
        <f t="shared" si="1"/>
        <v>51</v>
      </c>
      <c r="B52" s="43" t="str">
        <f t="array" ref="B52">xlookup($G52,'données'!$M52:$M3658,'données'!F52:F3658)</f>
        <v>LYCEE POLYVALENT ELIE CASTOR</v>
      </c>
      <c r="C52" s="43" t="str">
        <f t="array" ref="C52">xlookup($G52,'données'!$M52:$M3658,'données'!I52:I3658)</f>
        <v>public</v>
      </c>
      <c r="D52" s="43" t="str">
        <f t="array" ref="D52">xlookup($G52,'données'!$M52:$M3658,'données'!H52:H3658)</f>
        <v>KOUROU</v>
      </c>
      <c r="E52" s="43" t="str">
        <f t="array" ref="E52">xlookup($G52,'données'!$M52:$M3658,'données'!B52:B3658)</f>
        <v>GUYANE</v>
      </c>
      <c r="F52" s="43" t="str">
        <f t="array" ref="F52">xlookup($G52,'données'!$M52:$M3658,'données'!J52:J3658)</f>
        <v>LPO</v>
      </c>
      <c r="G52" s="44">
        <f>SMALL('données'!M52:M3658,A52)</f>
        <v>68.6</v>
      </c>
    </row>
    <row r="53">
      <c r="A53" s="44">
        <f t="shared" si="1"/>
        <v>52</v>
      </c>
      <c r="B53" s="43" t="str">
        <f t="array" ref="B53">xlookup($G53,'données'!$M53:$M3659,'données'!F53:F3659)</f>
        <v>LYCEE PROFESSIONNEL PIERRE JOSEPH FONTAINE</v>
      </c>
      <c r="C53" s="43" t="str">
        <f t="array" ref="C53">xlookup($G53,'données'!$M53:$M3659,'données'!I53:I3659)</f>
        <v>public</v>
      </c>
      <c r="D53" s="43" t="str">
        <f t="array" ref="D53">xlookup($G53,'données'!$M53:$M3659,'données'!H53:H3659)</f>
        <v>ANZIN</v>
      </c>
      <c r="E53" s="43" t="str">
        <f t="array" ref="E53">xlookup($G53,'données'!$M53:$M3659,'données'!B53:B3659)</f>
        <v>LILLE</v>
      </c>
      <c r="F53" s="43" t="str">
        <f t="array" ref="F53">xlookup($G53,'données'!$M53:$M3659,'données'!J53:J3659)</f>
        <v>LP</v>
      </c>
      <c r="G53" s="44">
        <f>SMALL('données'!M53:M3659,A53)</f>
        <v>68.7</v>
      </c>
    </row>
    <row r="54">
      <c r="A54" s="44">
        <f t="shared" si="1"/>
        <v>53</v>
      </c>
      <c r="B54" s="43" t="str">
        <f t="array" ref="B54">xlookup($G54,'données'!$M54:$M3660,'données'!F54:F3660)</f>
        <v>LYCEE PROFESSIONNEL PIERRE JOSEPH FONTAINE</v>
      </c>
      <c r="C54" s="43" t="str">
        <f t="array" ref="C54">xlookup($G54,'données'!$M54:$M3660,'données'!I54:I3660)</f>
        <v>public</v>
      </c>
      <c r="D54" s="43" t="str">
        <f t="array" ref="D54">xlookup($G54,'données'!$M54:$M3660,'données'!H54:H3660)</f>
        <v>ANZIN</v>
      </c>
      <c r="E54" s="43" t="str">
        <f t="array" ref="E54">xlookup($G54,'données'!$M54:$M3660,'données'!B54:B3660)</f>
        <v>LILLE</v>
      </c>
      <c r="F54" s="43" t="str">
        <f t="array" ref="F54">xlookup($G54,'données'!$M54:$M3660,'données'!J54:J3660)</f>
        <v>LP</v>
      </c>
      <c r="G54" s="44">
        <f>SMALL('données'!M54:M3660,A54)</f>
        <v>68.7</v>
      </c>
    </row>
    <row r="55">
      <c r="A55" s="44">
        <f t="shared" si="1"/>
        <v>54</v>
      </c>
      <c r="B55" s="43" t="str">
        <f t="array" ref="B55">xlookup($G55,'données'!$M55:$M3661,'données'!F55:F3661)</f>
        <v>LYCEE PROFESSIONNEL JACQUES YVES COUSTEAU</v>
      </c>
      <c r="C55" s="43" t="str">
        <f t="array" ref="C55">xlookup($G55,'données'!$M55:$M3661,'données'!I55:I3661)</f>
        <v>public</v>
      </c>
      <c r="D55" s="43" t="str">
        <f t="array" ref="D55">xlookup($G55,'données'!$M55:$M3661,'données'!H55:H3661)</f>
        <v>WASQUEHAL</v>
      </c>
      <c r="E55" s="43" t="str">
        <f t="array" ref="E55">xlookup($G55,'données'!$M55:$M3661,'données'!B55:B3661)</f>
        <v>LILLE</v>
      </c>
      <c r="F55" s="43" t="str">
        <f t="array" ref="F55">xlookup($G55,'données'!$M55:$M3661,'données'!J55:J3661)</f>
        <v>LP</v>
      </c>
      <c r="G55" s="44">
        <f>SMALL('données'!M55:M3661,A55)</f>
        <v>68.9</v>
      </c>
    </row>
    <row r="56">
      <c r="A56" s="44">
        <f t="shared" si="1"/>
        <v>55</v>
      </c>
      <c r="B56" s="43" t="str">
        <f t="array" ref="B56">xlookup($G56,'données'!$M56:$M3662,'données'!F56:F3662)</f>
        <v>LYCEE PROFESSIONNEL JACQUES YVES COUSTEAU</v>
      </c>
      <c r="C56" s="43" t="str">
        <f t="array" ref="C56">xlookup($G56,'données'!$M56:$M3662,'données'!I56:I3662)</f>
        <v>public</v>
      </c>
      <c r="D56" s="43" t="str">
        <f t="array" ref="D56">xlookup($G56,'données'!$M56:$M3662,'données'!H56:H3662)</f>
        <v>WASQUEHAL</v>
      </c>
      <c r="E56" s="43" t="str">
        <f t="array" ref="E56">xlookup($G56,'données'!$M56:$M3662,'données'!B56:B3662)</f>
        <v>LILLE</v>
      </c>
      <c r="F56" s="43" t="str">
        <f t="array" ref="F56">xlookup($G56,'données'!$M56:$M3662,'données'!J56:J3662)</f>
        <v>LP</v>
      </c>
      <c r="G56" s="44">
        <f>SMALL('données'!M56:M3662,A56)</f>
        <v>68.9</v>
      </c>
    </row>
    <row r="57">
      <c r="A57" s="44">
        <f t="shared" si="1"/>
        <v>56</v>
      </c>
      <c r="B57" s="43" t="str">
        <f t="array" ref="B57">xlookup($G57,'données'!$M57:$M3663,'données'!F57:F3663)</f>
        <v>LYCEE PROFESSIONNEL JACQUES YVES COUSTEAU</v>
      </c>
      <c r="C57" s="43" t="str">
        <f t="array" ref="C57">xlookup($G57,'données'!$M57:$M3663,'données'!I57:I3663)</f>
        <v>public</v>
      </c>
      <c r="D57" s="43" t="str">
        <f t="array" ref="D57">xlookup($G57,'données'!$M57:$M3663,'données'!H57:H3663)</f>
        <v>WASQUEHAL</v>
      </c>
      <c r="E57" s="43" t="str">
        <f t="array" ref="E57">xlookup($G57,'données'!$M57:$M3663,'données'!B57:B3663)</f>
        <v>LILLE</v>
      </c>
      <c r="F57" s="43" t="str">
        <f t="array" ref="F57">xlookup($G57,'données'!$M57:$M3663,'données'!J57:J3663)</f>
        <v>LP</v>
      </c>
      <c r="G57" s="44">
        <f>SMALL('données'!M57:M3663,A57)</f>
        <v>68.9</v>
      </c>
    </row>
    <row r="58">
      <c r="A58" s="44">
        <f t="shared" si="1"/>
        <v>57</v>
      </c>
      <c r="B58" s="43" t="str">
        <f t="array" ref="B58">xlookup($G58,'données'!$M58:$M3664,'données'!F58:F3664)</f>
        <v>LYCEE PROFESSIONNEL GASTON DARBOUX</v>
      </c>
      <c r="C58" s="43" t="str">
        <f t="array" ref="C58">xlookup($G58,'données'!$M58:$M3664,'données'!I58:I3664)</f>
        <v>public</v>
      </c>
      <c r="D58" s="43" t="str">
        <f t="array" ref="D58">xlookup($G58,'données'!$M58:$M3664,'données'!H58:H3664)</f>
        <v>NIMES</v>
      </c>
      <c r="E58" s="43" t="str">
        <f t="array" ref="E58">xlookup($G58,'données'!$M58:$M3664,'données'!B58:B3664)</f>
        <v>MONTPELLIER</v>
      </c>
      <c r="F58" s="43" t="str">
        <f t="array" ref="F58">xlookup($G58,'données'!$M58:$M3664,'données'!J58:J3664)</f>
        <v>LP</v>
      </c>
      <c r="G58" s="44">
        <f>SMALL('données'!M58:M3664,A58)</f>
        <v>69.1</v>
      </c>
    </row>
    <row r="59">
      <c r="A59" s="44">
        <f t="shared" si="1"/>
        <v>58</v>
      </c>
      <c r="B59" s="43" t="str">
        <f t="array" ref="B59">xlookup($G59,'données'!$M59:$M3665,'données'!F59:F3665)</f>
        <v>LYCEE POLYVALENT ERNEST CUVELETTE</v>
      </c>
      <c r="C59" s="43" t="str">
        <f t="array" ref="C59">xlookup($G59,'données'!$M59:$M3665,'données'!I59:I3665)</f>
        <v>public</v>
      </c>
      <c r="D59" s="43" t="str">
        <f t="array" ref="D59">xlookup($G59,'données'!$M59:$M3665,'données'!H59:H3665)</f>
        <v>FREYMING MERLEBACH</v>
      </c>
      <c r="E59" s="43" t="str">
        <f t="array" ref="E59">xlookup($G59,'données'!$M59:$M3665,'données'!B59:B3665)</f>
        <v>NANCY-METZ</v>
      </c>
      <c r="F59" s="43" t="str">
        <f t="array" ref="F59">xlookup($G59,'données'!$M59:$M3665,'données'!J59:J3665)</f>
        <v>LP</v>
      </c>
      <c r="G59" s="44">
        <f>SMALL('données'!M59:M3665,A59)</f>
        <v>69.2</v>
      </c>
    </row>
    <row r="60">
      <c r="A60" s="44">
        <f t="shared" si="1"/>
        <v>59</v>
      </c>
      <c r="B60" s="43" t="str">
        <f t="array" ref="B60">xlookup($G60,'données'!$M60:$M3666,'données'!F60:F3666)</f>
        <v>LYCEE PROFESSIONNEL MAURICE DUHAMEL</v>
      </c>
      <c r="C60" s="43" t="str">
        <f t="array" ref="C60">xlookup($G60,'données'!$M60:$M3666,'données'!I60:I3666)</f>
        <v>public</v>
      </c>
      <c r="D60" s="43" t="str">
        <f t="array" ref="D60">xlookup($G60,'données'!$M60:$M3666,'données'!H60:H3666)</f>
        <v>LOOS</v>
      </c>
      <c r="E60" s="43" t="str">
        <f t="array" ref="E60">xlookup($G60,'données'!$M60:$M3666,'données'!B60:B3666)</f>
        <v>LILLE</v>
      </c>
      <c r="F60" s="43" t="str">
        <f t="array" ref="F60">xlookup($G60,'données'!$M60:$M3666,'données'!J60:J3666)</f>
        <v>LP</v>
      </c>
      <c r="G60" s="44">
        <f>SMALL('données'!M60:M3666,A60)</f>
        <v>69.4</v>
      </c>
    </row>
    <row r="61">
      <c r="A61" s="44">
        <f t="shared" si="1"/>
        <v>60</v>
      </c>
      <c r="B61" s="43" t="str">
        <f t="array" ref="B61">xlookup($G61,'données'!$M61:$M3667,'données'!F61:F3667)</f>
        <v>LYCEE PROFESSIONNEL MAURICE DUHAMEL</v>
      </c>
      <c r="C61" s="43" t="str">
        <f t="array" ref="C61">xlookup($G61,'données'!$M61:$M3667,'données'!I61:I3667)</f>
        <v>public</v>
      </c>
      <c r="D61" s="43" t="str">
        <f t="array" ref="D61">xlookup($G61,'données'!$M61:$M3667,'données'!H61:H3667)</f>
        <v>LOOS</v>
      </c>
      <c r="E61" s="43" t="str">
        <f t="array" ref="E61">xlookup($G61,'données'!$M61:$M3667,'données'!B61:B3667)</f>
        <v>LILLE</v>
      </c>
      <c r="F61" s="43" t="str">
        <f t="array" ref="F61">xlookup($G61,'données'!$M61:$M3667,'données'!J61:J3667)</f>
        <v>LP</v>
      </c>
      <c r="G61" s="44">
        <f>SMALL('données'!M61:M3667,A61)</f>
        <v>69.4</v>
      </c>
    </row>
    <row r="62">
      <c r="A62" s="44">
        <f t="shared" si="1"/>
        <v>61</v>
      </c>
      <c r="B62" s="43" t="str">
        <f t="array" ref="B62">xlookup($G62,'données'!$M62:$M3668,'données'!F62:F3668)</f>
        <v>LYCEE PROFESSIONNEL MAURICE DUHAMEL</v>
      </c>
      <c r="C62" s="43" t="str">
        <f t="array" ref="C62">xlookup($G62,'données'!$M62:$M3668,'données'!I62:I3668)</f>
        <v>public</v>
      </c>
      <c r="D62" s="43" t="str">
        <f t="array" ref="D62">xlookup($G62,'données'!$M62:$M3668,'données'!H62:H3668)</f>
        <v>LOOS</v>
      </c>
      <c r="E62" s="43" t="str">
        <f t="array" ref="E62">xlookup($G62,'données'!$M62:$M3668,'données'!B62:B3668)</f>
        <v>LILLE</v>
      </c>
      <c r="F62" s="43" t="str">
        <f t="array" ref="F62">xlookup($G62,'données'!$M62:$M3668,'données'!J62:J3668)</f>
        <v>LP</v>
      </c>
      <c r="G62" s="44">
        <f>SMALL('données'!M62:M3668,A62)</f>
        <v>69.4</v>
      </c>
    </row>
    <row r="63">
      <c r="A63" s="44">
        <f t="shared" si="1"/>
        <v>62</v>
      </c>
      <c r="B63" s="43" t="str">
        <f t="array" ref="B63">xlookup($G63,'données'!$M63:$M3669,'données'!F63:F3669)</f>
        <v>LPO DU NORD</v>
      </c>
      <c r="C63" s="43" t="str">
        <f t="array" ref="C63">xlookup($G63,'données'!$M63:$M3669,'données'!I63:I3669)</f>
        <v>public</v>
      </c>
      <c r="D63" s="43" t="str">
        <f t="array" ref="D63">xlookup($G63,'données'!$M63:$M3669,'données'!H63:H3669)</f>
        <v>ACOUA</v>
      </c>
      <c r="E63" s="43" t="str">
        <f t="array" ref="E63">xlookup($G63,'données'!$M63:$M3669,'données'!B63:B3669)</f>
        <v>MAYOTTE</v>
      </c>
      <c r="F63" s="43" t="str">
        <f t="array" ref="F63">xlookup($G63,'données'!$M63:$M3669,'données'!J63:J3669)</f>
        <v>LPO</v>
      </c>
      <c r="G63" s="44">
        <f>SMALL('données'!M63:M3669,A63)</f>
        <v>69.5</v>
      </c>
    </row>
    <row r="64">
      <c r="A64" s="44">
        <f t="shared" si="1"/>
        <v>63</v>
      </c>
      <c r="B64" s="43" t="str">
        <f t="array" ref="B64">xlookup($G64,'données'!$M64:$M3670,'données'!F64:F3670)</f>
        <v>LYCEE PROFESSIONNEL BERNARD CHOCHOY</v>
      </c>
      <c r="C64" s="43" t="str">
        <f t="array" ref="C64">xlookup($G64,'données'!$M64:$M3670,'données'!I64:I3670)</f>
        <v>public</v>
      </c>
      <c r="D64" s="43" t="str">
        <f t="array" ref="D64">xlookup($G64,'données'!$M64:$M3670,'données'!H64:H3670)</f>
        <v>LUMBRES</v>
      </c>
      <c r="E64" s="43" t="str">
        <f t="array" ref="E64">xlookup($G64,'données'!$M64:$M3670,'données'!B64:B3670)</f>
        <v>LILLE</v>
      </c>
      <c r="F64" s="43" t="str">
        <f t="array" ref="F64">xlookup($G64,'données'!$M64:$M3670,'données'!J64:J3670)</f>
        <v>LP</v>
      </c>
      <c r="G64" s="44">
        <f>SMALL('données'!M64:M3670,A64)</f>
        <v>69.6</v>
      </c>
    </row>
    <row r="65">
      <c r="A65" s="44">
        <f t="shared" si="1"/>
        <v>64</v>
      </c>
      <c r="B65" s="43" t="str">
        <f t="array" ref="B65">xlookup($G65,'données'!$M65:$M3671,'données'!F65:F3671)</f>
        <v>LYCEE PROFESSIONNEL PRIVE ORPHELINS APPRENTIS D AUTEUIL</v>
      </c>
      <c r="C65" s="43" t="str">
        <f t="array" ref="C65">xlookup($G65,'données'!$M65:$M3671,'données'!I65:I3671)</f>
        <v>privé sous contrat</v>
      </c>
      <c r="D65" s="43" t="str">
        <f t="array" ref="D65">xlookup($G65,'données'!$M65:$M3671,'données'!H65:H3671)</f>
        <v>LISIEUX</v>
      </c>
      <c r="E65" s="43" t="str">
        <f t="array" ref="E65">xlookup($G65,'données'!$M65:$M3671,'données'!B65:B3671)</f>
        <v>NORMANDIE</v>
      </c>
      <c r="F65" s="43" t="str">
        <f t="array" ref="F65">xlookup($G65,'données'!$M65:$M3671,'données'!J65:J3671)</f>
        <v>LP</v>
      </c>
      <c r="G65" s="44">
        <f>SMALL('données'!M65:M3671,A65)</f>
        <v>69.7</v>
      </c>
    </row>
    <row r="66">
      <c r="A66" s="44">
        <f t="shared" si="1"/>
        <v>65</v>
      </c>
      <c r="B66" s="43" t="str">
        <f t="array" ref="B66">xlookup($G66,'données'!$M66:$M3672,'données'!F66:F3672)</f>
        <v>LYCEE PROFESSIONNEL DU DETROIT LYCEE DES METIERS DE LA MODE ET DES TEXTILES LYCEE DES METIERS DE LA MAINTENANCE INDUSTRIELLE DES TERRES D OPALE</v>
      </c>
      <c r="C66" s="43" t="str">
        <f t="array" ref="C66">xlookup($G66,'données'!$M66:$M3672,'données'!I66:I3672)</f>
        <v>public</v>
      </c>
      <c r="D66" s="43" t="str">
        <f t="array" ref="D66">xlookup($G66,'données'!$M66:$M3672,'données'!H66:H3672)</f>
        <v>CALAIS</v>
      </c>
      <c r="E66" s="43" t="str">
        <f t="array" ref="E66">xlookup($G66,'données'!$M66:$M3672,'données'!B66:B3672)</f>
        <v>LILLE</v>
      </c>
      <c r="F66" s="43" t="str">
        <f t="array" ref="F66">xlookup($G66,'données'!$M66:$M3672,'données'!J66:J3672)</f>
        <v>LP</v>
      </c>
      <c r="G66" s="44">
        <f>SMALL('données'!M66:M3672,A66)</f>
        <v>69.8</v>
      </c>
    </row>
    <row r="67">
      <c r="A67" s="44">
        <f t="shared" si="1"/>
        <v>66</v>
      </c>
      <c r="B67" s="43" t="str">
        <f t="array" ref="B67">xlookup($G67,'données'!$M67:$M3673,'données'!F67:F3673)</f>
        <v>LYCEE PROFESSIONNEL GEORGES GUYNEMER</v>
      </c>
      <c r="C67" s="43" t="str">
        <f t="array" ref="C67">xlookup($G67,'données'!$M67:$M3673,'données'!I67:I3673)</f>
        <v>public</v>
      </c>
      <c r="D67" s="43" t="str">
        <f t="array" ref="D67">xlookup($G67,'données'!$M67:$M3673,'données'!H67:H3673)</f>
        <v>DUNKERQUE</v>
      </c>
      <c r="E67" s="43" t="str">
        <f t="array" ref="E67">xlookup($G67,'données'!$M67:$M3673,'données'!B67:B3673)</f>
        <v>LILLE</v>
      </c>
      <c r="F67" s="43" t="str">
        <f t="array" ref="F67">xlookup($G67,'données'!$M67:$M3673,'données'!J67:J3673)</f>
        <v>LP</v>
      </c>
      <c r="G67" s="44">
        <f>SMALL('données'!M67:M3673,A67)</f>
        <v>69.9</v>
      </c>
    </row>
    <row r="68">
      <c r="A68" s="44">
        <f t="shared" si="1"/>
        <v>67</v>
      </c>
      <c r="B68" s="43" t="str">
        <f t="array" ref="B68">xlookup($G68,'données'!$M68:$M3674,'données'!F68:F3674)</f>
        <v>LYCEE PROFESSIONNEL DU BATIMENT FRANCOIS HENNEBIQUE</v>
      </c>
      <c r="C68" s="43" t="str">
        <f t="array" ref="C68">xlookup($G68,'données'!$M68:$M3674,'données'!I68:I3674)</f>
        <v>public</v>
      </c>
      <c r="D68" s="43" t="str">
        <f t="array" ref="D68">xlookup($G68,'données'!$M68:$M3674,'données'!H68:H3674)</f>
        <v>LIEVIN</v>
      </c>
      <c r="E68" s="43" t="str">
        <f t="array" ref="E68">xlookup($G68,'données'!$M68:$M3674,'données'!B68:B3674)</f>
        <v>LILLE</v>
      </c>
      <c r="F68" s="43" t="str">
        <f t="array" ref="F68">xlookup($G68,'données'!$M68:$M3674,'données'!J68:J3674)</f>
        <v>LP</v>
      </c>
      <c r="G68" s="44">
        <f>SMALL('données'!M68:M3674,A68)</f>
        <v>70</v>
      </c>
    </row>
    <row r="69">
      <c r="A69" s="44">
        <f t="shared" si="1"/>
        <v>68</v>
      </c>
      <c r="B69" s="43" t="str">
        <f t="array" ref="B69">xlookup($G69,'données'!$M69:$M3675,'données'!F69:F3675)</f>
        <v>LYCEE PROFESSIONNEL PRIVE SAINT MICHEL</v>
      </c>
      <c r="C69" s="43" t="str">
        <f t="array" ref="C69">xlookup($G69,'données'!$M69:$M3675,'données'!I69:I3675)</f>
        <v>privé sous contrat</v>
      </c>
      <c r="D69" s="43" t="str">
        <f t="array" ref="D69">xlookup($G69,'données'!$M69:$M3675,'données'!H69:H3675)</f>
        <v>MARSEILLE 5E ARRONDISSEMENT</v>
      </c>
      <c r="E69" s="43" t="str">
        <f t="array" ref="E69">xlookup($G69,'données'!$M69:$M3675,'données'!B69:B3675)</f>
        <v>AIX-MARSEILLE</v>
      </c>
      <c r="F69" s="43" t="str">
        <f t="array" ref="F69">xlookup($G69,'données'!$M69:$M3675,'données'!J69:J3675)</f>
        <v>LP</v>
      </c>
      <c r="G69" s="44">
        <f>SMALL('données'!M69:M3675,A69)</f>
        <v>70.1</v>
      </c>
    </row>
    <row r="70">
      <c r="A70" s="44">
        <f t="shared" si="1"/>
        <v>69</v>
      </c>
      <c r="B70" s="43" t="str">
        <f t="array" ref="B70">xlookup($G70,'données'!$M70:$M3676,'données'!F70:F3676)</f>
        <v>LYCEE PROFESSIONNEL PRIVE SAINT MICHEL</v>
      </c>
      <c r="C70" s="43" t="str">
        <f t="array" ref="C70">xlookup($G70,'données'!$M70:$M3676,'données'!I70:I3676)</f>
        <v>privé sous contrat</v>
      </c>
      <c r="D70" s="43" t="str">
        <f t="array" ref="D70">xlookup($G70,'données'!$M70:$M3676,'données'!H70:H3676)</f>
        <v>MARSEILLE 5E ARRONDISSEMENT</v>
      </c>
      <c r="E70" s="43" t="str">
        <f t="array" ref="E70">xlookup($G70,'données'!$M70:$M3676,'données'!B70:B3676)</f>
        <v>AIX-MARSEILLE</v>
      </c>
      <c r="F70" s="43" t="str">
        <f t="array" ref="F70">xlookup($G70,'données'!$M70:$M3676,'données'!J70:J3676)</f>
        <v>LP</v>
      </c>
      <c r="G70" s="44">
        <f>SMALL('données'!M70:M3676,A70)</f>
        <v>70.1</v>
      </c>
    </row>
    <row r="71">
      <c r="A71" s="44">
        <f t="shared" si="1"/>
        <v>70</v>
      </c>
      <c r="B71" s="43" t="str">
        <f t="array" ref="B71">xlookup($G71,'données'!$M71:$M3677,'données'!F71:F3677)</f>
        <v>LYCEE PROFESSIONNEL ALFRED KASTLER</v>
      </c>
      <c r="C71" s="43" t="str">
        <f t="array" ref="C71">xlookup($G71,'données'!$M71:$M3677,'données'!I71:I3677)</f>
        <v>public</v>
      </c>
      <c r="D71" s="43" t="str">
        <f t="array" ref="D71">xlookup($G71,'données'!$M71:$M3677,'données'!H71:H3677)</f>
        <v>DENAIN</v>
      </c>
      <c r="E71" s="43" t="str">
        <f t="array" ref="E71">xlookup($G71,'données'!$M71:$M3677,'données'!B71:B3677)</f>
        <v>LILLE</v>
      </c>
      <c r="F71" s="43" t="str">
        <f t="array" ref="F71">xlookup($G71,'données'!$M71:$M3677,'données'!J71:J3677)</f>
        <v>LP</v>
      </c>
      <c r="G71" s="44">
        <f>SMALL('données'!M71:M3677,A71)</f>
        <v>70.2</v>
      </c>
    </row>
    <row r="72">
      <c r="A72" s="44">
        <f t="shared" si="1"/>
        <v>71</v>
      </c>
      <c r="B72" s="43" t="str">
        <f t="array" ref="B72">xlookup($G72,'données'!$M72:$M3678,'données'!F72:F3678)</f>
        <v>LYCEE PROFESSIONNEL ALFRED KASTLER</v>
      </c>
      <c r="C72" s="43" t="str">
        <f t="array" ref="C72">xlookup($G72,'données'!$M72:$M3678,'données'!I72:I3678)</f>
        <v>public</v>
      </c>
      <c r="D72" s="43" t="str">
        <f t="array" ref="D72">xlookup($G72,'données'!$M72:$M3678,'données'!H72:H3678)</f>
        <v>DENAIN</v>
      </c>
      <c r="E72" s="43" t="str">
        <f t="array" ref="E72">xlookup($G72,'données'!$M72:$M3678,'données'!B72:B3678)</f>
        <v>LILLE</v>
      </c>
      <c r="F72" s="43" t="str">
        <f t="array" ref="F72">xlookup($G72,'données'!$M72:$M3678,'données'!J72:J3678)</f>
        <v>LP</v>
      </c>
      <c r="G72" s="44">
        <f>SMALL('données'!M72:M3678,A72)</f>
        <v>70.2</v>
      </c>
    </row>
    <row r="73">
      <c r="A73" s="44">
        <f t="shared" si="1"/>
        <v>72</v>
      </c>
      <c r="B73" s="43" t="str">
        <f t="array" ref="B73">xlookup($G73,'données'!$M73:$M3679,'données'!F73:F3679)</f>
        <v>LYCEE PROFESSIONNEL ALFRED KASTLER</v>
      </c>
      <c r="C73" s="43" t="str">
        <f t="array" ref="C73">xlookup($G73,'données'!$M73:$M3679,'données'!I73:I3679)</f>
        <v>public</v>
      </c>
      <c r="D73" s="43" t="str">
        <f t="array" ref="D73">xlookup($G73,'données'!$M73:$M3679,'données'!H73:H3679)</f>
        <v>DENAIN</v>
      </c>
      <c r="E73" s="43" t="str">
        <f t="array" ref="E73">xlookup($G73,'données'!$M73:$M3679,'données'!B73:B3679)</f>
        <v>LILLE</v>
      </c>
      <c r="F73" s="43" t="str">
        <f t="array" ref="F73">xlookup($G73,'données'!$M73:$M3679,'données'!J73:J3679)</f>
        <v>LP</v>
      </c>
      <c r="G73" s="44">
        <f>SMALL('données'!M73:M3679,A73)</f>
        <v>70.2</v>
      </c>
    </row>
    <row r="74">
      <c r="A74" s="44">
        <f t="shared" si="1"/>
        <v>73</v>
      </c>
      <c r="B74" s="43" t="str">
        <f t="array" ref="B74">xlookup($G74,'données'!$M74:$M3680,'données'!F74:F3680)</f>
        <v>LYCEE PROFESSIONNEL LES CANUTS LYCEE DES METIERS DE L ELECTROTECHNIQUE LYCEE DES METIERS DE LA VENTE</v>
      </c>
      <c r="C74" s="43" t="str">
        <f t="array" ref="C74">xlookup($G74,'données'!$M74:$M3680,'données'!I74:I3680)</f>
        <v>public</v>
      </c>
      <c r="D74" s="43" t="str">
        <f t="array" ref="D74">xlookup($G74,'données'!$M74:$M3680,'données'!H74:H3680)</f>
        <v>VAULX EN VELIN</v>
      </c>
      <c r="E74" s="43" t="str">
        <f t="array" ref="E74">xlookup($G74,'données'!$M74:$M3680,'données'!B74:B3680)</f>
        <v>LYON</v>
      </c>
      <c r="F74" s="43" t="str">
        <f t="array" ref="F74">xlookup($G74,'données'!$M74:$M3680,'données'!J74:J3680)</f>
        <v>LP</v>
      </c>
      <c r="G74" s="44">
        <f>SMALL('données'!M74:M3680,A74)</f>
        <v>70.3</v>
      </c>
    </row>
    <row r="75">
      <c r="A75" s="44">
        <f t="shared" si="1"/>
        <v>74</v>
      </c>
      <c r="B75" s="43" t="str">
        <f t="array" ref="B75">xlookup($G75,'données'!$M75:$M3681,'données'!F75:F3681)</f>
        <v>LYCEE PROFESSIONNEL PIERRE MENDES FRANCE LYCEE DES METIERS DES SYSTEMES AUTOMATIQUES ET DE L ELECTRONIQUE COMMUNICANTE</v>
      </c>
      <c r="C75" s="43" t="str">
        <f t="array" ref="C75">xlookup($G75,'données'!$M75:$M3681,'données'!I75:I3681)</f>
        <v>public</v>
      </c>
      <c r="D75" s="43" t="str">
        <f t="array" ref="D75">xlookup($G75,'données'!$M75:$M3681,'données'!H75:H3681)</f>
        <v>BRUAY LA BUISSIERE</v>
      </c>
      <c r="E75" s="43" t="str">
        <f t="array" ref="E75">xlookup($G75,'données'!$M75:$M3681,'données'!B75:B3681)</f>
        <v>LILLE</v>
      </c>
      <c r="F75" s="43" t="str">
        <f t="array" ref="F75">xlookup($G75,'données'!$M75:$M3681,'données'!J75:J3681)</f>
        <v>LP</v>
      </c>
      <c r="G75" s="44">
        <f>SMALL('données'!M75:M3681,A75)</f>
        <v>70.4</v>
      </c>
    </row>
    <row r="76">
      <c r="A76" s="44">
        <f t="shared" si="1"/>
        <v>75</v>
      </c>
      <c r="B76" s="43" t="str">
        <f t="array" ref="B76">xlookup($G76,'données'!$M76:$M3682,'données'!F76:F3682)</f>
        <v>LYCEE PROFESSIONNEL PIERRE MENDES FRANCE LYCEE DES METIERS DES SYSTEMES AUTOMATIQUES ET DE L ELECTRONIQUE COMMUNICANTE</v>
      </c>
      <c r="C76" s="43" t="str">
        <f t="array" ref="C76">xlookup($G76,'données'!$M76:$M3682,'données'!I76:I3682)</f>
        <v>public</v>
      </c>
      <c r="D76" s="43" t="str">
        <f t="array" ref="D76">xlookup($G76,'données'!$M76:$M3682,'données'!H76:H3682)</f>
        <v>BRUAY LA BUISSIERE</v>
      </c>
      <c r="E76" s="43" t="str">
        <f t="array" ref="E76">xlookup($G76,'données'!$M76:$M3682,'données'!B76:B3682)</f>
        <v>LILLE</v>
      </c>
      <c r="F76" s="43" t="str">
        <f t="array" ref="F76">xlookup($G76,'données'!$M76:$M3682,'données'!J76:J3682)</f>
        <v>LP</v>
      </c>
      <c r="G76" s="44">
        <f>SMALL('données'!M76:M3682,A76)</f>
        <v>70.4</v>
      </c>
    </row>
    <row r="77">
      <c r="A77" s="44">
        <f t="shared" si="1"/>
        <v>76</v>
      </c>
      <c r="B77" s="43" t="str">
        <f t="array" ref="B77">xlookup($G77,'données'!$M77:$M3683,'données'!F77:F3683)</f>
        <v>LYCEE PROFESSIONNEL AIME CESAIRE</v>
      </c>
      <c r="C77" s="43" t="str">
        <f t="array" ref="C77">xlookup($G77,'données'!$M77:$M3683,'données'!I77:I3683)</f>
        <v>public</v>
      </c>
      <c r="D77" s="43" t="str">
        <f t="array" ref="D77">xlookup($G77,'données'!$M77:$M3683,'données'!H77:H3683)</f>
        <v>LILLE</v>
      </c>
      <c r="E77" s="43" t="str">
        <f t="array" ref="E77">xlookup($G77,'données'!$M77:$M3683,'données'!B77:B3683)</f>
        <v>LILLE</v>
      </c>
      <c r="F77" s="43" t="str">
        <f t="array" ref="F77">xlookup($G77,'données'!$M77:$M3683,'données'!J77:J3683)</f>
        <v>LP</v>
      </c>
      <c r="G77" s="44">
        <f>SMALL('données'!M77:M3683,A77)</f>
        <v>70.5</v>
      </c>
    </row>
    <row r="78">
      <c r="A78" s="44">
        <f t="shared" si="1"/>
        <v>77</v>
      </c>
      <c r="B78" s="43" t="str">
        <f t="array" ref="B78">xlookup($G78,'données'!$M78:$M3684,'données'!F78:F3684)</f>
        <v>LYCEE PROFESSIONNEL AIME CESAIRE</v>
      </c>
      <c r="C78" s="43" t="str">
        <f t="array" ref="C78">xlookup($G78,'données'!$M78:$M3684,'données'!I78:I3684)</f>
        <v>public</v>
      </c>
      <c r="D78" s="43" t="str">
        <f t="array" ref="D78">xlookup($G78,'données'!$M78:$M3684,'données'!H78:H3684)</f>
        <v>LILLE</v>
      </c>
      <c r="E78" s="43" t="str">
        <f t="array" ref="E78">xlookup($G78,'données'!$M78:$M3684,'données'!B78:B3684)</f>
        <v>LILLE</v>
      </c>
      <c r="F78" s="43" t="str">
        <f t="array" ref="F78">xlookup($G78,'données'!$M78:$M3684,'données'!J78:J3684)</f>
        <v>LP</v>
      </c>
      <c r="G78" s="44">
        <f>SMALL('données'!M78:M3684,A78)</f>
        <v>70.5</v>
      </c>
    </row>
    <row r="79">
      <c r="A79" s="44">
        <f t="shared" si="1"/>
        <v>78</v>
      </c>
      <c r="B79" s="43" t="str">
        <f t="array" ref="B79">xlookup($G79,'données'!$M79:$M3685,'données'!F79:F3685)</f>
        <v>LYCEE PROFESSIONNEL AIME CESAIRE</v>
      </c>
      <c r="C79" s="43" t="str">
        <f t="array" ref="C79">xlookup($G79,'données'!$M79:$M3685,'données'!I79:I3685)</f>
        <v>public</v>
      </c>
      <c r="D79" s="43" t="str">
        <f t="array" ref="D79">xlookup($G79,'données'!$M79:$M3685,'données'!H79:H3685)</f>
        <v>LILLE</v>
      </c>
      <c r="E79" s="43" t="str">
        <f t="array" ref="E79">xlookup($G79,'données'!$M79:$M3685,'données'!B79:B3685)</f>
        <v>LILLE</v>
      </c>
      <c r="F79" s="43" t="str">
        <f t="array" ref="F79">xlookup($G79,'données'!$M79:$M3685,'données'!J79:J3685)</f>
        <v>LP</v>
      </c>
      <c r="G79" s="44">
        <f>SMALL('données'!M79:M3685,A79)</f>
        <v>70.5</v>
      </c>
    </row>
    <row r="80">
      <c r="A80" s="44">
        <f t="shared" si="1"/>
        <v>79</v>
      </c>
      <c r="B80" s="43" t="str">
        <f t="array" ref="B80">xlookup($G80,'données'!$M80:$M3686,'données'!F80:F3686)</f>
        <v>LYCEE PROFESSIONNEL DUCHARMOY LYCEE DES METIERS DU COMMERCE DES SERVICES ET DE L ARTISANAT</v>
      </c>
      <c r="C80" s="43" t="str">
        <f t="array" ref="C80">xlookup($G80,'données'!$M80:$M3686,'données'!I80:I3686)</f>
        <v>public</v>
      </c>
      <c r="D80" s="43" t="str">
        <f t="array" ref="D80">xlookup($G80,'données'!$M80:$M3686,'données'!H80:H3686)</f>
        <v>SAINT CLAUDE</v>
      </c>
      <c r="E80" s="43" t="str">
        <f t="array" ref="E80">xlookup($G80,'données'!$M80:$M3686,'données'!B80:B3686)</f>
        <v>GUADELOUPE</v>
      </c>
      <c r="F80" s="43" t="str">
        <f t="array" ref="F80">xlookup($G80,'données'!$M80:$M3686,'données'!J80:J3686)</f>
        <v>LP</v>
      </c>
      <c r="G80" s="44">
        <f>SMALL('données'!M80:M3686,A80)</f>
        <v>70.6</v>
      </c>
    </row>
    <row r="81">
      <c r="A81" s="44">
        <f t="shared" si="1"/>
        <v>80</v>
      </c>
      <c r="B81" s="43" t="str">
        <f t="array" ref="B81">xlookup($G81,'données'!$M81:$M3687,'données'!F81:F3687)</f>
        <v>LYCEE PROFESSIONNEL FERNAND DEGRUGILLIER</v>
      </c>
      <c r="C81" s="43" t="str">
        <f t="array" ref="C81">xlookup($G81,'données'!$M81:$M3687,'données'!I81:I3687)</f>
        <v>public</v>
      </c>
      <c r="D81" s="43" t="str">
        <f t="array" ref="D81">xlookup($G81,'données'!$M81:$M3687,'données'!H81:H3687)</f>
        <v>AUCHEL</v>
      </c>
      <c r="E81" s="43" t="str">
        <f t="array" ref="E81">xlookup($G81,'données'!$M81:$M3687,'données'!B81:B3687)</f>
        <v>LILLE</v>
      </c>
      <c r="F81" s="43" t="str">
        <f t="array" ref="F81">xlookup($G81,'données'!$M81:$M3687,'données'!J81:J3687)</f>
        <v>LP</v>
      </c>
      <c r="G81" s="44">
        <f>SMALL('données'!M81:M3687,A81)</f>
        <v>70.7</v>
      </c>
    </row>
    <row r="82">
      <c r="A82" s="44">
        <f t="shared" si="1"/>
        <v>81</v>
      </c>
      <c r="B82" s="43" t="str">
        <f t="array" ref="B82">xlookup($G82,'données'!$M82:$M3688,'données'!F82:F3688)</f>
        <v>LYCEE PROFESSIONNEL PIERRE ET MARIE CURIE</v>
      </c>
      <c r="C82" s="43" t="str">
        <f t="array" ref="C82">xlookup($G82,'données'!$M82:$M3688,'données'!I82:I3688)</f>
        <v>public</v>
      </c>
      <c r="D82" s="43" t="str">
        <f t="array" ref="D82">xlookup($G82,'données'!$M82:$M3688,'données'!H82:H3688)</f>
        <v>FREYMING MERLEBACH</v>
      </c>
      <c r="E82" s="43" t="str">
        <f t="array" ref="E82">xlookup($G82,'données'!$M82:$M3688,'données'!B82:B3688)</f>
        <v>NANCY-METZ</v>
      </c>
      <c r="F82" s="43" t="str">
        <f t="array" ref="F82">xlookup($G82,'données'!$M82:$M3688,'données'!J82:J3688)</f>
        <v>LP</v>
      </c>
      <c r="G82" s="44">
        <f>SMALL('données'!M82:M3688,A82)</f>
        <v>70.8</v>
      </c>
    </row>
    <row r="83">
      <c r="A83" s="44">
        <f t="shared" si="1"/>
        <v>82</v>
      </c>
      <c r="B83" s="43" t="str">
        <f t="array" ref="B83">xlookup($G83,'données'!$M83:$M3689,'données'!F83:F3689)</f>
        <v>LYCEE PROFESSIONNEL PIERRE ET MARIE CURIE</v>
      </c>
      <c r="C83" s="43" t="str">
        <f t="array" ref="C83">xlookup($G83,'données'!$M83:$M3689,'données'!I83:I3689)</f>
        <v>public</v>
      </c>
      <c r="D83" s="43" t="str">
        <f t="array" ref="D83">xlookup($G83,'données'!$M83:$M3689,'données'!H83:H3689)</f>
        <v>FREYMING MERLEBACH</v>
      </c>
      <c r="E83" s="43" t="str">
        <f t="array" ref="E83">xlookup($G83,'données'!$M83:$M3689,'données'!B83:B3689)</f>
        <v>NANCY-METZ</v>
      </c>
      <c r="F83" s="43" t="str">
        <f t="array" ref="F83">xlookup($G83,'données'!$M83:$M3689,'données'!J83:J3689)</f>
        <v>LP</v>
      </c>
      <c r="G83" s="44">
        <f>SMALL('données'!M83:M3689,A83)</f>
        <v>70.8</v>
      </c>
    </row>
    <row r="84">
      <c r="A84" s="44">
        <f t="shared" si="1"/>
        <v>83</v>
      </c>
      <c r="B84" s="43" t="str">
        <f t="array" ref="B84">xlookup($G84,'données'!$M84:$M3690,'données'!F84:F3690)</f>
        <v>LYCEE PROFESSIONNEL SEVIGNE LYCEE DES METIERS</v>
      </c>
      <c r="C84" s="43" t="str">
        <f t="array" ref="C84">xlookup($G84,'données'!$M84:$M3690,'données'!I84:I3690)</f>
        <v>public</v>
      </c>
      <c r="D84" s="43" t="str">
        <f t="array" ref="D84">xlookup($G84,'données'!$M84:$M3690,'données'!H84:H3690)</f>
        <v>TOURCOING</v>
      </c>
      <c r="E84" s="43" t="str">
        <f t="array" ref="E84">xlookup($G84,'données'!$M84:$M3690,'données'!B84:B3690)</f>
        <v>LILLE</v>
      </c>
      <c r="F84" s="43" t="str">
        <f t="array" ref="F84">xlookup($G84,'données'!$M84:$M3690,'données'!J84:J3690)</f>
        <v>LP</v>
      </c>
      <c r="G84" s="44">
        <f>SMALL('données'!M84:M3690,A84)</f>
        <v>70.9</v>
      </c>
    </row>
    <row r="85">
      <c r="A85" s="44">
        <f t="shared" si="1"/>
        <v>84</v>
      </c>
      <c r="B85" s="43" t="str">
        <f t="array" ref="B85">xlookup($G85,'données'!$M85:$M3691,'données'!F85:F3691)</f>
        <v>LYCEE GENERAL ET TECHNOLOGIQUE PRIVE AL KINDI</v>
      </c>
      <c r="C85" s="43" t="str">
        <f t="array" ref="C85">xlookup($G85,'données'!$M85:$M3691,'données'!I85:I3691)</f>
        <v>privé sous contrat</v>
      </c>
      <c r="D85" s="43" t="str">
        <f t="array" ref="D85">xlookup($G85,'données'!$M85:$M3691,'données'!H85:H3691)</f>
        <v>DECINES CHARPIEU</v>
      </c>
      <c r="E85" s="43" t="str">
        <f t="array" ref="E85">xlookup($G85,'données'!$M85:$M3691,'données'!B85:B3691)</f>
        <v>LYON</v>
      </c>
      <c r="F85" s="43" t="str">
        <f t="array" ref="F85">xlookup($G85,'données'!$M85:$M3691,'données'!J85:J3691)</f>
        <v>LEGT</v>
      </c>
      <c r="G85" s="44">
        <f>SMALL('données'!M85:M3691,A85)</f>
        <v>71</v>
      </c>
    </row>
    <row r="86">
      <c r="A86" s="44">
        <f t="shared" si="1"/>
        <v>85</v>
      </c>
      <c r="B86" s="43" t="str">
        <f t="array" ref="B86">xlookup($G86,'données'!$M86:$M3692,'données'!F86:F3692)</f>
        <v>LYCEE GENERAL ET TECHNOLOGIQUE PRIVE AL KINDI</v>
      </c>
      <c r="C86" s="43" t="str">
        <f t="array" ref="C86">xlookup($G86,'données'!$M86:$M3692,'données'!I86:I3692)</f>
        <v>privé sous contrat</v>
      </c>
      <c r="D86" s="43" t="str">
        <f t="array" ref="D86">xlookup($G86,'données'!$M86:$M3692,'données'!H86:H3692)</f>
        <v>DECINES CHARPIEU</v>
      </c>
      <c r="E86" s="43" t="str">
        <f t="array" ref="E86">xlookup($G86,'données'!$M86:$M3692,'données'!B86:B3692)</f>
        <v>LYON</v>
      </c>
      <c r="F86" s="43" t="str">
        <f t="array" ref="F86">xlookup($G86,'données'!$M86:$M3692,'données'!J86:J3692)</f>
        <v>LEGT</v>
      </c>
      <c r="G86" s="44">
        <f>SMALL('données'!M86:M3692,A86)</f>
        <v>71</v>
      </c>
    </row>
    <row r="87">
      <c r="A87" s="44">
        <f t="shared" si="1"/>
        <v>86</v>
      </c>
      <c r="B87" s="43" t="str">
        <f t="array" ref="B87">xlookup($G87,'données'!$M87:$M3693,'données'!F87:F3693)</f>
        <v>LYCEE GENERAL ET TECHNOLOGIQUE PRIVE AL KINDI</v>
      </c>
      <c r="C87" s="43" t="str">
        <f t="array" ref="C87">xlookup($G87,'données'!$M87:$M3693,'données'!I87:I3693)</f>
        <v>privé sous contrat</v>
      </c>
      <c r="D87" s="43" t="str">
        <f t="array" ref="D87">xlookup($G87,'données'!$M87:$M3693,'données'!H87:H3693)</f>
        <v>DECINES CHARPIEU</v>
      </c>
      <c r="E87" s="43" t="str">
        <f t="array" ref="E87">xlookup($G87,'données'!$M87:$M3693,'données'!B87:B3693)</f>
        <v>LYON</v>
      </c>
      <c r="F87" s="43" t="str">
        <f t="array" ref="F87">xlookup($G87,'données'!$M87:$M3693,'données'!J87:J3693)</f>
        <v>LEGT</v>
      </c>
      <c r="G87" s="44">
        <f>SMALL('données'!M87:M3693,A87)</f>
        <v>71</v>
      </c>
    </row>
    <row r="88">
      <c r="A88" s="44">
        <f t="shared" si="1"/>
        <v>87</v>
      </c>
      <c r="B88" s="43" t="str">
        <f t="array" ref="B88">xlookup($G88,'données'!$M88:$M3694,'données'!F88:F3694)</f>
        <v>LYCEE PROFESSIONNEL AMPERE</v>
      </c>
      <c r="C88" s="43" t="str">
        <f t="array" ref="C88">xlookup($G88,'données'!$M88:$M3694,'données'!I88:I3694)</f>
        <v>public</v>
      </c>
      <c r="D88" s="43" t="str">
        <f t="array" ref="D88">xlookup($G88,'données'!$M88:$M3694,'données'!H88:H3694)</f>
        <v>MARSEILLE 10E ARRONDISSEMENT</v>
      </c>
      <c r="E88" s="43" t="str">
        <f t="array" ref="E88">xlookup($G88,'données'!$M88:$M3694,'données'!B88:B3694)</f>
        <v>AIX-MARSEILLE</v>
      </c>
      <c r="F88" s="43" t="str">
        <f t="array" ref="F88">xlookup($G88,'données'!$M88:$M3694,'données'!J88:J3694)</f>
        <v>LP</v>
      </c>
      <c r="G88" s="44">
        <f>SMALL('données'!M88:M3694,A88)</f>
        <v>71.1</v>
      </c>
    </row>
    <row r="89">
      <c r="A89" s="44">
        <f t="shared" si="1"/>
        <v>88</v>
      </c>
      <c r="B89" s="43" t="str">
        <f t="array" ref="B89">xlookup($G89,'données'!$M89:$M3695,'données'!F89:F3695)</f>
        <v>LYCEE PROFESSIONNEL AMPERE</v>
      </c>
      <c r="C89" s="43" t="str">
        <f t="array" ref="C89">xlookup($G89,'données'!$M89:$M3695,'données'!I89:I3695)</f>
        <v>public</v>
      </c>
      <c r="D89" s="43" t="str">
        <f t="array" ref="D89">xlookup($G89,'données'!$M89:$M3695,'données'!H89:H3695)</f>
        <v>MARSEILLE 10E ARRONDISSEMENT</v>
      </c>
      <c r="E89" s="43" t="str">
        <f t="array" ref="E89">xlookup($G89,'données'!$M89:$M3695,'données'!B89:B3695)</f>
        <v>AIX-MARSEILLE</v>
      </c>
      <c r="F89" s="43" t="str">
        <f t="array" ref="F89">xlookup($G89,'données'!$M89:$M3695,'données'!J89:J3695)</f>
        <v>LP</v>
      </c>
      <c r="G89" s="44">
        <f>SMALL('données'!M89:M3695,A89)</f>
        <v>71.1</v>
      </c>
    </row>
    <row r="90">
      <c r="A90" s="44">
        <f t="shared" si="1"/>
        <v>89</v>
      </c>
      <c r="B90" s="43" t="str">
        <f t="array" ref="B90">xlookup($G90,'données'!$M90:$M3696,'données'!F90:F3696)</f>
        <v>LYCEE PROFESSIONNEL L ESTAQUE LYCEE DES METIERS DU NAUTISME ET DE LA SECURITE</v>
      </c>
      <c r="C90" s="43" t="str">
        <f t="array" ref="C90">xlookup($G90,'données'!$M90:$M3696,'données'!I90:I3696)</f>
        <v>public</v>
      </c>
      <c r="D90" s="43" t="str">
        <f t="array" ref="D90">xlookup($G90,'données'!$M90:$M3696,'données'!H90:H3696)</f>
        <v>MARSEILLE 16E ARRONDISSEMENT</v>
      </c>
      <c r="E90" s="43" t="str">
        <f t="array" ref="E90">xlookup($G90,'données'!$M90:$M3696,'données'!B90:B3696)</f>
        <v>AIX-MARSEILLE</v>
      </c>
      <c r="F90" s="43" t="str">
        <f t="array" ref="F90">xlookup($G90,'données'!$M90:$M3696,'données'!J90:J3696)</f>
        <v>LP</v>
      </c>
      <c r="G90" s="44">
        <f>SMALL('données'!M90:M3696,A90)</f>
        <v>71.2</v>
      </c>
    </row>
    <row r="91">
      <c r="A91" s="44">
        <f t="shared" si="1"/>
        <v>90</v>
      </c>
      <c r="B91" s="43" t="str">
        <f t="array" ref="B91">xlookup($G91,'données'!$M91:$M3697,'données'!F91:F3697)</f>
        <v>LYCEE PROFESSIONNEL L ESTAQUE LYCEE DES METIERS DU NAUTISME ET DE LA SECURITE</v>
      </c>
      <c r="C91" s="43" t="str">
        <f t="array" ref="C91">xlookup($G91,'données'!$M91:$M3697,'données'!I91:I3697)</f>
        <v>public</v>
      </c>
      <c r="D91" s="43" t="str">
        <f t="array" ref="D91">xlookup($G91,'données'!$M91:$M3697,'données'!H91:H3697)</f>
        <v>MARSEILLE 16E ARRONDISSEMENT</v>
      </c>
      <c r="E91" s="43" t="str">
        <f t="array" ref="E91">xlookup($G91,'données'!$M91:$M3697,'données'!B91:B3697)</f>
        <v>AIX-MARSEILLE</v>
      </c>
      <c r="F91" s="43" t="str">
        <f t="array" ref="F91">xlookup($G91,'données'!$M91:$M3697,'données'!J91:J3697)</f>
        <v>LP</v>
      </c>
      <c r="G91" s="44">
        <f>SMALL('données'!M91:M3697,A91)</f>
        <v>71.2</v>
      </c>
    </row>
    <row r="92">
      <c r="A92" s="44">
        <f t="shared" si="1"/>
        <v>91</v>
      </c>
      <c r="B92" s="43" t="str">
        <f t="array" ref="B92">xlookup($G92,'données'!$M92:$M3698,'données'!F92:F3698)</f>
        <v>LYCEE PROFESSIONNEL L ESTAQUE LYCEE DES METIERS DU NAUTISME ET DE LA SECURITE</v>
      </c>
      <c r="C92" s="43" t="str">
        <f t="array" ref="C92">xlookup($G92,'données'!$M92:$M3698,'données'!I92:I3698)</f>
        <v>public</v>
      </c>
      <c r="D92" s="43" t="str">
        <f t="array" ref="D92">xlookup($G92,'données'!$M92:$M3698,'données'!H92:H3698)</f>
        <v>MARSEILLE 16E ARRONDISSEMENT</v>
      </c>
      <c r="E92" s="43" t="str">
        <f t="array" ref="E92">xlookup($G92,'données'!$M92:$M3698,'données'!B92:B3698)</f>
        <v>AIX-MARSEILLE</v>
      </c>
      <c r="F92" s="43" t="str">
        <f t="array" ref="F92">xlookup($G92,'données'!$M92:$M3698,'données'!J92:J3698)</f>
        <v>LP</v>
      </c>
      <c r="G92" s="44">
        <f>SMALL('données'!M92:M3698,A92)</f>
        <v>71.2</v>
      </c>
    </row>
    <row r="93">
      <c r="A93" s="44">
        <f t="shared" si="1"/>
        <v>92</v>
      </c>
      <c r="B93" s="43" t="str">
        <f t="array" ref="B93">xlookup($G93,'données'!$M93:$M3699,'données'!F93:F3699)</f>
        <v>LYCEE PROFESSIONNEL L ESTAQUE LYCEE DES METIERS DU NAUTISME ET DE LA SECURITE</v>
      </c>
      <c r="C93" s="43" t="str">
        <f t="array" ref="C93">xlookup($G93,'données'!$M93:$M3699,'données'!I93:I3699)</f>
        <v>public</v>
      </c>
      <c r="D93" s="43" t="str">
        <f t="array" ref="D93">xlookup($G93,'données'!$M93:$M3699,'données'!H93:H3699)</f>
        <v>MARSEILLE 16E ARRONDISSEMENT</v>
      </c>
      <c r="E93" s="43" t="str">
        <f t="array" ref="E93">xlookup($G93,'données'!$M93:$M3699,'données'!B93:B3699)</f>
        <v>AIX-MARSEILLE</v>
      </c>
      <c r="F93" s="43" t="str">
        <f t="array" ref="F93">xlookup($G93,'données'!$M93:$M3699,'données'!J93:J3699)</f>
        <v>LP</v>
      </c>
      <c r="G93" s="44">
        <f>SMALL('données'!M93:M3699,A93)</f>
        <v>71.2</v>
      </c>
    </row>
    <row r="94">
      <c r="A94" s="44">
        <f t="shared" si="1"/>
        <v>93</v>
      </c>
      <c r="B94" s="43" t="str">
        <f t="array" ref="B94">xlookup($G94,'données'!$M94:$M3700,'données'!F94:F3700)</f>
        <v>LYCEE PROFESSIONNEL FRANCOIS RABELAIS</v>
      </c>
      <c r="C94" s="43" t="str">
        <f t="array" ref="C94">xlookup($G94,'données'!$M94:$M3700,'données'!I94:I3700)</f>
        <v>public</v>
      </c>
      <c r="D94" s="43" t="str">
        <f t="array" ref="D94">xlookup($G94,'données'!$M94:$M3700,'données'!H94:H3700)</f>
        <v>DOUAI</v>
      </c>
      <c r="E94" s="43" t="str">
        <f t="array" ref="E94">xlookup($G94,'données'!$M94:$M3700,'données'!B94:B3700)</f>
        <v>LILLE</v>
      </c>
      <c r="F94" s="43" t="str">
        <f t="array" ref="F94">xlookup($G94,'données'!$M94:$M3700,'données'!J94:J3700)</f>
        <v>LP</v>
      </c>
      <c r="G94" s="44">
        <f>SMALL('données'!M94:M3700,A94)</f>
        <v>71.3</v>
      </c>
    </row>
    <row r="95">
      <c r="A95" s="44">
        <f t="shared" si="1"/>
        <v>94</v>
      </c>
      <c r="B95" s="43" t="str">
        <f t="array" ref="B95">xlookup($G95,'données'!$M95:$M3701,'données'!F95:F3701)</f>
        <v>LYCEE PROFESSIONNEL PIERRE ET MARIE CURIE</v>
      </c>
      <c r="C95" s="43" t="str">
        <f t="array" ref="C95">xlookup($G95,'données'!$M95:$M3701,'données'!I95:I3701)</f>
        <v>public</v>
      </c>
      <c r="D95" s="43" t="str">
        <f t="array" ref="D95">xlookup($G95,'données'!$M95:$M3701,'données'!H95:H3701)</f>
        <v>AULNOYE AYMERIES</v>
      </c>
      <c r="E95" s="43" t="str">
        <f t="array" ref="E95">xlookup($G95,'données'!$M95:$M3701,'données'!B95:B3701)</f>
        <v>LILLE</v>
      </c>
      <c r="F95" s="43" t="str">
        <f t="array" ref="F95">xlookup($G95,'données'!$M95:$M3701,'données'!J95:J3701)</f>
        <v>LP</v>
      </c>
      <c r="G95" s="44">
        <f>SMALL('données'!M95:M3701,A95)</f>
        <v>71.4</v>
      </c>
    </row>
    <row r="96">
      <c r="A96" s="44">
        <f t="shared" si="1"/>
        <v>95</v>
      </c>
      <c r="B96" s="43" t="str">
        <f t="array" ref="B96">xlookup($G96,'données'!$M96:$M3702,'données'!F96:F3702)</f>
        <v>LYCEE POLYVALENT ARTHUR RIMBAUD LYCEE DE METIERS DE L AUTOMOBILE DU COMMERCE ET DE LA LOGISTIQUE</v>
      </c>
      <c r="C96" s="43" t="str">
        <f t="array" ref="C96">xlookup($G96,'données'!$M96:$M3702,'données'!I96:I3702)</f>
        <v>public</v>
      </c>
      <c r="D96" s="43" t="str">
        <f t="array" ref="D96">xlookup($G96,'données'!$M96:$M3702,'données'!H96:H3702)</f>
        <v>GARGES LES GONESSE</v>
      </c>
      <c r="E96" s="43" t="str">
        <f t="array" ref="E96">xlookup($G96,'données'!$M96:$M3702,'données'!B96:B3702)</f>
        <v>VERSAILLES</v>
      </c>
      <c r="F96" s="43" t="str">
        <f t="array" ref="F96">xlookup($G96,'données'!$M96:$M3702,'données'!J96:J3702)</f>
        <v>LPO</v>
      </c>
      <c r="G96" s="44">
        <f>SMALL('données'!M96:M3702,A96)</f>
        <v>71.6</v>
      </c>
    </row>
    <row r="97">
      <c r="A97" s="44">
        <f t="shared" si="1"/>
        <v>96</v>
      </c>
      <c r="B97" s="43" t="str">
        <f t="array" ref="B97">xlookup($G97,'données'!$M97:$M3703,'données'!F97:F3703)</f>
        <v>LYCEE POLYVALENT ARTHUR RIMBAUD LYCEE DE METIERS DE L AUTOMOBILE DU COMMERCE ET DE LA LOGISTIQUE</v>
      </c>
      <c r="C97" s="43" t="str">
        <f t="array" ref="C97">xlookup($G97,'données'!$M97:$M3703,'données'!I97:I3703)</f>
        <v>public</v>
      </c>
      <c r="D97" s="43" t="str">
        <f t="array" ref="D97">xlookup($G97,'données'!$M97:$M3703,'données'!H97:H3703)</f>
        <v>GARGES LES GONESSE</v>
      </c>
      <c r="E97" s="43" t="str">
        <f t="array" ref="E97">xlookup($G97,'données'!$M97:$M3703,'données'!B97:B3703)</f>
        <v>VERSAILLES</v>
      </c>
      <c r="F97" s="43" t="str">
        <f t="array" ref="F97">xlookup($G97,'données'!$M97:$M3703,'données'!J97:J3703)</f>
        <v>LPO</v>
      </c>
      <c r="G97" s="44">
        <f>SMALL('données'!M97:M3703,A97)</f>
        <v>71.6</v>
      </c>
    </row>
    <row r="98">
      <c r="A98" s="44">
        <f t="shared" si="1"/>
        <v>97</v>
      </c>
      <c r="B98" s="43" t="str">
        <f t="array" ref="B98">xlookup($G98,'données'!$M98:$M3704,'données'!F98:F3704)</f>
        <v>LYCEE POLYVALENT ARTHUR RIMBAUD LYCEE DE METIERS DE L AUTOMOBILE DU COMMERCE ET DE LA LOGISTIQUE</v>
      </c>
      <c r="C98" s="43" t="str">
        <f t="array" ref="C98">xlookup($G98,'données'!$M98:$M3704,'données'!I98:I3704)</f>
        <v>public</v>
      </c>
      <c r="D98" s="43" t="str">
        <f t="array" ref="D98">xlookup($G98,'données'!$M98:$M3704,'données'!H98:H3704)</f>
        <v>GARGES LES GONESSE</v>
      </c>
      <c r="E98" s="43" t="str">
        <f t="array" ref="E98">xlookup($G98,'données'!$M98:$M3704,'données'!B98:B3704)</f>
        <v>VERSAILLES</v>
      </c>
      <c r="F98" s="43" t="str">
        <f t="array" ref="F98">xlookup($G98,'données'!$M98:$M3704,'données'!J98:J3704)</f>
        <v>LPO</v>
      </c>
      <c r="G98" s="44">
        <f>SMALL('données'!M98:M3704,A98)</f>
        <v>71.6</v>
      </c>
    </row>
    <row r="99">
      <c r="A99" s="44">
        <f t="shared" si="1"/>
        <v>98</v>
      </c>
      <c r="B99" s="43" t="str">
        <f t="array" ref="B99">xlookup($G99,'données'!$M99:$M3705,'données'!F99:F3705)</f>
        <v>LYCEE POLYVALENT ARTHUR RIMBAUD LYCEE DE METIERS DE L AUTOMOBILE DU COMMERCE ET DE LA LOGISTIQUE</v>
      </c>
      <c r="C99" s="43" t="str">
        <f t="array" ref="C99">xlookup($G99,'données'!$M99:$M3705,'données'!I99:I3705)</f>
        <v>public</v>
      </c>
      <c r="D99" s="43" t="str">
        <f t="array" ref="D99">xlookup($G99,'données'!$M99:$M3705,'données'!H99:H3705)</f>
        <v>GARGES LES GONESSE</v>
      </c>
      <c r="E99" s="43" t="str">
        <f t="array" ref="E99">xlookup($G99,'données'!$M99:$M3705,'données'!B99:B3705)</f>
        <v>VERSAILLES</v>
      </c>
      <c r="F99" s="43" t="str">
        <f t="array" ref="F99">xlookup($G99,'données'!$M99:$M3705,'données'!J99:J3705)</f>
        <v>LPO</v>
      </c>
      <c r="G99" s="44">
        <f>SMALL('données'!M99:M3705,A99)</f>
        <v>71.6</v>
      </c>
    </row>
    <row r="100">
      <c r="A100" s="44">
        <f t="shared" si="1"/>
        <v>99</v>
      </c>
      <c r="B100" s="43" t="str">
        <f t="array" ref="B100">xlookup($G100,'données'!$M100:$M3706,'données'!F100:F3706)</f>
        <v>LYCEE PROFESSIONNEL JEAN PIERRE TIMBAUD</v>
      </c>
      <c r="C100" s="43" t="str">
        <f t="array" ref="C100">xlookup($G100,'données'!$M100:$M3706,'données'!I100:I3706)</f>
        <v>public</v>
      </c>
      <c r="D100" s="43" t="str">
        <f t="array" ref="D100">xlookup($G100,'données'!$M100:$M3706,'données'!H100:H3706)</f>
        <v>AUBERVILLIERS</v>
      </c>
      <c r="E100" s="43" t="str">
        <f t="array" ref="E100">xlookup($G100,'données'!$M100:$M3706,'données'!B100:B3706)</f>
        <v>CRETEIL</v>
      </c>
      <c r="F100" s="43" t="str">
        <f t="array" ref="F100">xlookup($G100,'données'!$M100:$M3706,'données'!J100:J3706)</f>
        <v>LPO</v>
      </c>
      <c r="G100" s="44">
        <f>SMALL('données'!M100:M3706,A100)</f>
        <v>71.7</v>
      </c>
    </row>
    <row r="101">
      <c r="A101" s="44">
        <f t="shared" si="1"/>
        <v>100</v>
      </c>
      <c r="B101" s="43" t="str">
        <f t="array" ref="B101">xlookup($G101,'données'!$M101:$M3707,'données'!F101:F3707)</f>
        <v>LYCEE PROFESSIONNEL JEAN PIERRE TIMBAUD</v>
      </c>
      <c r="C101" s="43" t="str">
        <f t="array" ref="C101">xlookup($G101,'données'!$M101:$M3707,'données'!I101:I3707)</f>
        <v>public</v>
      </c>
      <c r="D101" s="43" t="str">
        <f t="array" ref="D101">xlookup($G101,'données'!$M101:$M3707,'données'!H101:H3707)</f>
        <v>AUBERVILLIERS</v>
      </c>
      <c r="E101" s="43" t="str">
        <f t="array" ref="E101">xlookup($G101,'données'!$M101:$M3707,'données'!B101:B3707)</f>
        <v>CRETEIL</v>
      </c>
      <c r="F101" s="43" t="str">
        <f t="array" ref="F101">xlookup($G101,'données'!$M101:$M3707,'données'!J101:J3707)</f>
        <v>LPO</v>
      </c>
      <c r="G101" s="44">
        <f>SMALL('données'!M101:M3707,A101)</f>
        <v>71.7</v>
      </c>
    </row>
    <row r="102">
      <c r="A102" s="10"/>
      <c r="F102" s="10"/>
      <c r="G102" s="10"/>
    </row>
    <row r="103">
      <c r="A103" s="10"/>
      <c r="F103" s="10"/>
      <c r="G103" s="10"/>
    </row>
    <row r="104">
      <c r="A104" s="10"/>
      <c r="F104" s="10"/>
      <c r="G104" s="10"/>
    </row>
    <row r="105">
      <c r="A105" s="10"/>
      <c r="F105" s="10"/>
      <c r="G105" s="10"/>
    </row>
    <row r="106">
      <c r="A106" s="10"/>
      <c r="F106" s="10"/>
      <c r="G106" s="10"/>
    </row>
    <row r="107">
      <c r="A107" s="10"/>
      <c r="F107" s="10"/>
      <c r="G107" s="10"/>
    </row>
    <row r="108">
      <c r="A108" s="10"/>
      <c r="F108" s="10"/>
      <c r="G108" s="10"/>
    </row>
    <row r="109">
      <c r="A109" s="10"/>
      <c r="F109" s="10"/>
      <c r="G109" s="10"/>
    </row>
    <row r="110">
      <c r="A110" s="10"/>
      <c r="F110" s="10"/>
      <c r="G110" s="10"/>
    </row>
    <row r="111">
      <c r="A111" s="10"/>
      <c r="F111" s="10"/>
      <c r="G111" s="10"/>
    </row>
    <row r="112">
      <c r="A112" s="10"/>
      <c r="F112" s="10"/>
      <c r="G112" s="10"/>
    </row>
    <row r="113">
      <c r="A113" s="10"/>
      <c r="F113" s="10"/>
      <c r="G113" s="10"/>
    </row>
    <row r="114">
      <c r="A114" s="10"/>
      <c r="F114" s="10"/>
      <c r="G114" s="10"/>
    </row>
    <row r="115">
      <c r="A115" s="10"/>
      <c r="F115" s="10"/>
      <c r="G115" s="10"/>
    </row>
    <row r="116">
      <c r="A116" s="10"/>
      <c r="F116" s="10"/>
      <c r="G116" s="10"/>
    </row>
    <row r="117">
      <c r="A117" s="10"/>
      <c r="F117" s="10"/>
      <c r="G117" s="10"/>
    </row>
    <row r="118">
      <c r="A118" s="10"/>
      <c r="F118" s="10"/>
      <c r="G118" s="10"/>
    </row>
    <row r="119">
      <c r="A119" s="10"/>
      <c r="F119" s="10"/>
      <c r="G119" s="10"/>
    </row>
    <row r="120">
      <c r="A120" s="10"/>
      <c r="F120" s="10"/>
      <c r="G120" s="10"/>
    </row>
    <row r="121">
      <c r="A121" s="10"/>
      <c r="F121" s="10"/>
      <c r="G121" s="10"/>
    </row>
    <row r="122">
      <c r="A122" s="10"/>
      <c r="F122" s="10"/>
      <c r="G122" s="10"/>
    </row>
    <row r="123">
      <c r="A123" s="10"/>
      <c r="F123" s="10"/>
      <c r="G123" s="10"/>
    </row>
    <row r="124">
      <c r="A124" s="10"/>
      <c r="F124" s="10"/>
      <c r="G124" s="10"/>
    </row>
    <row r="125">
      <c r="A125" s="10"/>
      <c r="F125" s="10"/>
      <c r="G125" s="10"/>
    </row>
    <row r="126">
      <c r="A126" s="10"/>
      <c r="F126" s="10"/>
      <c r="G126" s="10"/>
    </row>
    <row r="127">
      <c r="A127" s="10"/>
      <c r="F127" s="10"/>
      <c r="G127" s="10"/>
    </row>
    <row r="128">
      <c r="A128" s="10"/>
      <c r="F128" s="10"/>
      <c r="G128" s="10"/>
    </row>
    <row r="129">
      <c r="A129" s="10"/>
      <c r="F129" s="10"/>
      <c r="G129" s="10"/>
    </row>
    <row r="130">
      <c r="A130" s="10"/>
      <c r="F130" s="10"/>
      <c r="G130" s="10"/>
    </row>
    <row r="131">
      <c r="A131" s="10"/>
      <c r="F131" s="10"/>
      <c r="G131" s="10"/>
    </row>
    <row r="132">
      <c r="A132" s="10"/>
      <c r="F132" s="10"/>
      <c r="G132" s="10"/>
    </row>
    <row r="133">
      <c r="A133" s="10"/>
      <c r="F133" s="10"/>
      <c r="G133" s="10"/>
    </row>
    <row r="134">
      <c r="A134" s="10"/>
      <c r="F134" s="10"/>
      <c r="G134" s="10"/>
    </row>
    <row r="135">
      <c r="A135" s="10"/>
      <c r="F135" s="10"/>
      <c r="G135" s="10"/>
    </row>
    <row r="136">
      <c r="A136" s="10"/>
      <c r="F136" s="10"/>
      <c r="G136" s="10"/>
    </row>
    <row r="137">
      <c r="A137" s="10"/>
      <c r="F137" s="10"/>
      <c r="G137" s="10"/>
    </row>
    <row r="138">
      <c r="A138" s="10"/>
      <c r="F138" s="10"/>
      <c r="G138" s="10"/>
    </row>
    <row r="139">
      <c r="A139" s="10"/>
      <c r="F139" s="10"/>
      <c r="G139" s="10"/>
    </row>
    <row r="140">
      <c r="A140" s="10"/>
      <c r="F140" s="10"/>
      <c r="G140" s="10"/>
    </row>
    <row r="141">
      <c r="A141" s="10"/>
      <c r="F141" s="10"/>
      <c r="G141" s="10"/>
    </row>
    <row r="142">
      <c r="A142" s="10"/>
      <c r="F142" s="10"/>
      <c r="G142" s="10"/>
    </row>
    <row r="143">
      <c r="A143" s="10"/>
      <c r="F143" s="10"/>
      <c r="G143" s="10"/>
    </row>
    <row r="144">
      <c r="A144" s="10"/>
      <c r="F144" s="10"/>
      <c r="G144" s="10"/>
    </row>
    <row r="145">
      <c r="A145" s="10"/>
      <c r="F145" s="10"/>
      <c r="G145" s="10"/>
    </row>
    <row r="146">
      <c r="A146" s="10"/>
      <c r="F146" s="10"/>
      <c r="G146" s="10"/>
    </row>
    <row r="147">
      <c r="A147" s="10"/>
      <c r="F147" s="10"/>
      <c r="G147" s="10"/>
    </row>
    <row r="148">
      <c r="A148" s="10"/>
      <c r="F148" s="10"/>
      <c r="G148" s="10"/>
    </row>
    <row r="149">
      <c r="A149" s="10"/>
      <c r="F149" s="10"/>
      <c r="G149" s="10"/>
    </row>
    <row r="150">
      <c r="A150" s="10"/>
      <c r="F150" s="10"/>
      <c r="G150" s="10"/>
    </row>
    <row r="151">
      <c r="A151" s="10"/>
      <c r="F151" s="10"/>
      <c r="G151" s="10"/>
    </row>
    <row r="152">
      <c r="A152" s="10"/>
      <c r="F152" s="10"/>
      <c r="G152" s="10"/>
    </row>
    <row r="153">
      <c r="A153" s="10"/>
      <c r="F153" s="10"/>
      <c r="G153" s="10"/>
    </row>
    <row r="154">
      <c r="A154" s="10"/>
      <c r="F154" s="10"/>
      <c r="G154" s="10"/>
    </row>
    <row r="155">
      <c r="A155" s="10"/>
      <c r="F155" s="10"/>
      <c r="G155" s="10"/>
    </row>
    <row r="156">
      <c r="A156" s="10"/>
      <c r="F156" s="10"/>
      <c r="G156" s="10"/>
    </row>
    <row r="157">
      <c r="A157" s="10"/>
      <c r="F157" s="10"/>
      <c r="G157" s="10"/>
    </row>
    <row r="158">
      <c r="A158" s="10"/>
      <c r="F158" s="10"/>
      <c r="G158" s="10"/>
    </row>
    <row r="159">
      <c r="A159" s="10"/>
      <c r="F159" s="10"/>
      <c r="G159" s="10"/>
    </row>
    <row r="160">
      <c r="A160" s="10"/>
      <c r="F160" s="10"/>
      <c r="G160" s="10"/>
    </row>
    <row r="161">
      <c r="A161" s="10"/>
      <c r="F161" s="10"/>
      <c r="G161" s="10"/>
    </row>
    <row r="162">
      <c r="A162" s="10"/>
      <c r="F162" s="10"/>
      <c r="G162" s="10"/>
    </row>
    <row r="163">
      <c r="A163" s="10"/>
      <c r="F163" s="10"/>
      <c r="G163" s="10"/>
    </row>
    <row r="164">
      <c r="A164" s="10"/>
      <c r="F164" s="10"/>
      <c r="G164" s="10"/>
    </row>
    <row r="165">
      <c r="A165" s="10"/>
      <c r="F165" s="10"/>
      <c r="G165" s="10"/>
    </row>
    <row r="166">
      <c r="A166" s="10"/>
      <c r="F166" s="10"/>
      <c r="G166" s="10"/>
    </row>
    <row r="167">
      <c r="A167" s="10"/>
      <c r="F167" s="10"/>
      <c r="G167" s="10"/>
    </row>
    <row r="168">
      <c r="A168" s="10"/>
      <c r="F168" s="10"/>
      <c r="G168" s="10"/>
    </row>
    <row r="169">
      <c r="A169" s="10"/>
      <c r="F169" s="10"/>
      <c r="G169" s="10"/>
    </row>
    <row r="170">
      <c r="A170" s="10"/>
      <c r="F170" s="10"/>
      <c r="G170" s="10"/>
    </row>
    <row r="171">
      <c r="A171" s="10"/>
      <c r="F171" s="10"/>
      <c r="G171" s="10"/>
    </row>
    <row r="172">
      <c r="A172" s="10"/>
      <c r="F172" s="10"/>
      <c r="G172" s="10"/>
    </row>
    <row r="173">
      <c r="A173" s="10"/>
      <c r="F173" s="10"/>
      <c r="G173" s="10"/>
    </row>
    <row r="174">
      <c r="A174" s="10"/>
      <c r="F174" s="10"/>
      <c r="G174" s="10"/>
    </row>
    <row r="175">
      <c r="A175" s="10"/>
      <c r="F175" s="10"/>
      <c r="G175" s="10"/>
    </row>
    <row r="176">
      <c r="A176" s="10"/>
      <c r="F176" s="10"/>
      <c r="G176" s="10"/>
    </row>
    <row r="177">
      <c r="A177" s="10"/>
      <c r="F177" s="10"/>
      <c r="G177" s="10"/>
    </row>
    <row r="178">
      <c r="A178" s="10"/>
      <c r="F178" s="10"/>
      <c r="G178" s="10"/>
    </row>
    <row r="179">
      <c r="A179" s="10"/>
      <c r="F179" s="10"/>
      <c r="G179" s="10"/>
    </row>
    <row r="180">
      <c r="A180" s="10"/>
      <c r="F180" s="10"/>
      <c r="G180" s="10"/>
    </row>
    <row r="181">
      <c r="A181" s="10"/>
      <c r="F181" s="10"/>
      <c r="G181" s="10"/>
    </row>
    <row r="182">
      <c r="A182" s="10"/>
      <c r="F182" s="10"/>
      <c r="G182" s="10"/>
    </row>
    <row r="183">
      <c r="A183" s="10"/>
      <c r="F183" s="10"/>
      <c r="G183" s="10"/>
    </row>
    <row r="184">
      <c r="A184" s="10"/>
      <c r="F184" s="10"/>
      <c r="G184" s="10"/>
    </row>
    <row r="185">
      <c r="A185" s="10"/>
      <c r="F185" s="10"/>
      <c r="G185" s="10"/>
    </row>
    <row r="186">
      <c r="A186" s="10"/>
      <c r="F186" s="10"/>
      <c r="G186" s="10"/>
    </row>
    <row r="187">
      <c r="A187" s="10"/>
      <c r="F187" s="10"/>
      <c r="G187" s="10"/>
    </row>
    <row r="188">
      <c r="A188" s="10"/>
      <c r="F188" s="10"/>
      <c r="G188" s="10"/>
    </row>
    <row r="189">
      <c r="A189" s="10"/>
      <c r="F189" s="10"/>
      <c r="G189" s="10"/>
    </row>
    <row r="190">
      <c r="A190" s="10"/>
      <c r="F190" s="10"/>
      <c r="G190" s="10"/>
    </row>
    <row r="191">
      <c r="A191" s="10"/>
      <c r="F191" s="10"/>
      <c r="G191" s="10"/>
    </row>
    <row r="192">
      <c r="A192" s="10"/>
      <c r="F192" s="10"/>
      <c r="G192" s="10"/>
    </row>
    <row r="193">
      <c r="A193" s="10"/>
      <c r="F193" s="10"/>
      <c r="G193" s="10"/>
    </row>
    <row r="194">
      <c r="A194" s="10"/>
      <c r="F194" s="10"/>
      <c r="G194" s="10"/>
    </row>
    <row r="195">
      <c r="A195" s="10"/>
      <c r="F195" s="10"/>
      <c r="G195" s="10"/>
    </row>
    <row r="196">
      <c r="A196" s="10"/>
      <c r="F196" s="10"/>
      <c r="G196" s="10"/>
    </row>
    <row r="197">
      <c r="A197" s="10"/>
      <c r="F197" s="10"/>
      <c r="G197" s="10"/>
    </row>
    <row r="198">
      <c r="A198" s="10"/>
      <c r="F198" s="10"/>
      <c r="G198" s="10"/>
    </row>
    <row r="199">
      <c r="A199" s="10"/>
      <c r="F199" s="10"/>
      <c r="G199" s="10"/>
    </row>
    <row r="200">
      <c r="A200" s="10"/>
      <c r="F200" s="10"/>
      <c r="G200" s="10"/>
    </row>
    <row r="201">
      <c r="A201" s="10"/>
      <c r="F201" s="10"/>
      <c r="G201" s="10"/>
    </row>
    <row r="202">
      <c r="A202" s="10"/>
      <c r="F202" s="10"/>
      <c r="G202" s="10"/>
    </row>
    <row r="203">
      <c r="A203" s="10"/>
      <c r="F203" s="10"/>
      <c r="G203" s="10"/>
    </row>
    <row r="204">
      <c r="A204" s="10"/>
      <c r="F204" s="10"/>
      <c r="G204" s="10"/>
    </row>
    <row r="205">
      <c r="A205" s="10"/>
      <c r="F205" s="10"/>
      <c r="G205" s="10"/>
    </row>
    <row r="206">
      <c r="A206" s="10"/>
      <c r="F206" s="10"/>
      <c r="G206" s="10"/>
    </row>
    <row r="207">
      <c r="A207" s="10"/>
      <c r="F207" s="10"/>
      <c r="G207" s="10"/>
    </row>
    <row r="208">
      <c r="A208" s="10"/>
      <c r="F208" s="10"/>
      <c r="G208" s="10"/>
    </row>
    <row r="209">
      <c r="A209" s="10"/>
      <c r="F209" s="10"/>
      <c r="G209" s="10"/>
    </row>
    <row r="210">
      <c r="A210" s="10"/>
      <c r="F210" s="10"/>
      <c r="G210" s="10"/>
    </row>
    <row r="211">
      <c r="A211" s="10"/>
      <c r="F211" s="10"/>
      <c r="G211" s="10"/>
    </row>
    <row r="212">
      <c r="A212" s="10"/>
      <c r="F212" s="10"/>
      <c r="G212" s="10"/>
    </row>
    <row r="213">
      <c r="A213" s="10"/>
      <c r="F213" s="10"/>
      <c r="G213" s="10"/>
    </row>
    <row r="214">
      <c r="A214" s="10"/>
      <c r="F214" s="10"/>
      <c r="G214" s="10"/>
    </row>
    <row r="215">
      <c r="A215" s="10"/>
      <c r="F215" s="10"/>
      <c r="G215" s="10"/>
    </row>
    <row r="216">
      <c r="A216" s="10"/>
      <c r="F216" s="10"/>
      <c r="G216" s="10"/>
    </row>
    <row r="217">
      <c r="A217" s="10"/>
      <c r="F217" s="10"/>
      <c r="G217" s="10"/>
    </row>
    <row r="218">
      <c r="A218" s="10"/>
      <c r="F218" s="10"/>
      <c r="G218" s="10"/>
    </row>
    <row r="219">
      <c r="A219" s="10"/>
      <c r="F219" s="10"/>
      <c r="G219" s="10"/>
    </row>
    <row r="220">
      <c r="A220" s="10"/>
      <c r="F220" s="10"/>
      <c r="G220" s="10"/>
    </row>
    <row r="221">
      <c r="A221" s="10"/>
      <c r="F221" s="10"/>
      <c r="G221" s="10"/>
    </row>
    <row r="222">
      <c r="A222" s="10"/>
      <c r="F222" s="10"/>
      <c r="G222" s="10"/>
    </row>
    <row r="223">
      <c r="A223" s="10"/>
      <c r="F223" s="10"/>
      <c r="G223" s="10"/>
    </row>
    <row r="224">
      <c r="A224" s="10"/>
      <c r="F224" s="10"/>
      <c r="G224" s="10"/>
    </row>
    <row r="225">
      <c r="A225" s="10"/>
      <c r="F225" s="10"/>
      <c r="G225" s="10"/>
    </row>
    <row r="226">
      <c r="A226" s="10"/>
      <c r="F226" s="10"/>
      <c r="G226" s="10"/>
    </row>
    <row r="227">
      <c r="A227" s="10"/>
      <c r="F227" s="10"/>
      <c r="G227" s="10"/>
    </row>
    <row r="228">
      <c r="A228" s="10"/>
      <c r="F228" s="10"/>
      <c r="G228" s="10"/>
    </row>
    <row r="229">
      <c r="A229" s="10"/>
      <c r="F229" s="10"/>
      <c r="G229" s="10"/>
    </row>
    <row r="230">
      <c r="A230" s="10"/>
      <c r="F230" s="10"/>
      <c r="G230" s="10"/>
    </row>
    <row r="231">
      <c r="A231" s="10"/>
      <c r="F231" s="10"/>
      <c r="G231" s="10"/>
    </row>
    <row r="232">
      <c r="A232" s="10"/>
      <c r="F232" s="10"/>
      <c r="G232" s="10"/>
    </row>
    <row r="233">
      <c r="A233" s="10"/>
      <c r="F233" s="10"/>
      <c r="G233" s="10"/>
    </row>
    <row r="234">
      <c r="A234" s="10"/>
      <c r="F234" s="10"/>
      <c r="G234" s="10"/>
    </row>
    <row r="235">
      <c r="A235" s="10"/>
      <c r="F235" s="10"/>
      <c r="G235" s="10"/>
    </row>
    <row r="236">
      <c r="A236" s="10"/>
      <c r="F236" s="10"/>
      <c r="G236" s="10"/>
    </row>
    <row r="237">
      <c r="A237" s="10"/>
      <c r="F237" s="10"/>
      <c r="G237" s="10"/>
    </row>
    <row r="238">
      <c r="A238" s="10"/>
      <c r="F238" s="10"/>
      <c r="G238" s="10"/>
    </row>
    <row r="239">
      <c r="A239" s="10"/>
      <c r="F239" s="10"/>
      <c r="G239" s="10"/>
    </row>
    <row r="240">
      <c r="A240" s="10"/>
      <c r="F240" s="10"/>
      <c r="G240" s="10"/>
    </row>
    <row r="241">
      <c r="A241" s="10"/>
      <c r="F241" s="10"/>
      <c r="G241" s="10"/>
    </row>
    <row r="242">
      <c r="A242" s="10"/>
      <c r="F242" s="10"/>
      <c r="G242" s="10"/>
    </row>
    <row r="243">
      <c r="A243" s="10"/>
      <c r="F243" s="10"/>
      <c r="G243" s="10"/>
    </row>
    <row r="244">
      <c r="A244" s="10"/>
      <c r="F244" s="10"/>
      <c r="G244" s="10"/>
    </row>
    <row r="245">
      <c r="A245" s="10"/>
      <c r="F245" s="10"/>
      <c r="G245" s="10"/>
    </row>
    <row r="246">
      <c r="A246" s="10"/>
      <c r="F246" s="10"/>
      <c r="G246" s="10"/>
    </row>
    <row r="247">
      <c r="A247" s="10"/>
      <c r="F247" s="10"/>
      <c r="G247" s="10"/>
    </row>
    <row r="248">
      <c r="A248" s="10"/>
      <c r="F248" s="10"/>
      <c r="G248" s="10"/>
    </row>
    <row r="249">
      <c r="A249" s="10"/>
      <c r="F249" s="10"/>
      <c r="G249" s="10"/>
    </row>
    <row r="250">
      <c r="A250" s="10"/>
      <c r="F250" s="10"/>
      <c r="G250" s="10"/>
    </row>
    <row r="251">
      <c r="A251" s="10"/>
      <c r="F251" s="10"/>
      <c r="G251" s="10"/>
    </row>
    <row r="252">
      <c r="A252" s="10"/>
      <c r="F252" s="10"/>
      <c r="G252" s="10"/>
    </row>
    <row r="253">
      <c r="A253" s="10"/>
      <c r="F253" s="10"/>
      <c r="G253" s="10"/>
    </row>
    <row r="254">
      <c r="A254" s="10"/>
      <c r="F254" s="10"/>
      <c r="G254" s="10"/>
    </row>
    <row r="255">
      <c r="A255" s="10"/>
      <c r="F255" s="10"/>
      <c r="G255" s="10"/>
    </row>
    <row r="256">
      <c r="A256" s="10"/>
      <c r="F256" s="10"/>
      <c r="G256" s="10"/>
    </row>
    <row r="257">
      <c r="A257" s="10"/>
      <c r="F257" s="10"/>
      <c r="G257" s="10"/>
    </row>
    <row r="258">
      <c r="A258" s="10"/>
      <c r="F258" s="10"/>
      <c r="G258" s="10"/>
    </row>
    <row r="259">
      <c r="A259" s="10"/>
      <c r="F259" s="10"/>
      <c r="G259" s="10"/>
    </row>
    <row r="260">
      <c r="A260" s="10"/>
      <c r="F260" s="10"/>
      <c r="G260" s="10"/>
    </row>
    <row r="261">
      <c r="A261" s="10"/>
      <c r="F261" s="10"/>
      <c r="G261" s="10"/>
    </row>
    <row r="262">
      <c r="A262" s="10"/>
      <c r="F262" s="10"/>
      <c r="G262" s="10"/>
    </row>
    <row r="263">
      <c r="A263" s="10"/>
      <c r="F263" s="10"/>
      <c r="G263" s="10"/>
    </row>
    <row r="264">
      <c r="A264" s="10"/>
      <c r="F264" s="10"/>
      <c r="G264" s="10"/>
    </row>
    <row r="265">
      <c r="A265" s="10"/>
      <c r="F265" s="10"/>
      <c r="G265" s="10"/>
    </row>
    <row r="266">
      <c r="A266" s="10"/>
      <c r="F266" s="10"/>
      <c r="G266" s="10"/>
    </row>
    <row r="267">
      <c r="A267" s="10"/>
      <c r="F267" s="10"/>
      <c r="G267" s="10"/>
    </row>
    <row r="268">
      <c r="A268" s="10"/>
      <c r="F268" s="10"/>
      <c r="G268" s="10"/>
    </row>
    <row r="269">
      <c r="A269" s="10"/>
      <c r="F269" s="10"/>
      <c r="G269" s="10"/>
    </row>
    <row r="270">
      <c r="A270" s="10"/>
      <c r="F270" s="10"/>
      <c r="G270" s="10"/>
    </row>
    <row r="271">
      <c r="A271" s="10"/>
      <c r="F271" s="10"/>
      <c r="G271" s="10"/>
    </row>
    <row r="272">
      <c r="A272" s="10"/>
      <c r="F272" s="10"/>
      <c r="G272" s="10"/>
    </row>
    <row r="273">
      <c r="A273" s="10"/>
      <c r="F273" s="10"/>
      <c r="G273" s="10"/>
    </row>
    <row r="274">
      <c r="A274" s="10"/>
      <c r="F274" s="10"/>
      <c r="G274" s="10"/>
    </row>
    <row r="275">
      <c r="A275" s="10"/>
      <c r="F275" s="10"/>
      <c r="G275" s="10"/>
    </row>
    <row r="276">
      <c r="A276" s="10"/>
      <c r="F276" s="10"/>
      <c r="G276" s="10"/>
    </row>
    <row r="277">
      <c r="A277" s="10"/>
      <c r="F277" s="10"/>
      <c r="G277" s="10"/>
    </row>
    <row r="278">
      <c r="A278" s="10"/>
      <c r="F278" s="10"/>
      <c r="G278" s="10"/>
    </row>
    <row r="279">
      <c r="A279" s="10"/>
      <c r="F279" s="10"/>
      <c r="G279" s="10"/>
    </row>
    <row r="280">
      <c r="A280" s="10"/>
      <c r="F280" s="10"/>
      <c r="G280" s="10"/>
    </row>
    <row r="281">
      <c r="A281" s="10"/>
      <c r="F281" s="10"/>
      <c r="G281" s="10"/>
    </row>
    <row r="282">
      <c r="A282" s="10"/>
      <c r="F282" s="10"/>
      <c r="G282" s="10"/>
    </row>
    <row r="283">
      <c r="A283" s="10"/>
      <c r="F283" s="10"/>
      <c r="G283" s="10"/>
    </row>
    <row r="284">
      <c r="A284" s="10"/>
      <c r="F284" s="10"/>
      <c r="G284" s="10"/>
    </row>
    <row r="285">
      <c r="A285" s="10"/>
      <c r="F285" s="10"/>
      <c r="G285" s="10"/>
    </row>
    <row r="286">
      <c r="A286" s="10"/>
      <c r="F286" s="10"/>
      <c r="G286" s="10"/>
    </row>
    <row r="287">
      <c r="A287" s="10"/>
      <c r="F287" s="10"/>
      <c r="G287" s="10"/>
    </row>
    <row r="288">
      <c r="A288" s="10"/>
      <c r="F288" s="10"/>
      <c r="G288" s="10"/>
    </row>
    <row r="289">
      <c r="A289" s="10"/>
      <c r="F289" s="10"/>
      <c r="G289" s="10"/>
    </row>
    <row r="290">
      <c r="A290" s="10"/>
      <c r="F290" s="10"/>
      <c r="G290" s="10"/>
    </row>
    <row r="291">
      <c r="A291" s="10"/>
      <c r="F291" s="10"/>
      <c r="G291" s="10"/>
    </row>
    <row r="292">
      <c r="A292" s="10"/>
      <c r="F292" s="10"/>
      <c r="G292" s="10"/>
    </row>
    <row r="293">
      <c r="A293" s="10"/>
      <c r="F293" s="10"/>
      <c r="G293" s="10"/>
    </row>
    <row r="294">
      <c r="A294" s="10"/>
      <c r="F294" s="10"/>
      <c r="G294" s="10"/>
    </row>
    <row r="295">
      <c r="A295" s="10"/>
      <c r="F295" s="10"/>
      <c r="G295" s="10"/>
    </row>
    <row r="296">
      <c r="A296" s="10"/>
      <c r="F296" s="10"/>
      <c r="G296" s="10"/>
    </row>
    <row r="297">
      <c r="A297" s="10"/>
      <c r="F297" s="10"/>
      <c r="G297" s="10"/>
    </row>
    <row r="298">
      <c r="A298" s="10"/>
      <c r="F298" s="10"/>
      <c r="G298" s="10"/>
    </row>
    <row r="299">
      <c r="A299" s="10"/>
      <c r="F299" s="10"/>
      <c r="G299" s="10"/>
    </row>
    <row r="300">
      <c r="A300" s="10"/>
      <c r="F300" s="10"/>
      <c r="G300" s="10"/>
    </row>
    <row r="301">
      <c r="A301" s="10"/>
      <c r="F301" s="10"/>
      <c r="G301" s="10"/>
    </row>
    <row r="302">
      <c r="A302" s="10"/>
      <c r="F302" s="10"/>
      <c r="G302" s="10"/>
    </row>
    <row r="303">
      <c r="A303" s="10"/>
      <c r="F303" s="10"/>
      <c r="G303" s="10"/>
    </row>
    <row r="304">
      <c r="A304" s="10"/>
      <c r="F304" s="10"/>
      <c r="G304" s="10"/>
    </row>
    <row r="305">
      <c r="A305" s="10"/>
      <c r="F305" s="10"/>
      <c r="G305" s="10"/>
    </row>
    <row r="306">
      <c r="A306" s="10"/>
      <c r="F306" s="10"/>
      <c r="G306" s="10"/>
    </row>
    <row r="307">
      <c r="A307" s="10"/>
      <c r="F307" s="10"/>
      <c r="G307" s="10"/>
    </row>
    <row r="308">
      <c r="A308" s="10"/>
      <c r="F308" s="10"/>
      <c r="G308" s="10"/>
    </row>
    <row r="309">
      <c r="A309" s="10"/>
      <c r="F309" s="10"/>
      <c r="G309" s="10"/>
    </row>
    <row r="310">
      <c r="A310" s="10"/>
      <c r="F310" s="10"/>
      <c r="G310" s="10"/>
    </row>
    <row r="311">
      <c r="A311" s="10"/>
      <c r="F311" s="10"/>
      <c r="G311" s="10"/>
    </row>
    <row r="312">
      <c r="A312" s="10"/>
      <c r="F312" s="10"/>
      <c r="G312" s="10"/>
    </row>
    <row r="313">
      <c r="A313" s="10"/>
      <c r="F313" s="10"/>
      <c r="G313" s="10"/>
    </row>
    <row r="314">
      <c r="A314" s="10"/>
      <c r="F314" s="10"/>
      <c r="G314" s="10"/>
    </row>
    <row r="315">
      <c r="A315" s="10"/>
      <c r="F315" s="10"/>
      <c r="G315" s="10"/>
    </row>
    <row r="316">
      <c r="A316" s="10"/>
      <c r="F316" s="10"/>
      <c r="G316" s="10"/>
    </row>
    <row r="317">
      <c r="A317" s="10"/>
      <c r="F317" s="10"/>
      <c r="G317" s="10"/>
    </row>
    <row r="318">
      <c r="A318" s="10"/>
      <c r="F318" s="10"/>
      <c r="G318" s="10"/>
    </row>
    <row r="319">
      <c r="A319" s="10"/>
      <c r="F319" s="10"/>
      <c r="G319" s="10"/>
    </row>
    <row r="320">
      <c r="A320" s="10"/>
      <c r="F320" s="10"/>
      <c r="G320" s="10"/>
    </row>
    <row r="321">
      <c r="A321" s="10"/>
      <c r="F321" s="10"/>
      <c r="G321" s="10"/>
    </row>
    <row r="322">
      <c r="A322" s="10"/>
      <c r="F322" s="10"/>
      <c r="G322" s="10"/>
    </row>
    <row r="323">
      <c r="A323" s="10"/>
      <c r="F323" s="10"/>
      <c r="G323" s="10"/>
    </row>
    <row r="324">
      <c r="A324" s="10"/>
      <c r="F324" s="10"/>
      <c r="G324" s="10"/>
    </row>
    <row r="325">
      <c r="A325" s="10"/>
      <c r="F325" s="10"/>
      <c r="G325" s="10"/>
    </row>
    <row r="326">
      <c r="A326" s="10"/>
      <c r="F326" s="10"/>
      <c r="G326" s="10"/>
    </row>
    <row r="327">
      <c r="A327" s="10"/>
      <c r="F327" s="10"/>
      <c r="G327" s="10"/>
    </row>
    <row r="328">
      <c r="A328" s="10"/>
      <c r="F328" s="10"/>
      <c r="G328" s="10"/>
    </row>
    <row r="329">
      <c r="A329" s="10"/>
      <c r="F329" s="10"/>
      <c r="G329" s="10"/>
    </row>
    <row r="330">
      <c r="A330" s="10"/>
      <c r="F330" s="10"/>
      <c r="G330" s="10"/>
    </row>
    <row r="331">
      <c r="A331" s="10"/>
      <c r="F331" s="10"/>
      <c r="G331" s="10"/>
    </row>
    <row r="332">
      <c r="A332" s="10"/>
      <c r="F332" s="10"/>
      <c r="G332" s="10"/>
    </row>
    <row r="333">
      <c r="A333" s="10"/>
      <c r="F333" s="10"/>
      <c r="G333" s="10"/>
    </row>
    <row r="334">
      <c r="A334" s="10"/>
      <c r="F334" s="10"/>
      <c r="G334" s="10"/>
    </row>
    <row r="335">
      <c r="A335" s="10"/>
      <c r="F335" s="10"/>
      <c r="G335" s="10"/>
    </row>
    <row r="336">
      <c r="A336" s="10"/>
      <c r="F336" s="10"/>
      <c r="G336" s="10"/>
    </row>
    <row r="337">
      <c r="A337" s="10"/>
      <c r="F337" s="10"/>
      <c r="G337" s="10"/>
    </row>
    <row r="338">
      <c r="A338" s="10"/>
      <c r="F338" s="10"/>
      <c r="G338" s="10"/>
    </row>
    <row r="339">
      <c r="A339" s="10"/>
      <c r="F339" s="10"/>
      <c r="G339" s="10"/>
    </row>
    <row r="340">
      <c r="A340" s="10"/>
      <c r="F340" s="10"/>
      <c r="G340" s="10"/>
    </row>
    <row r="341">
      <c r="A341" s="10"/>
      <c r="F341" s="10"/>
      <c r="G341" s="10"/>
    </row>
    <row r="342">
      <c r="A342" s="10"/>
      <c r="F342" s="10"/>
      <c r="G342" s="10"/>
    </row>
    <row r="343">
      <c r="A343" s="10"/>
      <c r="F343" s="10"/>
      <c r="G343" s="10"/>
    </row>
    <row r="344">
      <c r="A344" s="10"/>
      <c r="F344" s="10"/>
      <c r="G344" s="10"/>
    </row>
    <row r="345">
      <c r="A345" s="10"/>
      <c r="F345" s="10"/>
      <c r="G345" s="10"/>
    </row>
    <row r="346">
      <c r="A346" s="10"/>
      <c r="F346" s="10"/>
      <c r="G346" s="10"/>
    </row>
    <row r="347">
      <c r="A347" s="10"/>
      <c r="F347" s="10"/>
      <c r="G347" s="10"/>
    </row>
    <row r="348">
      <c r="A348" s="10"/>
      <c r="F348" s="10"/>
      <c r="G348" s="10"/>
    </row>
    <row r="349">
      <c r="A349" s="10"/>
      <c r="F349" s="10"/>
      <c r="G349" s="10"/>
    </row>
    <row r="350">
      <c r="A350" s="10"/>
      <c r="F350" s="10"/>
      <c r="G350" s="10"/>
    </row>
    <row r="351">
      <c r="A351" s="10"/>
      <c r="F351" s="10"/>
      <c r="G351" s="10"/>
    </row>
    <row r="352">
      <c r="A352" s="10"/>
      <c r="F352" s="10"/>
      <c r="G352" s="10"/>
    </row>
    <row r="353">
      <c r="A353" s="10"/>
      <c r="F353" s="10"/>
      <c r="G353" s="10"/>
    </row>
    <row r="354">
      <c r="A354" s="10"/>
      <c r="F354" s="10"/>
      <c r="G354" s="10"/>
    </row>
    <row r="355">
      <c r="A355" s="10"/>
      <c r="F355" s="10"/>
      <c r="G355" s="10"/>
    </row>
    <row r="356">
      <c r="A356" s="10"/>
      <c r="F356" s="10"/>
      <c r="G356" s="10"/>
    </row>
    <row r="357">
      <c r="A357" s="10"/>
      <c r="F357" s="10"/>
      <c r="G357" s="10"/>
    </row>
    <row r="358">
      <c r="A358" s="10"/>
      <c r="F358" s="10"/>
      <c r="G358" s="10"/>
    </row>
    <row r="359">
      <c r="A359" s="10"/>
      <c r="F359" s="10"/>
      <c r="G359" s="10"/>
    </row>
    <row r="360">
      <c r="A360" s="10"/>
      <c r="F360" s="10"/>
      <c r="G360" s="10"/>
    </row>
    <row r="361">
      <c r="A361" s="10"/>
      <c r="F361" s="10"/>
      <c r="G361" s="10"/>
    </row>
    <row r="362">
      <c r="A362" s="10"/>
      <c r="F362" s="10"/>
      <c r="G362" s="10"/>
    </row>
    <row r="363">
      <c r="A363" s="10"/>
      <c r="F363" s="10"/>
      <c r="G363" s="10"/>
    </row>
    <row r="364">
      <c r="A364" s="10"/>
      <c r="F364" s="10"/>
      <c r="G364" s="10"/>
    </row>
    <row r="365">
      <c r="A365" s="10"/>
      <c r="F365" s="10"/>
      <c r="G365" s="10"/>
    </row>
    <row r="366">
      <c r="A366" s="10"/>
      <c r="F366" s="10"/>
      <c r="G366" s="10"/>
    </row>
    <row r="367">
      <c r="A367" s="10"/>
      <c r="F367" s="10"/>
      <c r="G367" s="10"/>
    </row>
    <row r="368">
      <c r="A368" s="10"/>
      <c r="F368" s="10"/>
      <c r="G368" s="10"/>
    </row>
    <row r="369">
      <c r="A369" s="10"/>
      <c r="F369" s="10"/>
      <c r="G369" s="10"/>
    </row>
    <row r="370">
      <c r="A370" s="10"/>
      <c r="F370" s="10"/>
      <c r="G370" s="10"/>
    </row>
    <row r="371">
      <c r="A371" s="10"/>
      <c r="F371" s="10"/>
      <c r="G371" s="10"/>
    </row>
    <row r="372">
      <c r="A372" s="10"/>
      <c r="F372" s="10"/>
      <c r="G372" s="10"/>
    </row>
    <row r="373">
      <c r="A373" s="10"/>
      <c r="F373" s="10"/>
      <c r="G373" s="10"/>
    </row>
    <row r="374">
      <c r="A374" s="10"/>
      <c r="F374" s="10"/>
      <c r="G374" s="10"/>
    </row>
    <row r="375">
      <c r="A375" s="10"/>
      <c r="F375" s="10"/>
      <c r="G375" s="10"/>
    </row>
    <row r="376">
      <c r="A376" s="10"/>
      <c r="F376" s="10"/>
      <c r="G376" s="10"/>
    </row>
    <row r="377">
      <c r="A377" s="10"/>
      <c r="F377" s="10"/>
      <c r="G377" s="10"/>
    </row>
    <row r="378">
      <c r="A378" s="10"/>
      <c r="F378" s="10"/>
      <c r="G378" s="10"/>
    </row>
    <row r="379">
      <c r="A379" s="10"/>
      <c r="F379" s="10"/>
      <c r="G379" s="10"/>
    </row>
    <row r="380">
      <c r="A380" s="10"/>
      <c r="F380" s="10"/>
      <c r="G380" s="10"/>
    </row>
    <row r="381">
      <c r="A381" s="10"/>
      <c r="F381" s="10"/>
      <c r="G381" s="10"/>
    </row>
    <row r="382">
      <c r="A382" s="10"/>
      <c r="F382" s="10"/>
      <c r="G382" s="10"/>
    </row>
    <row r="383">
      <c r="A383" s="10"/>
      <c r="F383" s="10"/>
      <c r="G383" s="10"/>
    </row>
    <row r="384">
      <c r="A384" s="10"/>
      <c r="F384" s="10"/>
      <c r="G384" s="10"/>
    </row>
    <row r="385">
      <c r="A385" s="10"/>
      <c r="F385" s="10"/>
      <c r="G385" s="10"/>
    </row>
    <row r="386">
      <c r="A386" s="10"/>
      <c r="F386" s="10"/>
      <c r="G386" s="10"/>
    </row>
    <row r="387">
      <c r="A387" s="10"/>
      <c r="F387" s="10"/>
      <c r="G387" s="10"/>
    </row>
    <row r="388">
      <c r="A388" s="10"/>
      <c r="F388" s="10"/>
      <c r="G388" s="10"/>
    </row>
    <row r="389">
      <c r="A389" s="10"/>
      <c r="F389" s="10"/>
      <c r="G389" s="10"/>
    </row>
    <row r="390">
      <c r="A390" s="10"/>
      <c r="F390" s="10"/>
      <c r="G390" s="10"/>
    </row>
    <row r="391">
      <c r="A391" s="10"/>
      <c r="F391" s="10"/>
      <c r="G391" s="10"/>
    </row>
    <row r="392">
      <c r="A392" s="10"/>
      <c r="F392" s="10"/>
      <c r="G392" s="10"/>
    </row>
    <row r="393">
      <c r="A393" s="10"/>
      <c r="F393" s="10"/>
      <c r="G393" s="10"/>
    </row>
    <row r="394">
      <c r="A394" s="10"/>
      <c r="F394" s="10"/>
      <c r="G394" s="10"/>
    </row>
    <row r="395">
      <c r="A395" s="10"/>
      <c r="F395" s="10"/>
      <c r="G395" s="10"/>
    </row>
    <row r="396">
      <c r="A396" s="10"/>
      <c r="F396" s="10"/>
      <c r="G396" s="10"/>
    </row>
    <row r="397">
      <c r="A397" s="10"/>
      <c r="F397" s="10"/>
      <c r="G397" s="10"/>
    </row>
    <row r="398">
      <c r="A398" s="10"/>
      <c r="F398" s="10"/>
      <c r="G398" s="10"/>
    </row>
    <row r="399">
      <c r="A399" s="10"/>
      <c r="F399" s="10"/>
      <c r="G399" s="10"/>
    </row>
    <row r="400">
      <c r="A400" s="10"/>
      <c r="F400" s="10"/>
      <c r="G400" s="10"/>
    </row>
    <row r="401">
      <c r="A401" s="10"/>
      <c r="F401" s="10"/>
      <c r="G401" s="10"/>
    </row>
    <row r="402">
      <c r="A402" s="10"/>
      <c r="F402" s="10"/>
      <c r="G402" s="10"/>
    </row>
    <row r="403">
      <c r="A403" s="10"/>
      <c r="F403" s="10"/>
      <c r="G403" s="10"/>
    </row>
    <row r="404">
      <c r="A404" s="10"/>
      <c r="F404" s="10"/>
      <c r="G404" s="10"/>
    </row>
    <row r="405">
      <c r="A405" s="10"/>
      <c r="F405" s="10"/>
      <c r="G405" s="10"/>
    </row>
    <row r="406">
      <c r="A406" s="10"/>
      <c r="F406" s="10"/>
      <c r="G406" s="10"/>
    </row>
    <row r="407">
      <c r="A407" s="10"/>
      <c r="F407" s="10"/>
      <c r="G407" s="10"/>
    </row>
    <row r="408">
      <c r="A408" s="10"/>
      <c r="F408" s="10"/>
      <c r="G408" s="10"/>
    </row>
    <row r="409">
      <c r="A409" s="10"/>
      <c r="F409" s="10"/>
      <c r="G409" s="10"/>
    </row>
    <row r="410">
      <c r="A410" s="10"/>
      <c r="F410" s="10"/>
      <c r="G410" s="10"/>
    </row>
    <row r="411">
      <c r="A411" s="10"/>
      <c r="F411" s="10"/>
      <c r="G411" s="10"/>
    </row>
    <row r="412">
      <c r="A412" s="10"/>
      <c r="F412" s="10"/>
      <c r="G412" s="10"/>
    </row>
    <row r="413">
      <c r="A413" s="10"/>
      <c r="F413" s="10"/>
      <c r="G413" s="10"/>
    </row>
    <row r="414">
      <c r="A414" s="10"/>
      <c r="F414" s="10"/>
      <c r="G414" s="10"/>
    </row>
    <row r="415">
      <c r="A415" s="10"/>
      <c r="F415" s="10"/>
      <c r="G415" s="10"/>
    </row>
    <row r="416">
      <c r="A416" s="10"/>
      <c r="F416" s="10"/>
      <c r="G416" s="10"/>
    </row>
    <row r="417">
      <c r="A417" s="10"/>
      <c r="F417" s="10"/>
      <c r="G417" s="10"/>
    </row>
    <row r="418">
      <c r="A418" s="10"/>
      <c r="F418" s="10"/>
      <c r="G418" s="10"/>
    </row>
    <row r="419">
      <c r="A419" s="10"/>
      <c r="F419" s="10"/>
      <c r="G419" s="10"/>
    </row>
    <row r="420">
      <c r="A420" s="10"/>
      <c r="F420" s="10"/>
      <c r="G420" s="10"/>
    </row>
    <row r="421">
      <c r="A421" s="10"/>
      <c r="F421" s="10"/>
      <c r="G421" s="10"/>
    </row>
    <row r="422">
      <c r="A422" s="10"/>
      <c r="F422" s="10"/>
      <c r="G422" s="10"/>
    </row>
    <row r="423">
      <c r="A423" s="10"/>
      <c r="F423" s="10"/>
      <c r="G423" s="10"/>
    </row>
    <row r="424">
      <c r="A424" s="10"/>
      <c r="F424" s="10"/>
      <c r="G424" s="10"/>
    </row>
    <row r="425">
      <c r="A425" s="10"/>
      <c r="F425" s="10"/>
      <c r="G425" s="10"/>
    </row>
    <row r="426">
      <c r="A426" s="10"/>
      <c r="F426" s="10"/>
      <c r="G426" s="10"/>
    </row>
    <row r="427">
      <c r="A427" s="10"/>
      <c r="F427" s="10"/>
      <c r="G427" s="10"/>
    </row>
    <row r="428">
      <c r="A428" s="10"/>
      <c r="F428" s="10"/>
      <c r="G428" s="10"/>
    </row>
    <row r="429">
      <c r="A429" s="10"/>
      <c r="F429" s="10"/>
      <c r="G429" s="10"/>
    </row>
    <row r="430">
      <c r="A430" s="10"/>
      <c r="F430" s="10"/>
      <c r="G430" s="10"/>
    </row>
    <row r="431">
      <c r="A431" s="10"/>
      <c r="F431" s="10"/>
      <c r="G431" s="10"/>
    </row>
    <row r="432">
      <c r="A432" s="10"/>
      <c r="F432" s="10"/>
      <c r="G432" s="10"/>
    </row>
    <row r="433">
      <c r="A433" s="10"/>
      <c r="F433" s="10"/>
      <c r="G433" s="10"/>
    </row>
    <row r="434">
      <c r="A434" s="10"/>
      <c r="F434" s="10"/>
      <c r="G434" s="10"/>
    </row>
    <row r="435">
      <c r="A435" s="10"/>
      <c r="F435" s="10"/>
      <c r="G435" s="10"/>
    </row>
    <row r="436">
      <c r="A436" s="10"/>
      <c r="F436" s="10"/>
      <c r="G436" s="10"/>
    </row>
    <row r="437">
      <c r="A437" s="10"/>
      <c r="F437" s="10"/>
      <c r="G437" s="10"/>
    </row>
    <row r="438">
      <c r="A438" s="10"/>
      <c r="F438" s="10"/>
      <c r="G438" s="10"/>
    </row>
    <row r="439">
      <c r="A439" s="10"/>
      <c r="F439" s="10"/>
      <c r="G439" s="10"/>
    </row>
    <row r="440">
      <c r="A440" s="10"/>
      <c r="F440" s="10"/>
      <c r="G440" s="10"/>
    </row>
    <row r="441">
      <c r="A441" s="10"/>
      <c r="F441" s="10"/>
      <c r="G441" s="10"/>
    </row>
    <row r="442">
      <c r="A442" s="10"/>
      <c r="F442" s="10"/>
      <c r="G442" s="10"/>
    </row>
    <row r="443">
      <c r="A443" s="10"/>
      <c r="F443" s="10"/>
      <c r="G443" s="10"/>
    </row>
    <row r="444">
      <c r="A444" s="10"/>
      <c r="F444" s="10"/>
      <c r="G444" s="10"/>
    </row>
    <row r="445">
      <c r="A445" s="10"/>
      <c r="F445" s="10"/>
      <c r="G445" s="10"/>
    </row>
    <row r="446">
      <c r="A446" s="10"/>
      <c r="F446" s="10"/>
      <c r="G446" s="10"/>
    </row>
    <row r="447">
      <c r="A447" s="10"/>
      <c r="F447" s="10"/>
      <c r="G447" s="10"/>
    </row>
    <row r="448">
      <c r="A448" s="10"/>
      <c r="F448" s="10"/>
      <c r="G448" s="10"/>
    </row>
    <row r="449">
      <c r="A449" s="10"/>
      <c r="F449" s="10"/>
      <c r="G449" s="10"/>
    </row>
    <row r="450">
      <c r="A450" s="10"/>
      <c r="F450" s="10"/>
      <c r="G450" s="10"/>
    </row>
    <row r="451">
      <c r="A451" s="10"/>
      <c r="F451" s="10"/>
      <c r="G451" s="10"/>
    </row>
    <row r="452">
      <c r="A452" s="10"/>
      <c r="F452" s="10"/>
      <c r="G452" s="10"/>
    </row>
    <row r="453">
      <c r="A453" s="10"/>
      <c r="F453" s="10"/>
      <c r="G453" s="10"/>
    </row>
    <row r="454">
      <c r="A454" s="10"/>
      <c r="F454" s="10"/>
      <c r="G454" s="10"/>
    </row>
    <row r="455">
      <c r="A455" s="10"/>
      <c r="F455" s="10"/>
      <c r="G455" s="10"/>
    </row>
    <row r="456">
      <c r="A456" s="10"/>
      <c r="F456" s="10"/>
      <c r="G456" s="10"/>
    </row>
    <row r="457">
      <c r="A457" s="10"/>
      <c r="F457" s="10"/>
      <c r="G457" s="10"/>
    </row>
    <row r="458">
      <c r="A458" s="10"/>
      <c r="F458" s="10"/>
      <c r="G458" s="10"/>
    </row>
    <row r="459">
      <c r="A459" s="10"/>
      <c r="F459" s="10"/>
      <c r="G459" s="10"/>
    </row>
    <row r="460">
      <c r="A460" s="10"/>
      <c r="F460" s="10"/>
      <c r="G460" s="10"/>
    </row>
    <row r="461">
      <c r="A461" s="10"/>
      <c r="F461" s="10"/>
      <c r="G461" s="10"/>
    </row>
    <row r="462">
      <c r="A462" s="10"/>
      <c r="F462" s="10"/>
      <c r="G462" s="10"/>
    </row>
    <row r="463">
      <c r="A463" s="10"/>
      <c r="F463" s="10"/>
      <c r="G463" s="10"/>
    </row>
    <row r="464">
      <c r="A464" s="10"/>
      <c r="F464" s="10"/>
      <c r="G464" s="10"/>
    </row>
    <row r="465">
      <c r="A465" s="10"/>
      <c r="F465" s="10"/>
      <c r="G465" s="10"/>
    </row>
    <row r="466">
      <c r="A466" s="10"/>
      <c r="F466" s="10"/>
      <c r="G466" s="10"/>
    </row>
    <row r="467">
      <c r="A467" s="10"/>
      <c r="F467" s="10"/>
      <c r="G467" s="10"/>
    </row>
    <row r="468">
      <c r="A468" s="10"/>
      <c r="F468" s="10"/>
      <c r="G468" s="10"/>
    </row>
    <row r="469">
      <c r="A469" s="10"/>
      <c r="F469" s="10"/>
      <c r="G469" s="10"/>
    </row>
    <row r="470">
      <c r="A470" s="10"/>
      <c r="F470" s="10"/>
      <c r="G470" s="10"/>
    </row>
    <row r="471">
      <c r="A471" s="10"/>
      <c r="F471" s="10"/>
      <c r="G471" s="10"/>
    </row>
    <row r="472">
      <c r="A472" s="10"/>
      <c r="F472" s="10"/>
      <c r="G472" s="10"/>
    </row>
    <row r="473">
      <c r="A473" s="10"/>
      <c r="F473" s="10"/>
      <c r="G473" s="10"/>
    </row>
    <row r="474">
      <c r="A474" s="10"/>
      <c r="F474" s="10"/>
      <c r="G474" s="10"/>
    </row>
    <row r="475">
      <c r="A475" s="10"/>
      <c r="F475" s="10"/>
      <c r="G475" s="10"/>
    </row>
    <row r="476">
      <c r="A476" s="10"/>
      <c r="F476" s="10"/>
      <c r="G476" s="10"/>
    </row>
    <row r="477">
      <c r="A477" s="10"/>
      <c r="F477" s="10"/>
      <c r="G477" s="10"/>
    </row>
    <row r="478">
      <c r="A478" s="10"/>
      <c r="F478" s="10"/>
      <c r="G478" s="10"/>
    </row>
    <row r="479">
      <c r="A479" s="10"/>
      <c r="F479" s="10"/>
      <c r="G479" s="10"/>
    </row>
    <row r="480">
      <c r="A480" s="10"/>
      <c r="F480" s="10"/>
      <c r="G480" s="10"/>
    </row>
    <row r="481">
      <c r="A481" s="10"/>
      <c r="F481" s="10"/>
      <c r="G481" s="10"/>
    </row>
    <row r="482">
      <c r="A482" s="10"/>
      <c r="F482" s="10"/>
      <c r="G482" s="10"/>
    </row>
    <row r="483">
      <c r="A483" s="10"/>
      <c r="F483" s="10"/>
      <c r="G483" s="10"/>
    </row>
    <row r="484">
      <c r="A484" s="10"/>
      <c r="F484" s="10"/>
      <c r="G484" s="10"/>
    </row>
    <row r="485">
      <c r="A485" s="10"/>
      <c r="F485" s="10"/>
      <c r="G485" s="10"/>
    </row>
    <row r="486">
      <c r="A486" s="10"/>
      <c r="F486" s="10"/>
      <c r="G486" s="10"/>
    </row>
    <row r="487">
      <c r="A487" s="10"/>
      <c r="F487" s="10"/>
      <c r="G487" s="10"/>
    </row>
    <row r="488">
      <c r="A488" s="10"/>
      <c r="F488" s="10"/>
      <c r="G488" s="10"/>
    </row>
    <row r="489">
      <c r="A489" s="10"/>
      <c r="F489" s="10"/>
      <c r="G489" s="10"/>
    </row>
    <row r="490">
      <c r="A490" s="10"/>
      <c r="F490" s="10"/>
      <c r="G490" s="10"/>
    </row>
    <row r="491">
      <c r="A491" s="10"/>
      <c r="F491" s="10"/>
      <c r="G491" s="10"/>
    </row>
    <row r="492">
      <c r="A492" s="10"/>
      <c r="F492" s="10"/>
      <c r="G492" s="10"/>
    </row>
    <row r="493">
      <c r="A493" s="10"/>
      <c r="F493" s="10"/>
      <c r="G493" s="10"/>
    </row>
    <row r="494">
      <c r="A494" s="10"/>
      <c r="F494" s="10"/>
      <c r="G494" s="10"/>
    </row>
    <row r="495">
      <c r="A495" s="10"/>
      <c r="F495" s="10"/>
      <c r="G495" s="10"/>
    </row>
    <row r="496">
      <c r="A496" s="10"/>
      <c r="F496" s="10"/>
      <c r="G496" s="10"/>
    </row>
    <row r="497">
      <c r="A497" s="10"/>
      <c r="F497" s="10"/>
      <c r="G497" s="10"/>
    </row>
    <row r="498">
      <c r="A498" s="10"/>
      <c r="F498" s="10"/>
      <c r="G498" s="10"/>
    </row>
    <row r="499">
      <c r="A499" s="10"/>
      <c r="F499" s="10"/>
      <c r="G499" s="10"/>
    </row>
    <row r="500">
      <c r="A500" s="10"/>
      <c r="F500" s="10"/>
      <c r="G500" s="10"/>
    </row>
    <row r="501">
      <c r="A501" s="10"/>
      <c r="F501" s="10"/>
      <c r="G501" s="10"/>
    </row>
    <row r="502">
      <c r="A502" s="10"/>
      <c r="F502" s="10"/>
      <c r="G502" s="10"/>
    </row>
    <row r="503">
      <c r="A503" s="10"/>
      <c r="F503" s="10"/>
      <c r="G503" s="10"/>
    </row>
    <row r="504">
      <c r="A504" s="10"/>
      <c r="F504" s="10"/>
      <c r="G504" s="10"/>
    </row>
    <row r="505">
      <c r="A505" s="10"/>
      <c r="F505" s="10"/>
      <c r="G505" s="10"/>
    </row>
    <row r="506">
      <c r="A506" s="10"/>
      <c r="F506" s="10"/>
      <c r="G506" s="10"/>
    </row>
    <row r="507">
      <c r="A507" s="10"/>
      <c r="F507" s="10"/>
      <c r="G507" s="10"/>
    </row>
    <row r="508">
      <c r="A508" s="10"/>
      <c r="F508" s="10"/>
      <c r="G508" s="10"/>
    </row>
    <row r="509">
      <c r="A509" s="10"/>
      <c r="F509" s="10"/>
      <c r="G509" s="10"/>
    </row>
    <row r="510">
      <c r="A510" s="10"/>
      <c r="F510" s="10"/>
      <c r="G510" s="10"/>
    </row>
    <row r="511">
      <c r="A511" s="10"/>
      <c r="F511" s="10"/>
      <c r="G511" s="10"/>
    </row>
    <row r="512">
      <c r="A512" s="10"/>
      <c r="F512" s="10"/>
      <c r="G512" s="10"/>
    </row>
    <row r="513">
      <c r="A513" s="10"/>
      <c r="F513" s="10"/>
      <c r="G513" s="10"/>
    </row>
    <row r="514">
      <c r="A514" s="10"/>
      <c r="F514" s="10"/>
      <c r="G514" s="10"/>
    </row>
    <row r="515">
      <c r="A515" s="10"/>
      <c r="F515" s="10"/>
      <c r="G515" s="10"/>
    </row>
    <row r="516">
      <c r="A516" s="10"/>
      <c r="F516" s="10"/>
      <c r="G516" s="10"/>
    </row>
    <row r="517">
      <c r="A517" s="10"/>
      <c r="F517" s="10"/>
      <c r="G517" s="10"/>
    </row>
    <row r="518">
      <c r="A518" s="10"/>
      <c r="F518" s="10"/>
      <c r="G518" s="10"/>
    </row>
    <row r="519">
      <c r="A519" s="10"/>
      <c r="F519" s="10"/>
      <c r="G519" s="10"/>
    </row>
    <row r="520">
      <c r="A520" s="10"/>
      <c r="F520" s="10"/>
      <c r="G520" s="10"/>
    </row>
    <row r="521">
      <c r="A521" s="10"/>
      <c r="F521" s="10"/>
      <c r="G521" s="10"/>
    </row>
    <row r="522">
      <c r="A522" s="10"/>
      <c r="F522" s="10"/>
      <c r="G522" s="10"/>
    </row>
    <row r="523">
      <c r="A523" s="10"/>
      <c r="F523" s="10"/>
      <c r="G523" s="10"/>
    </row>
    <row r="524">
      <c r="A524" s="10"/>
      <c r="F524" s="10"/>
      <c r="G524" s="10"/>
    </row>
    <row r="525">
      <c r="A525" s="10"/>
      <c r="F525" s="10"/>
      <c r="G525" s="10"/>
    </row>
    <row r="526">
      <c r="A526" s="10"/>
      <c r="F526" s="10"/>
      <c r="G526" s="10"/>
    </row>
    <row r="527">
      <c r="A527" s="10"/>
      <c r="F527" s="10"/>
      <c r="G527" s="10"/>
    </row>
    <row r="528">
      <c r="A528" s="10"/>
      <c r="F528" s="10"/>
      <c r="G528" s="10"/>
    </row>
    <row r="529">
      <c r="A529" s="10"/>
      <c r="F529" s="10"/>
      <c r="G529" s="10"/>
    </row>
    <row r="530">
      <c r="A530" s="10"/>
      <c r="F530" s="10"/>
      <c r="G530" s="10"/>
    </row>
    <row r="531">
      <c r="A531" s="10"/>
      <c r="F531" s="10"/>
      <c r="G531" s="10"/>
    </row>
    <row r="532">
      <c r="A532" s="10"/>
      <c r="F532" s="10"/>
      <c r="G532" s="10"/>
    </row>
    <row r="533">
      <c r="A533" s="10"/>
      <c r="F533" s="10"/>
      <c r="G533" s="10"/>
    </row>
    <row r="534">
      <c r="A534" s="10"/>
      <c r="F534" s="10"/>
      <c r="G534" s="10"/>
    </row>
    <row r="535">
      <c r="A535" s="10"/>
      <c r="F535" s="10"/>
      <c r="G535" s="10"/>
    </row>
    <row r="536">
      <c r="A536" s="10"/>
      <c r="F536" s="10"/>
      <c r="G536" s="10"/>
    </row>
    <row r="537">
      <c r="A537" s="10"/>
      <c r="F537" s="10"/>
      <c r="G537" s="10"/>
    </row>
    <row r="538">
      <c r="A538" s="10"/>
      <c r="F538" s="10"/>
      <c r="G538" s="10"/>
    </row>
    <row r="539">
      <c r="A539" s="10"/>
      <c r="F539" s="10"/>
      <c r="G539" s="10"/>
    </row>
    <row r="540">
      <c r="A540" s="10"/>
      <c r="F540" s="10"/>
      <c r="G540" s="10"/>
    </row>
    <row r="541">
      <c r="A541" s="10"/>
      <c r="F541" s="10"/>
      <c r="G541" s="10"/>
    </row>
    <row r="542">
      <c r="A542" s="10"/>
      <c r="F542" s="10"/>
      <c r="G542" s="10"/>
    </row>
    <row r="543">
      <c r="A543" s="10"/>
      <c r="F543" s="10"/>
      <c r="G543" s="10"/>
    </row>
    <row r="544">
      <c r="A544" s="10"/>
      <c r="F544" s="10"/>
      <c r="G544" s="10"/>
    </row>
    <row r="545">
      <c r="A545" s="10"/>
      <c r="F545" s="10"/>
      <c r="G545" s="10"/>
    </row>
    <row r="546">
      <c r="A546" s="10"/>
      <c r="F546" s="10"/>
      <c r="G546" s="10"/>
    </row>
    <row r="547">
      <c r="A547" s="10"/>
      <c r="F547" s="10"/>
      <c r="G547" s="10"/>
    </row>
    <row r="548">
      <c r="A548" s="10"/>
      <c r="F548" s="10"/>
      <c r="G548" s="10"/>
    </row>
    <row r="549">
      <c r="A549" s="10"/>
      <c r="F549" s="10"/>
      <c r="G549" s="10"/>
    </row>
    <row r="550">
      <c r="A550" s="10"/>
      <c r="F550" s="10"/>
      <c r="G550" s="10"/>
    </row>
    <row r="551">
      <c r="A551" s="10"/>
      <c r="F551" s="10"/>
      <c r="G551" s="10"/>
    </row>
    <row r="552">
      <c r="A552" s="10"/>
      <c r="F552" s="10"/>
      <c r="G552" s="10"/>
    </row>
    <row r="553">
      <c r="A553" s="10"/>
      <c r="F553" s="10"/>
      <c r="G553" s="10"/>
    </row>
    <row r="554">
      <c r="A554" s="10"/>
      <c r="F554" s="10"/>
      <c r="G554" s="10"/>
    </row>
    <row r="555">
      <c r="A555" s="10"/>
      <c r="F555" s="10"/>
      <c r="G555" s="10"/>
    </row>
    <row r="556">
      <c r="A556" s="10"/>
      <c r="F556" s="10"/>
      <c r="G556" s="10"/>
    </row>
    <row r="557">
      <c r="A557" s="10"/>
      <c r="F557" s="10"/>
      <c r="G557" s="10"/>
    </row>
    <row r="558">
      <c r="A558" s="10"/>
      <c r="F558" s="10"/>
      <c r="G558" s="10"/>
    </row>
    <row r="559">
      <c r="A559" s="10"/>
      <c r="F559" s="10"/>
      <c r="G559" s="10"/>
    </row>
    <row r="560">
      <c r="A560" s="10"/>
      <c r="F560" s="10"/>
      <c r="G560" s="10"/>
    </row>
    <row r="561">
      <c r="A561" s="10"/>
      <c r="F561" s="10"/>
      <c r="G561" s="10"/>
    </row>
    <row r="562">
      <c r="A562" s="10"/>
      <c r="F562" s="10"/>
      <c r="G562" s="10"/>
    </row>
    <row r="563">
      <c r="A563" s="10"/>
      <c r="F563" s="10"/>
      <c r="G563" s="10"/>
    </row>
    <row r="564">
      <c r="A564" s="10"/>
      <c r="F564" s="10"/>
      <c r="G564" s="10"/>
    </row>
    <row r="565">
      <c r="A565" s="10"/>
      <c r="F565" s="10"/>
      <c r="G565" s="10"/>
    </row>
    <row r="566">
      <c r="A566" s="10"/>
      <c r="F566" s="10"/>
      <c r="G566" s="10"/>
    </row>
    <row r="567">
      <c r="A567" s="10"/>
      <c r="F567" s="10"/>
      <c r="G567" s="10"/>
    </row>
    <row r="568">
      <c r="A568" s="10"/>
      <c r="F568" s="10"/>
      <c r="G568" s="10"/>
    </row>
    <row r="569">
      <c r="A569" s="10"/>
      <c r="F569" s="10"/>
      <c r="G569" s="10"/>
    </row>
    <row r="570">
      <c r="A570" s="10"/>
      <c r="F570" s="10"/>
      <c r="G570" s="10"/>
    </row>
    <row r="571">
      <c r="A571" s="10"/>
      <c r="F571" s="10"/>
      <c r="G571" s="10"/>
    </row>
    <row r="572">
      <c r="A572" s="10"/>
      <c r="F572" s="10"/>
      <c r="G572" s="10"/>
    </row>
    <row r="573">
      <c r="A573" s="10"/>
      <c r="F573" s="10"/>
      <c r="G573" s="10"/>
    </row>
    <row r="574">
      <c r="A574" s="10"/>
      <c r="F574" s="10"/>
      <c r="G574" s="10"/>
    </row>
    <row r="575">
      <c r="A575" s="10"/>
      <c r="F575" s="10"/>
      <c r="G575" s="10"/>
    </row>
    <row r="576">
      <c r="A576" s="10"/>
      <c r="F576" s="10"/>
      <c r="G576" s="10"/>
    </row>
    <row r="577">
      <c r="A577" s="10"/>
      <c r="F577" s="10"/>
      <c r="G577" s="10"/>
    </row>
    <row r="578">
      <c r="A578" s="10"/>
      <c r="F578" s="10"/>
      <c r="G578" s="10"/>
    </row>
    <row r="579">
      <c r="A579" s="10"/>
      <c r="F579" s="10"/>
      <c r="G579" s="10"/>
    </row>
    <row r="580">
      <c r="A580" s="10"/>
      <c r="F580" s="10"/>
      <c r="G580" s="10"/>
    </row>
    <row r="581">
      <c r="A581" s="10"/>
      <c r="F581" s="10"/>
      <c r="G581" s="10"/>
    </row>
    <row r="582">
      <c r="A582" s="10"/>
      <c r="F582" s="10"/>
      <c r="G582" s="10"/>
    </row>
    <row r="583">
      <c r="A583" s="10"/>
      <c r="F583" s="10"/>
      <c r="G583" s="10"/>
    </row>
    <row r="584">
      <c r="A584" s="10"/>
      <c r="F584" s="10"/>
      <c r="G584" s="10"/>
    </row>
    <row r="585">
      <c r="A585" s="10"/>
      <c r="F585" s="10"/>
      <c r="G585" s="10"/>
    </row>
    <row r="586">
      <c r="A586" s="10"/>
      <c r="F586" s="10"/>
      <c r="G586" s="10"/>
    </row>
    <row r="587">
      <c r="A587" s="10"/>
      <c r="F587" s="10"/>
      <c r="G587" s="10"/>
    </row>
    <row r="588">
      <c r="A588" s="10"/>
      <c r="F588" s="10"/>
      <c r="G588" s="10"/>
    </row>
    <row r="589">
      <c r="A589" s="10"/>
      <c r="F589" s="10"/>
      <c r="G589" s="10"/>
    </row>
    <row r="590">
      <c r="A590" s="10"/>
      <c r="F590" s="10"/>
      <c r="G590" s="10"/>
    </row>
    <row r="591">
      <c r="A591" s="10"/>
      <c r="F591" s="10"/>
      <c r="G591" s="10"/>
    </row>
    <row r="592">
      <c r="A592" s="10"/>
      <c r="F592" s="10"/>
      <c r="G592" s="10"/>
    </row>
    <row r="593">
      <c r="A593" s="10"/>
      <c r="F593" s="10"/>
      <c r="G593" s="10"/>
    </row>
    <row r="594">
      <c r="A594" s="10"/>
      <c r="F594" s="10"/>
      <c r="G594" s="10"/>
    </row>
    <row r="595">
      <c r="A595" s="10"/>
      <c r="F595" s="10"/>
      <c r="G595" s="10"/>
    </row>
    <row r="596">
      <c r="A596" s="10"/>
      <c r="F596" s="10"/>
      <c r="G596" s="10"/>
    </row>
    <row r="597">
      <c r="A597" s="10"/>
      <c r="F597" s="10"/>
      <c r="G597" s="10"/>
    </row>
    <row r="598">
      <c r="A598" s="10"/>
      <c r="F598" s="10"/>
      <c r="G598" s="10"/>
    </row>
    <row r="599">
      <c r="A599" s="10"/>
      <c r="F599" s="10"/>
      <c r="G599" s="10"/>
    </row>
    <row r="600">
      <c r="A600" s="10"/>
      <c r="F600" s="10"/>
      <c r="G600" s="10"/>
    </row>
    <row r="601">
      <c r="A601" s="10"/>
      <c r="F601" s="10"/>
      <c r="G601" s="10"/>
    </row>
    <row r="602">
      <c r="A602" s="10"/>
      <c r="F602" s="10"/>
      <c r="G602" s="10"/>
    </row>
    <row r="603">
      <c r="A603" s="10"/>
      <c r="F603" s="10"/>
      <c r="G603" s="10"/>
    </row>
    <row r="604">
      <c r="A604" s="10"/>
      <c r="F604" s="10"/>
      <c r="G604" s="10"/>
    </row>
    <row r="605">
      <c r="A605" s="10"/>
      <c r="F605" s="10"/>
      <c r="G605" s="10"/>
    </row>
    <row r="606">
      <c r="A606" s="10"/>
      <c r="F606" s="10"/>
      <c r="G606" s="10"/>
    </row>
    <row r="607">
      <c r="A607" s="10"/>
      <c r="F607" s="10"/>
      <c r="G607" s="10"/>
    </row>
    <row r="608">
      <c r="A608" s="10"/>
      <c r="F608" s="10"/>
      <c r="G608" s="10"/>
    </row>
    <row r="609">
      <c r="A609" s="10"/>
      <c r="F609" s="10"/>
      <c r="G609" s="10"/>
    </row>
    <row r="610">
      <c r="A610" s="10"/>
      <c r="F610" s="10"/>
      <c r="G610" s="10"/>
    </row>
    <row r="611">
      <c r="A611" s="10"/>
      <c r="F611" s="10"/>
      <c r="G611" s="10"/>
    </row>
    <row r="612">
      <c r="A612" s="10"/>
      <c r="F612" s="10"/>
      <c r="G612" s="10"/>
    </row>
    <row r="613">
      <c r="A613" s="10"/>
      <c r="F613" s="10"/>
      <c r="G613" s="10"/>
    </row>
    <row r="614">
      <c r="A614" s="10"/>
      <c r="F614" s="10"/>
      <c r="G614" s="10"/>
    </row>
    <row r="615">
      <c r="A615" s="10"/>
      <c r="F615" s="10"/>
      <c r="G615" s="10"/>
    </row>
    <row r="616">
      <c r="A616" s="10"/>
      <c r="F616" s="10"/>
      <c r="G616" s="10"/>
    </row>
    <row r="617">
      <c r="A617" s="10"/>
      <c r="F617" s="10"/>
      <c r="G617" s="10"/>
    </row>
    <row r="618">
      <c r="A618" s="10"/>
      <c r="F618" s="10"/>
      <c r="G618" s="10"/>
    </row>
    <row r="619">
      <c r="A619" s="10"/>
      <c r="F619" s="10"/>
      <c r="G619" s="10"/>
    </row>
    <row r="620">
      <c r="A620" s="10"/>
      <c r="F620" s="10"/>
      <c r="G620" s="10"/>
    </row>
    <row r="621">
      <c r="A621" s="10"/>
      <c r="F621" s="10"/>
      <c r="G621" s="10"/>
    </row>
    <row r="622">
      <c r="A622" s="10"/>
      <c r="F622" s="10"/>
      <c r="G622" s="10"/>
    </row>
    <row r="623">
      <c r="A623" s="10"/>
      <c r="F623" s="10"/>
      <c r="G623" s="10"/>
    </row>
    <row r="624">
      <c r="A624" s="10"/>
      <c r="F624" s="10"/>
      <c r="G624" s="10"/>
    </row>
    <row r="625">
      <c r="A625" s="10"/>
      <c r="F625" s="10"/>
      <c r="G625" s="10"/>
    </row>
    <row r="626">
      <c r="A626" s="10"/>
      <c r="F626" s="10"/>
      <c r="G626" s="10"/>
    </row>
    <row r="627">
      <c r="A627" s="10"/>
      <c r="F627" s="10"/>
      <c r="G627" s="10"/>
    </row>
    <row r="628">
      <c r="A628" s="10"/>
      <c r="F628" s="10"/>
      <c r="G628" s="10"/>
    </row>
    <row r="629">
      <c r="A629" s="10"/>
      <c r="F629" s="10"/>
      <c r="G629" s="10"/>
    </row>
    <row r="630">
      <c r="A630" s="10"/>
      <c r="F630" s="10"/>
      <c r="G630" s="10"/>
    </row>
    <row r="631">
      <c r="A631" s="10"/>
      <c r="F631" s="10"/>
      <c r="G631" s="10"/>
    </row>
    <row r="632">
      <c r="A632" s="10"/>
      <c r="F632" s="10"/>
      <c r="G632" s="10"/>
    </row>
    <row r="633">
      <c r="A633" s="10"/>
      <c r="F633" s="10"/>
      <c r="G633" s="10"/>
    </row>
    <row r="634">
      <c r="A634" s="10"/>
      <c r="F634" s="10"/>
      <c r="G634" s="10"/>
    </row>
    <row r="635">
      <c r="A635" s="10"/>
      <c r="F635" s="10"/>
      <c r="G635" s="10"/>
    </row>
    <row r="636">
      <c r="A636" s="10"/>
      <c r="F636" s="10"/>
      <c r="G636" s="10"/>
    </row>
    <row r="637">
      <c r="A637" s="10"/>
      <c r="F637" s="10"/>
      <c r="G637" s="10"/>
    </row>
    <row r="638">
      <c r="A638" s="10"/>
      <c r="F638" s="10"/>
      <c r="G638" s="10"/>
    </row>
    <row r="639">
      <c r="A639" s="10"/>
      <c r="F639" s="10"/>
      <c r="G639" s="10"/>
    </row>
    <row r="640">
      <c r="A640" s="10"/>
      <c r="F640" s="10"/>
      <c r="G640" s="10"/>
    </row>
    <row r="641">
      <c r="A641" s="10"/>
      <c r="F641" s="10"/>
      <c r="G641" s="10"/>
    </row>
    <row r="642">
      <c r="A642" s="10"/>
      <c r="F642" s="10"/>
      <c r="G642" s="10"/>
    </row>
    <row r="643">
      <c r="A643" s="10"/>
      <c r="F643" s="10"/>
      <c r="G643" s="10"/>
    </row>
    <row r="644">
      <c r="A644" s="10"/>
      <c r="F644" s="10"/>
      <c r="G644" s="10"/>
    </row>
    <row r="645">
      <c r="A645" s="10"/>
      <c r="F645" s="10"/>
      <c r="G645" s="10"/>
    </row>
    <row r="646">
      <c r="A646" s="10"/>
      <c r="F646" s="10"/>
      <c r="G646" s="10"/>
    </row>
    <row r="647">
      <c r="A647" s="10"/>
      <c r="F647" s="10"/>
      <c r="G647" s="10"/>
    </row>
    <row r="648">
      <c r="A648" s="10"/>
      <c r="F648" s="10"/>
      <c r="G648" s="10"/>
    </row>
    <row r="649">
      <c r="A649" s="10"/>
      <c r="F649" s="10"/>
      <c r="G649" s="10"/>
    </row>
    <row r="650">
      <c r="A650" s="10"/>
      <c r="F650" s="10"/>
      <c r="G650" s="10"/>
    </row>
    <row r="651">
      <c r="A651" s="10"/>
      <c r="F651" s="10"/>
      <c r="G651" s="10"/>
    </row>
    <row r="652">
      <c r="A652" s="10"/>
      <c r="F652" s="10"/>
      <c r="G652" s="10"/>
    </row>
    <row r="653">
      <c r="A653" s="10"/>
      <c r="F653" s="10"/>
      <c r="G653" s="10"/>
    </row>
    <row r="654">
      <c r="A654" s="10"/>
      <c r="F654" s="10"/>
      <c r="G654" s="10"/>
    </row>
    <row r="655">
      <c r="A655" s="10"/>
      <c r="F655" s="10"/>
      <c r="G655" s="10"/>
    </row>
    <row r="656">
      <c r="A656" s="10"/>
      <c r="F656" s="10"/>
      <c r="G656" s="10"/>
    </row>
    <row r="657">
      <c r="A657" s="10"/>
      <c r="F657" s="10"/>
      <c r="G657" s="10"/>
    </row>
    <row r="658">
      <c r="A658" s="10"/>
      <c r="F658" s="10"/>
      <c r="G658" s="10"/>
    </row>
    <row r="659">
      <c r="A659" s="10"/>
      <c r="F659" s="10"/>
      <c r="G659" s="10"/>
    </row>
    <row r="660">
      <c r="A660" s="10"/>
      <c r="F660" s="10"/>
      <c r="G660" s="10"/>
    </row>
    <row r="661">
      <c r="A661" s="10"/>
      <c r="F661" s="10"/>
      <c r="G661" s="10"/>
    </row>
    <row r="662">
      <c r="A662" s="10"/>
      <c r="F662" s="10"/>
      <c r="G662" s="10"/>
    </row>
    <row r="663">
      <c r="A663" s="10"/>
      <c r="F663" s="10"/>
      <c r="G663" s="10"/>
    </row>
    <row r="664">
      <c r="A664" s="10"/>
      <c r="F664" s="10"/>
      <c r="G664" s="10"/>
    </row>
    <row r="665">
      <c r="A665" s="10"/>
      <c r="F665" s="10"/>
      <c r="G665" s="10"/>
    </row>
    <row r="666">
      <c r="A666" s="10"/>
      <c r="F666" s="10"/>
      <c r="G666" s="10"/>
    </row>
    <row r="667">
      <c r="A667" s="10"/>
      <c r="F667" s="10"/>
      <c r="G667" s="10"/>
    </row>
    <row r="668">
      <c r="A668" s="10"/>
      <c r="F668" s="10"/>
      <c r="G668" s="10"/>
    </row>
    <row r="669">
      <c r="A669" s="10"/>
      <c r="F669" s="10"/>
      <c r="G669" s="10"/>
    </row>
    <row r="670">
      <c r="A670" s="10"/>
      <c r="F670" s="10"/>
      <c r="G670" s="10"/>
    </row>
    <row r="671">
      <c r="A671" s="10"/>
      <c r="F671" s="10"/>
      <c r="G671" s="10"/>
    </row>
    <row r="672">
      <c r="A672" s="10"/>
      <c r="F672" s="10"/>
      <c r="G672" s="10"/>
    </row>
    <row r="673">
      <c r="A673" s="10"/>
      <c r="F673" s="10"/>
      <c r="G673" s="10"/>
    </row>
    <row r="674">
      <c r="A674" s="10"/>
      <c r="F674" s="10"/>
      <c r="G674" s="10"/>
    </row>
    <row r="675">
      <c r="A675" s="10"/>
      <c r="F675" s="10"/>
      <c r="G675" s="10"/>
    </row>
    <row r="676">
      <c r="A676" s="10"/>
      <c r="F676" s="10"/>
      <c r="G676" s="10"/>
    </row>
    <row r="677">
      <c r="A677" s="10"/>
      <c r="F677" s="10"/>
      <c r="G677" s="10"/>
    </row>
    <row r="678">
      <c r="A678" s="10"/>
      <c r="F678" s="10"/>
      <c r="G678" s="10"/>
    </row>
    <row r="679">
      <c r="A679" s="10"/>
      <c r="F679" s="10"/>
      <c r="G679" s="10"/>
    </row>
    <row r="680">
      <c r="A680" s="10"/>
      <c r="F680" s="10"/>
      <c r="G680" s="10"/>
    </row>
    <row r="681">
      <c r="A681" s="10"/>
      <c r="F681" s="10"/>
      <c r="G681" s="10"/>
    </row>
    <row r="682">
      <c r="A682" s="10"/>
      <c r="F682" s="10"/>
      <c r="G682" s="10"/>
    </row>
    <row r="683">
      <c r="A683" s="10"/>
      <c r="F683" s="10"/>
      <c r="G683" s="10"/>
    </row>
    <row r="684">
      <c r="A684" s="10"/>
      <c r="F684" s="10"/>
      <c r="G684" s="10"/>
    </row>
    <row r="685">
      <c r="A685" s="10"/>
      <c r="F685" s="10"/>
      <c r="G685" s="10"/>
    </row>
    <row r="686">
      <c r="A686" s="10"/>
      <c r="F686" s="10"/>
      <c r="G686" s="10"/>
    </row>
    <row r="687">
      <c r="A687" s="10"/>
      <c r="F687" s="10"/>
      <c r="G687" s="10"/>
    </row>
    <row r="688">
      <c r="A688" s="10"/>
      <c r="F688" s="10"/>
      <c r="G688" s="10"/>
    </row>
    <row r="689">
      <c r="A689" s="10"/>
      <c r="F689" s="10"/>
      <c r="G689" s="10"/>
    </row>
    <row r="690">
      <c r="A690" s="10"/>
      <c r="F690" s="10"/>
      <c r="G690" s="10"/>
    </row>
    <row r="691">
      <c r="A691" s="10"/>
      <c r="F691" s="10"/>
      <c r="G691" s="10"/>
    </row>
    <row r="692">
      <c r="A692" s="10"/>
      <c r="F692" s="10"/>
      <c r="G692" s="10"/>
    </row>
    <row r="693">
      <c r="A693" s="10"/>
      <c r="F693" s="10"/>
      <c r="G693" s="10"/>
    </row>
    <row r="694">
      <c r="A694" s="10"/>
      <c r="F694" s="10"/>
      <c r="G694" s="10"/>
    </row>
    <row r="695">
      <c r="A695" s="10"/>
      <c r="F695" s="10"/>
      <c r="G695" s="10"/>
    </row>
    <row r="696">
      <c r="A696" s="10"/>
      <c r="F696" s="10"/>
      <c r="G696" s="10"/>
    </row>
    <row r="697">
      <c r="A697" s="10"/>
      <c r="F697" s="10"/>
      <c r="G697" s="10"/>
    </row>
    <row r="698">
      <c r="A698" s="10"/>
      <c r="F698" s="10"/>
      <c r="G698" s="10"/>
    </row>
    <row r="699">
      <c r="A699" s="10"/>
      <c r="F699" s="10"/>
      <c r="G699" s="10"/>
    </row>
    <row r="700">
      <c r="A700" s="10"/>
      <c r="F700" s="10"/>
      <c r="G700" s="10"/>
    </row>
    <row r="701">
      <c r="A701" s="10"/>
      <c r="F701" s="10"/>
      <c r="G701" s="10"/>
    </row>
    <row r="702">
      <c r="A702" s="10"/>
      <c r="F702" s="10"/>
      <c r="G702" s="10"/>
    </row>
    <row r="703">
      <c r="A703" s="10"/>
      <c r="F703" s="10"/>
      <c r="G703" s="10"/>
    </row>
    <row r="704">
      <c r="A704" s="10"/>
      <c r="F704" s="10"/>
      <c r="G704" s="10"/>
    </row>
    <row r="705">
      <c r="A705" s="10"/>
      <c r="F705" s="10"/>
      <c r="G705" s="10"/>
    </row>
    <row r="706">
      <c r="A706" s="10"/>
      <c r="F706" s="10"/>
      <c r="G706" s="10"/>
    </row>
    <row r="707">
      <c r="A707" s="10"/>
      <c r="F707" s="10"/>
      <c r="G707" s="10"/>
    </row>
    <row r="708">
      <c r="A708" s="10"/>
      <c r="F708" s="10"/>
      <c r="G708" s="10"/>
    </row>
    <row r="709">
      <c r="A709" s="10"/>
      <c r="F709" s="10"/>
      <c r="G709" s="10"/>
    </row>
    <row r="710">
      <c r="A710" s="10"/>
      <c r="F710" s="10"/>
      <c r="G710" s="10"/>
    </row>
    <row r="711">
      <c r="A711" s="10"/>
      <c r="F711" s="10"/>
      <c r="G711" s="10"/>
    </row>
    <row r="712">
      <c r="A712" s="10"/>
      <c r="F712" s="10"/>
      <c r="G712" s="10"/>
    </row>
    <row r="713">
      <c r="A713" s="10"/>
      <c r="F713" s="10"/>
      <c r="G713" s="10"/>
    </row>
    <row r="714">
      <c r="A714" s="10"/>
      <c r="F714" s="10"/>
      <c r="G714" s="10"/>
    </row>
    <row r="715">
      <c r="A715" s="10"/>
      <c r="F715" s="10"/>
      <c r="G715" s="10"/>
    </row>
    <row r="716">
      <c r="A716" s="10"/>
      <c r="F716" s="10"/>
      <c r="G716" s="10"/>
    </row>
    <row r="717">
      <c r="A717" s="10"/>
      <c r="F717" s="10"/>
      <c r="G717" s="10"/>
    </row>
    <row r="718">
      <c r="A718" s="10"/>
      <c r="F718" s="10"/>
      <c r="G718" s="10"/>
    </row>
    <row r="719">
      <c r="A719" s="10"/>
      <c r="F719" s="10"/>
      <c r="G719" s="10"/>
    </row>
    <row r="720">
      <c r="A720" s="10"/>
      <c r="F720" s="10"/>
      <c r="G720" s="10"/>
    </row>
    <row r="721">
      <c r="A721" s="10"/>
      <c r="F721" s="10"/>
      <c r="G721" s="10"/>
    </row>
    <row r="722">
      <c r="A722" s="10"/>
      <c r="F722" s="10"/>
      <c r="G722" s="10"/>
    </row>
    <row r="723">
      <c r="A723" s="10"/>
      <c r="F723" s="10"/>
      <c r="G723" s="10"/>
    </row>
    <row r="724">
      <c r="A724" s="10"/>
      <c r="F724" s="10"/>
      <c r="G724" s="10"/>
    </row>
    <row r="725">
      <c r="A725" s="10"/>
      <c r="F725" s="10"/>
      <c r="G725" s="10"/>
    </row>
    <row r="726">
      <c r="A726" s="10"/>
      <c r="F726" s="10"/>
      <c r="G726" s="10"/>
    </row>
    <row r="727">
      <c r="A727" s="10"/>
      <c r="F727" s="10"/>
      <c r="G727" s="10"/>
    </row>
    <row r="728">
      <c r="A728" s="10"/>
      <c r="F728" s="10"/>
      <c r="G728" s="10"/>
    </row>
    <row r="729">
      <c r="A729" s="10"/>
      <c r="F729" s="10"/>
      <c r="G729" s="10"/>
    </row>
    <row r="730">
      <c r="A730" s="10"/>
      <c r="F730" s="10"/>
      <c r="G730" s="10"/>
    </row>
    <row r="731">
      <c r="A731" s="10"/>
      <c r="F731" s="10"/>
      <c r="G731" s="10"/>
    </row>
    <row r="732">
      <c r="A732" s="10"/>
      <c r="F732" s="10"/>
      <c r="G732" s="10"/>
    </row>
    <row r="733">
      <c r="A733" s="10"/>
      <c r="F733" s="10"/>
      <c r="G733" s="10"/>
    </row>
    <row r="734">
      <c r="A734" s="10"/>
      <c r="F734" s="10"/>
      <c r="G734" s="10"/>
    </row>
    <row r="735">
      <c r="A735" s="10"/>
      <c r="F735" s="10"/>
      <c r="G735" s="10"/>
    </row>
    <row r="736">
      <c r="A736" s="10"/>
      <c r="F736" s="10"/>
      <c r="G736" s="10"/>
    </row>
    <row r="737">
      <c r="A737" s="10"/>
      <c r="F737" s="10"/>
      <c r="G737" s="10"/>
    </row>
    <row r="738">
      <c r="A738" s="10"/>
      <c r="F738" s="10"/>
      <c r="G738" s="10"/>
    </row>
    <row r="739">
      <c r="A739" s="10"/>
      <c r="F739" s="10"/>
      <c r="G739" s="10"/>
    </row>
    <row r="740">
      <c r="A740" s="10"/>
      <c r="F740" s="10"/>
      <c r="G740" s="10"/>
    </row>
    <row r="741">
      <c r="A741" s="10"/>
      <c r="F741" s="10"/>
      <c r="G741" s="10"/>
    </row>
    <row r="742">
      <c r="A742" s="10"/>
      <c r="F742" s="10"/>
      <c r="G742" s="10"/>
    </row>
    <row r="743">
      <c r="A743" s="10"/>
      <c r="F743" s="10"/>
      <c r="G743" s="10"/>
    </row>
    <row r="744">
      <c r="A744" s="10"/>
      <c r="F744" s="10"/>
      <c r="G744" s="10"/>
    </row>
    <row r="745">
      <c r="A745" s="10"/>
      <c r="F745" s="10"/>
      <c r="G745" s="10"/>
    </row>
    <row r="746">
      <c r="A746" s="10"/>
      <c r="F746" s="10"/>
      <c r="G746" s="10"/>
    </row>
    <row r="747">
      <c r="A747" s="10"/>
      <c r="F747" s="10"/>
      <c r="G747" s="10"/>
    </row>
    <row r="748">
      <c r="A748" s="10"/>
      <c r="F748" s="10"/>
      <c r="G748" s="10"/>
    </row>
    <row r="749">
      <c r="A749" s="10"/>
      <c r="F749" s="10"/>
      <c r="G749" s="10"/>
    </row>
    <row r="750">
      <c r="A750" s="10"/>
      <c r="F750" s="10"/>
      <c r="G750" s="10"/>
    </row>
    <row r="751">
      <c r="A751" s="10"/>
      <c r="F751" s="10"/>
      <c r="G751" s="10"/>
    </row>
    <row r="752">
      <c r="A752" s="10"/>
      <c r="F752" s="10"/>
      <c r="G752" s="10"/>
    </row>
    <row r="753">
      <c r="A753" s="10"/>
      <c r="F753" s="10"/>
      <c r="G753" s="10"/>
    </row>
    <row r="754">
      <c r="A754" s="10"/>
      <c r="F754" s="10"/>
      <c r="G754" s="10"/>
    </row>
    <row r="755">
      <c r="A755" s="10"/>
      <c r="F755" s="10"/>
      <c r="G755" s="10"/>
    </row>
    <row r="756">
      <c r="A756" s="10"/>
      <c r="F756" s="10"/>
      <c r="G756" s="10"/>
    </row>
    <row r="757">
      <c r="A757" s="10"/>
      <c r="F757" s="10"/>
      <c r="G757" s="10"/>
    </row>
    <row r="758">
      <c r="A758" s="10"/>
      <c r="F758" s="10"/>
      <c r="G758" s="10"/>
    </row>
    <row r="759">
      <c r="A759" s="10"/>
      <c r="F759" s="10"/>
      <c r="G759" s="10"/>
    </row>
    <row r="760">
      <c r="A760" s="10"/>
      <c r="F760" s="10"/>
      <c r="G760" s="10"/>
    </row>
    <row r="761">
      <c r="A761" s="10"/>
      <c r="F761" s="10"/>
      <c r="G761" s="10"/>
    </row>
    <row r="762">
      <c r="A762" s="10"/>
      <c r="F762" s="10"/>
      <c r="G762" s="10"/>
    </row>
    <row r="763">
      <c r="A763" s="10"/>
      <c r="F763" s="10"/>
      <c r="G763" s="10"/>
    </row>
    <row r="764">
      <c r="A764" s="10"/>
      <c r="F764" s="10"/>
      <c r="G764" s="10"/>
    </row>
    <row r="765">
      <c r="A765" s="10"/>
      <c r="F765" s="10"/>
      <c r="G765" s="10"/>
    </row>
    <row r="766">
      <c r="A766" s="10"/>
      <c r="F766" s="10"/>
      <c r="G766" s="10"/>
    </row>
    <row r="767">
      <c r="A767" s="10"/>
      <c r="F767" s="10"/>
      <c r="G767" s="10"/>
    </row>
    <row r="768">
      <c r="A768" s="10"/>
      <c r="F768" s="10"/>
      <c r="G768" s="10"/>
    </row>
    <row r="769">
      <c r="A769" s="10"/>
      <c r="F769" s="10"/>
      <c r="G769" s="10"/>
    </row>
    <row r="770">
      <c r="A770" s="10"/>
      <c r="F770" s="10"/>
      <c r="G770" s="10"/>
    </row>
    <row r="771">
      <c r="A771" s="10"/>
      <c r="F771" s="10"/>
      <c r="G771" s="10"/>
    </row>
    <row r="772">
      <c r="A772" s="10"/>
      <c r="F772" s="10"/>
      <c r="G772" s="10"/>
    </row>
    <row r="773">
      <c r="A773" s="10"/>
      <c r="F773" s="10"/>
      <c r="G773" s="10"/>
    </row>
    <row r="774">
      <c r="A774" s="10"/>
      <c r="F774" s="10"/>
      <c r="G774" s="10"/>
    </row>
    <row r="775">
      <c r="A775" s="10"/>
      <c r="F775" s="10"/>
      <c r="G775" s="10"/>
    </row>
    <row r="776">
      <c r="A776" s="10"/>
      <c r="F776" s="10"/>
      <c r="G776" s="10"/>
    </row>
    <row r="777">
      <c r="A777" s="10"/>
      <c r="F777" s="10"/>
      <c r="G777" s="10"/>
    </row>
    <row r="778">
      <c r="A778" s="10"/>
      <c r="F778" s="10"/>
      <c r="G778" s="10"/>
    </row>
    <row r="779">
      <c r="A779" s="10"/>
      <c r="F779" s="10"/>
      <c r="G779" s="10"/>
    </row>
    <row r="780">
      <c r="A780" s="10"/>
      <c r="F780" s="10"/>
      <c r="G780" s="10"/>
    </row>
    <row r="781">
      <c r="A781" s="10"/>
      <c r="F781" s="10"/>
      <c r="G781" s="10"/>
    </row>
    <row r="782">
      <c r="A782" s="10"/>
      <c r="F782" s="10"/>
      <c r="G782" s="10"/>
    </row>
    <row r="783">
      <c r="A783" s="10"/>
      <c r="F783" s="10"/>
      <c r="G783" s="10"/>
    </row>
    <row r="784">
      <c r="A784" s="10"/>
      <c r="F784" s="10"/>
      <c r="G784" s="10"/>
    </row>
    <row r="785">
      <c r="A785" s="10"/>
      <c r="F785" s="10"/>
      <c r="G785" s="10"/>
    </row>
    <row r="786">
      <c r="A786" s="10"/>
      <c r="F786" s="10"/>
      <c r="G786" s="10"/>
    </row>
    <row r="787">
      <c r="A787" s="10"/>
      <c r="F787" s="10"/>
      <c r="G787" s="10"/>
    </row>
    <row r="788">
      <c r="A788" s="10"/>
      <c r="F788" s="10"/>
      <c r="G788" s="10"/>
    </row>
    <row r="789">
      <c r="A789" s="10"/>
      <c r="F789" s="10"/>
      <c r="G789" s="10"/>
    </row>
    <row r="790">
      <c r="A790" s="10"/>
      <c r="F790" s="10"/>
      <c r="G790" s="10"/>
    </row>
    <row r="791">
      <c r="A791" s="10"/>
      <c r="F791" s="10"/>
      <c r="G791" s="10"/>
    </row>
    <row r="792">
      <c r="A792" s="10"/>
      <c r="F792" s="10"/>
      <c r="G792" s="10"/>
    </row>
    <row r="793">
      <c r="A793" s="10"/>
      <c r="F793" s="10"/>
      <c r="G793" s="10"/>
    </row>
    <row r="794">
      <c r="A794" s="10"/>
      <c r="F794" s="10"/>
      <c r="G794" s="10"/>
    </row>
    <row r="795">
      <c r="A795" s="10"/>
      <c r="F795" s="10"/>
      <c r="G795" s="10"/>
    </row>
    <row r="796">
      <c r="A796" s="10"/>
      <c r="F796" s="10"/>
      <c r="G796" s="10"/>
    </row>
    <row r="797">
      <c r="A797" s="10"/>
      <c r="F797" s="10"/>
      <c r="G797" s="10"/>
    </row>
    <row r="798">
      <c r="A798" s="10"/>
      <c r="F798" s="10"/>
      <c r="G798" s="10"/>
    </row>
    <row r="799">
      <c r="A799" s="10"/>
      <c r="F799" s="10"/>
      <c r="G799" s="10"/>
    </row>
    <row r="800">
      <c r="A800" s="10"/>
      <c r="F800" s="10"/>
      <c r="G800" s="10"/>
    </row>
    <row r="801">
      <c r="A801" s="10"/>
      <c r="F801" s="10"/>
      <c r="G801" s="10"/>
    </row>
    <row r="802">
      <c r="A802" s="10"/>
      <c r="F802" s="10"/>
      <c r="G802" s="10"/>
    </row>
    <row r="803">
      <c r="A803" s="10"/>
      <c r="F803" s="10"/>
      <c r="G803" s="10"/>
    </row>
    <row r="804">
      <c r="A804" s="10"/>
      <c r="F804" s="10"/>
      <c r="G804" s="10"/>
    </row>
    <row r="805">
      <c r="A805" s="10"/>
      <c r="F805" s="10"/>
      <c r="G805" s="10"/>
    </row>
    <row r="806">
      <c r="A806" s="10"/>
      <c r="F806" s="10"/>
      <c r="G806" s="10"/>
    </row>
    <row r="807">
      <c r="A807" s="10"/>
      <c r="F807" s="10"/>
      <c r="G807" s="10"/>
    </row>
    <row r="808">
      <c r="A808" s="10"/>
      <c r="F808" s="10"/>
      <c r="G808" s="10"/>
    </row>
    <row r="809">
      <c r="A809" s="10"/>
      <c r="F809" s="10"/>
      <c r="G809" s="10"/>
    </row>
    <row r="810">
      <c r="A810" s="10"/>
      <c r="F810" s="10"/>
      <c r="G810" s="10"/>
    </row>
    <row r="811">
      <c r="A811" s="10"/>
      <c r="F811" s="10"/>
      <c r="G811" s="10"/>
    </row>
    <row r="812">
      <c r="A812" s="10"/>
      <c r="F812" s="10"/>
      <c r="G812" s="10"/>
    </row>
    <row r="813">
      <c r="A813" s="10"/>
      <c r="F813" s="10"/>
      <c r="G813" s="10"/>
    </row>
    <row r="814">
      <c r="A814" s="10"/>
      <c r="F814" s="10"/>
      <c r="G814" s="10"/>
    </row>
    <row r="815">
      <c r="A815" s="10"/>
      <c r="F815" s="10"/>
      <c r="G815" s="10"/>
    </row>
    <row r="816">
      <c r="A816" s="10"/>
      <c r="F816" s="10"/>
      <c r="G816" s="10"/>
    </row>
    <row r="817">
      <c r="A817" s="10"/>
      <c r="F817" s="10"/>
      <c r="G817" s="10"/>
    </row>
    <row r="818">
      <c r="A818" s="10"/>
      <c r="F818" s="10"/>
      <c r="G818" s="10"/>
    </row>
    <row r="819">
      <c r="A819" s="10"/>
      <c r="F819" s="10"/>
      <c r="G819" s="10"/>
    </row>
    <row r="820">
      <c r="A820" s="10"/>
      <c r="F820" s="10"/>
      <c r="G820" s="10"/>
    </row>
    <row r="821">
      <c r="A821" s="10"/>
      <c r="F821" s="10"/>
      <c r="G821" s="10"/>
    </row>
    <row r="822">
      <c r="A822" s="10"/>
      <c r="F822" s="10"/>
      <c r="G822" s="10"/>
    </row>
    <row r="823">
      <c r="A823" s="10"/>
      <c r="F823" s="10"/>
      <c r="G823" s="10"/>
    </row>
    <row r="824">
      <c r="A824" s="10"/>
      <c r="F824" s="10"/>
      <c r="G824" s="10"/>
    </row>
    <row r="825">
      <c r="A825" s="10"/>
      <c r="F825" s="10"/>
      <c r="G825" s="10"/>
    </row>
    <row r="826">
      <c r="A826" s="10"/>
      <c r="F826" s="10"/>
      <c r="G826" s="10"/>
    </row>
    <row r="827">
      <c r="A827" s="10"/>
      <c r="F827" s="10"/>
      <c r="G827" s="10"/>
    </row>
    <row r="828">
      <c r="A828" s="10"/>
      <c r="F828" s="10"/>
      <c r="G828" s="10"/>
    </row>
    <row r="829">
      <c r="A829" s="10"/>
      <c r="F829" s="10"/>
      <c r="G829" s="10"/>
    </row>
    <row r="830">
      <c r="A830" s="10"/>
      <c r="F830" s="10"/>
      <c r="G830" s="10"/>
    </row>
    <row r="831">
      <c r="A831" s="10"/>
      <c r="F831" s="10"/>
      <c r="G831" s="10"/>
    </row>
    <row r="832">
      <c r="A832" s="10"/>
      <c r="F832" s="10"/>
      <c r="G832" s="10"/>
    </row>
    <row r="833">
      <c r="A833" s="10"/>
      <c r="F833" s="10"/>
      <c r="G833" s="10"/>
    </row>
    <row r="834">
      <c r="A834" s="10"/>
      <c r="F834" s="10"/>
      <c r="G834" s="10"/>
    </row>
    <row r="835">
      <c r="A835" s="10"/>
      <c r="F835" s="10"/>
      <c r="G835" s="10"/>
    </row>
    <row r="836">
      <c r="A836" s="10"/>
      <c r="F836" s="10"/>
      <c r="G836" s="10"/>
    </row>
    <row r="837">
      <c r="A837" s="10"/>
      <c r="F837" s="10"/>
      <c r="G837" s="10"/>
    </row>
    <row r="838">
      <c r="A838" s="10"/>
      <c r="F838" s="10"/>
      <c r="G838" s="10"/>
    </row>
    <row r="839">
      <c r="A839" s="10"/>
      <c r="F839" s="10"/>
      <c r="G839" s="10"/>
    </row>
    <row r="840">
      <c r="A840" s="10"/>
      <c r="F840" s="10"/>
      <c r="G840" s="10"/>
    </row>
    <row r="841">
      <c r="A841" s="10"/>
      <c r="F841" s="10"/>
      <c r="G841" s="10"/>
    </row>
    <row r="842">
      <c r="A842" s="10"/>
      <c r="F842" s="10"/>
      <c r="G842" s="10"/>
    </row>
    <row r="843">
      <c r="A843" s="10"/>
      <c r="F843" s="10"/>
      <c r="G843" s="10"/>
    </row>
    <row r="844">
      <c r="A844" s="10"/>
      <c r="F844" s="10"/>
      <c r="G844" s="10"/>
    </row>
    <row r="845">
      <c r="A845" s="10"/>
      <c r="F845" s="10"/>
      <c r="G845" s="10"/>
    </row>
    <row r="846">
      <c r="A846" s="10"/>
      <c r="F846" s="10"/>
      <c r="G846" s="10"/>
    </row>
    <row r="847">
      <c r="A847" s="10"/>
      <c r="F847" s="10"/>
      <c r="G847" s="10"/>
    </row>
    <row r="848">
      <c r="A848" s="10"/>
      <c r="F848" s="10"/>
      <c r="G848" s="10"/>
    </row>
    <row r="849">
      <c r="A849" s="10"/>
      <c r="F849" s="10"/>
      <c r="G849" s="10"/>
    </row>
    <row r="850">
      <c r="A850" s="10"/>
      <c r="F850" s="10"/>
      <c r="G850" s="10"/>
    </row>
    <row r="851">
      <c r="A851" s="10"/>
      <c r="F851" s="10"/>
      <c r="G851" s="10"/>
    </row>
    <row r="852">
      <c r="A852" s="10"/>
      <c r="F852" s="10"/>
      <c r="G852" s="10"/>
    </row>
    <row r="853">
      <c r="A853" s="10"/>
      <c r="F853" s="10"/>
      <c r="G853" s="10"/>
    </row>
    <row r="854">
      <c r="A854" s="10"/>
      <c r="F854" s="10"/>
      <c r="G854" s="10"/>
    </row>
    <row r="855">
      <c r="A855" s="10"/>
      <c r="F855" s="10"/>
      <c r="G855" s="10"/>
    </row>
    <row r="856">
      <c r="A856" s="10"/>
      <c r="F856" s="10"/>
      <c r="G856" s="10"/>
    </row>
    <row r="857">
      <c r="A857" s="10"/>
      <c r="F857" s="10"/>
      <c r="G857" s="10"/>
    </row>
    <row r="858">
      <c r="A858" s="10"/>
      <c r="F858" s="10"/>
      <c r="G858" s="10"/>
    </row>
    <row r="859">
      <c r="A859" s="10"/>
      <c r="F859" s="10"/>
      <c r="G859" s="10"/>
    </row>
    <row r="860">
      <c r="A860" s="10"/>
      <c r="F860" s="10"/>
      <c r="G860" s="10"/>
    </row>
    <row r="861">
      <c r="A861" s="10"/>
      <c r="F861" s="10"/>
      <c r="G861" s="10"/>
    </row>
    <row r="862">
      <c r="A862" s="10"/>
      <c r="F862" s="10"/>
      <c r="G862" s="10"/>
    </row>
    <row r="863">
      <c r="A863" s="10"/>
      <c r="F863" s="10"/>
      <c r="G863" s="10"/>
    </row>
    <row r="864">
      <c r="A864" s="10"/>
      <c r="F864" s="10"/>
      <c r="G864" s="10"/>
    </row>
    <row r="865">
      <c r="A865" s="10"/>
      <c r="F865" s="10"/>
      <c r="G865" s="10"/>
    </row>
    <row r="866">
      <c r="A866" s="10"/>
      <c r="F866" s="10"/>
      <c r="G866" s="10"/>
    </row>
    <row r="867">
      <c r="A867" s="10"/>
      <c r="F867" s="10"/>
      <c r="G867" s="10"/>
    </row>
    <row r="868">
      <c r="A868" s="10"/>
      <c r="F868" s="10"/>
      <c r="G868" s="10"/>
    </row>
    <row r="869">
      <c r="A869" s="10"/>
      <c r="F869" s="10"/>
      <c r="G869" s="10"/>
    </row>
    <row r="870">
      <c r="A870" s="10"/>
      <c r="F870" s="10"/>
      <c r="G870" s="10"/>
    </row>
    <row r="871">
      <c r="A871" s="10"/>
      <c r="F871" s="10"/>
      <c r="G871" s="10"/>
    </row>
    <row r="872">
      <c r="A872" s="10"/>
      <c r="F872" s="10"/>
      <c r="G872" s="10"/>
    </row>
    <row r="873">
      <c r="A873" s="10"/>
      <c r="F873" s="10"/>
      <c r="G873" s="10"/>
    </row>
    <row r="874">
      <c r="A874" s="10"/>
      <c r="F874" s="10"/>
      <c r="G874" s="10"/>
    </row>
    <row r="875">
      <c r="A875" s="10"/>
      <c r="F875" s="10"/>
      <c r="G875" s="10"/>
    </row>
    <row r="876">
      <c r="A876" s="10"/>
      <c r="F876" s="10"/>
      <c r="G876" s="10"/>
    </row>
    <row r="877">
      <c r="A877" s="10"/>
      <c r="F877" s="10"/>
      <c r="G877" s="10"/>
    </row>
    <row r="878">
      <c r="A878" s="10"/>
      <c r="F878" s="10"/>
      <c r="G878" s="10"/>
    </row>
    <row r="879">
      <c r="A879" s="10"/>
      <c r="F879" s="10"/>
      <c r="G879" s="10"/>
    </row>
    <row r="880">
      <c r="A880" s="10"/>
      <c r="F880" s="10"/>
      <c r="G880" s="10"/>
    </row>
    <row r="881">
      <c r="A881" s="10"/>
      <c r="F881" s="10"/>
      <c r="G881" s="10"/>
    </row>
    <row r="882">
      <c r="A882" s="10"/>
      <c r="F882" s="10"/>
      <c r="G882" s="10"/>
    </row>
    <row r="883">
      <c r="A883" s="10"/>
      <c r="F883" s="10"/>
      <c r="G883" s="10"/>
    </row>
    <row r="884">
      <c r="A884" s="10"/>
      <c r="F884" s="10"/>
      <c r="G884" s="10"/>
    </row>
    <row r="885">
      <c r="A885" s="10"/>
      <c r="F885" s="10"/>
      <c r="G885" s="10"/>
    </row>
    <row r="886">
      <c r="A886" s="10"/>
      <c r="F886" s="10"/>
      <c r="G886" s="10"/>
    </row>
    <row r="887">
      <c r="A887" s="10"/>
      <c r="F887" s="10"/>
      <c r="G887" s="10"/>
    </row>
    <row r="888">
      <c r="A888" s="10"/>
      <c r="F888" s="10"/>
      <c r="G888" s="10"/>
    </row>
    <row r="889">
      <c r="A889" s="10"/>
      <c r="F889" s="10"/>
      <c r="G889" s="10"/>
    </row>
    <row r="890">
      <c r="A890" s="10"/>
      <c r="F890" s="10"/>
      <c r="G890" s="10"/>
    </row>
    <row r="891">
      <c r="A891" s="10"/>
      <c r="F891" s="10"/>
      <c r="G891" s="10"/>
    </row>
    <row r="892">
      <c r="A892" s="10"/>
      <c r="F892" s="10"/>
      <c r="G892" s="10"/>
    </row>
    <row r="893">
      <c r="A893" s="10"/>
      <c r="F893" s="10"/>
      <c r="G893" s="10"/>
    </row>
    <row r="894">
      <c r="A894" s="10"/>
      <c r="F894" s="10"/>
      <c r="G894" s="10"/>
    </row>
    <row r="895">
      <c r="A895" s="10"/>
      <c r="F895" s="10"/>
      <c r="G895" s="10"/>
    </row>
    <row r="896">
      <c r="A896" s="10"/>
      <c r="F896" s="10"/>
      <c r="G896" s="10"/>
    </row>
    <row r="897">
      <c r="A897" s="10"/>
      <c r="F897" s="10"/>
      <c r="G897" s="10"/>
    </row>
    <row r="898">
      <c r="A898" s="10"/>
      <c r="F898" s="10"/>
      <c r="G898" s="10"/>
    </row>
    <row r="899">
      <c r="A899" s="10"/>
      <c r="F899" s="10"/>
      <c r="G899" s="10"/>
    </row>
    <row r="900">
      <c r="A900" s="10"/>
      <c r="F900" s="10"/>
      <c r="G900" s="10"/>
    </row>
    <row r="901">
      <c r="A901" s="10"/>
      <c r="F901" s="10"/>
      <c r="G901" s="10"/>
    </row>
    <row r="902">
      <c r="A902" s="10"/>
      <c r="F902" s="10"/>
      <c r="G902" s="10"/>
    </row>
    <row r="903">
      <c r="A903" s="10"/>
      <c r="F903" s="10"/>
      <c r="G903" s="10"/>
    </row>
    <row r="904">
      <c r="A904" s="10"/>
      <c r="F904" s="10"/>
      <c r="G904" s="10"/>
    </row>
    <row r="905">
      <c r="A905" s="10"/>
      <c r="F905" s="10"/>
      <c r="G905" s="10"/>
    </row>
    <row r="906">
      <c r="A906" s="10"/>
      <c r="F906" s="10"/>
      <c r="G906" s="10"/>
    </row>
    <row r="907">
      <c r="A907" s="10"/>
      <c r="F907" s="10"/>
      <c r="G907" s="10"/>
    </row>
    <row r="908">
      <c r="A908" s="10"/>
      <c r="F908" s="10"/>
      <c r="G908" s="10"/>
    </row>
    <row r="909">
      <c r="A909" s="10"/>
      <c r="F909" s="10"/>
      <c r="G909" s="10"/>
    </row>
    <row r="910">
      <c r="A910" s="10"/>
      <c r="F910" s="10"/>
      <c r="G910" s="10"/>
    </row>
    <row r="911">
      <c r="A911" s="10"/>
      <c r="F911" s="10"/>
      <c r="G911" s="10"/>
    </row>
    <row r="912">
      <c r="A912" s="10"/>
      <c r="F912" s="10"/>
      <c r="G912" s="10"/>
    </row>
    <row r="913">
      <c r="A913" s="10"/>
      <c r="F913" s="10"/>
      <c r="G913" s="10"/>
    </row>
    <row r="914">
      <c r="A914" s="10"/>
      <c r="F914" s="10"/>
      <c r="G914" s="10"/>
    </row>
    <row r="915">
      <c r="A915" s="10"/>
      <c r="F915" s="10"/>
      <c r="G915" s="10"/>
    </row>
    <row r="916">
      <c r="A916" s="10"/>
      <c r="F916" s="10"/>
      <c r="G916" s="10"/>
    </row>
    <row r="917">
      <c r="A917" s="10"/>
      <c r="F917" s="10"/>
      <c r="G917" s="10"/>
    </row>
    <row r="918">
      <c r="A918" s="10"/>
      <c r="F918" s="10"/>
      <c r="G918" s="10"/>
    </row>
    <row r="919">
      <c r="A919" s="10"/>
      <c r="F919" s="10"/>
      <c r="G919" s="10"/>
    </row>
    <row r="920">
      <c r="A920" s="10"/>
      <c r="F920" s="10"/>
      <c r="G920" s="10"/>
    </row>
    <row r="921">
      <c r="A921" s="10"/>
      <c r="F921" s="10"/>
      <c r="G921" s="10"/>
    </row>
    <row r="922">
      <c r="A922" s="10"/>
      <c r="F922" s="10"/>
      <c r="G922" s="10"/>
    </row>
    <row r="923">
      <c r="A923" s="10"/>
      <c r="F923" s="10"/>
      <c r="G923" s="10"/>
    </row>
    <row r="924">
      <c r="A924" s="10"/>
      <c r="F924" s="10"/>
      <c r="G924" s="10"/>
    </row>
    <row r="925">
      <c r="A925" s="10"/>
      <c r="F925" s="10"/>
      <c r="G925" s="10"/>
    </row>
    <row r="926">
      <c r="A926" s="10"/>
      <c r="F926" s="10"/>
      <c r="G926" s="10"/>
    </row>
    <row r="927">
      <c r="A927" s="10"/>
      <c r="F927" s="10"/>
      <c r="G927" s="10"/>
    </row>
    <row r="928">
      <c r="A928" s="10"/>
      <c r="F928" s="10"/>
      <c r="G928" s="10"/>
    </row>
    <row r="929">
      <c r="A929" s="10"/>
      <c r="F929" s="10"/>
      <c r="G929" s="10"/>
    </row>
    <row r="930">
      <c r="A930" s="10"/>
      <c r="F930" s="10"/>
      <c r="G930" s="10"/>
    </row>
    <row r="931">
      <c r="A931" s="10"/>
      <c r="F931" s="10"/>
      <c r="G931" s="10"/>
    </row>
    <row r="932">
      <c r="A932" s="10"/>
      <c r="F932" s="10"/>
      <c r="G932" s="10"/>
    </row>
    <row r="933">
      <c r="A933" s="10"/>
      <c r="F933" s="10"/>
      <c r="G933" s="10"/>
    </row>
    <row r="934">
      <c r="A934" s="10"/>
      <c r="F934" s="10"/>
      <c r="G934" s="10"/>
    </row>
    <row r="935">
      <c r="A935" s="10"/>
      <c r="F935" s="10"/>
      <c r="G935" s="10"/>
    </row>
    <row r="936">
      <c r="A936" s="10"/>
      <c r="F936" s="10"/>
      <c r="G936" s="10"/>
    </row>
    <row r="937">
      <c r="A937" s="10"/>
      <c r="F937" s="10"/>
      <c r="G937" s="10"/>
    </row>
    <row r="938">
      <c r="A938" s="10"/>
      <c r="F938" s="10"/>
      <c r="G938" s="10"/>
    </row>
    <row r="939">
      <c r="A939" s="10"/>
      <c r="F939" s="10"/>
      <c r="G939" s="10"/>
    </row>
    <row r="940">
      <c r="A940" s="10"/>
      <c r="F940" s="10"/>
      <c r="G940" s="10"/>
    </row>
    <row r="941">
      <c r="A941" s="10"/>
      <c r="F941" s="10"/>
      <c r="G941" s="10"/>
    </row>
    <row r="942">
      <c r="A942" s="10"/>
      <c r="F942" s="10"/>
      <c r="G942" s="10"/>
    </row>
    <row r="943">
      <c r="A943" s="10"/>
      <c r="F943" s="10"/>
      <c r="G943" s="10"/>
    </row>
    <row r="944">
      <c r="A944" s="10"/>
      <c r="F944" s="10"/>
      <c r="G944" s="10"/>
    </row>
    <row r="945">
      <c r="A945" s="10"/>
      <c r="F945" s="10"/>
      <c r="G945" s="10"/>
    </row>
    <row r="946">
      <c r="A946" s="10"/>
      <c r="F946" s="10"/>
      <c r="G946" s="10"/>
    </row>
    <row r="947">
      <c r="A947" s="10"/>
      <c r="F947" s="10"/>
      <c r="G947" s="10"/>
    </row>
    <row r="948">
      <c r="A948" s="10"/>
      <c r="F948" s="10"/>
      <c r="G948" s="10"/>
    </row>
    <row r="949">
      <c r="A949" s="10"/>
      <c r="F949" s="10"/>
      <c r="G949" s="10"/>
    </row>
    <row r="950">
      <c r="A950" s="10"/>
      <c r="F950" s="10"/>
      <c r="G950" s="10"/>
    </row>
    <row r="951">
      <c r="A951" s="10"/>
      <c r="F951" s="10"/>
      <c r="G951" s="10"/>
    </row>
    <row r="952">
      <c r="A952" s="10"/>
      <c r="F952" s="10"/>
      <c r="G952" s="10"/>
    </row>
    <row r="953">
      <c r="A953" s="10"/>
      <c r="F953" s="10"/>
      <c r="G953" s="10"/>
    </row>
    <row r="954">
      <c r="A954" s="10"/>
      <c r="F954" s="10"/>
      <c r="G954" s="10"/>
    </row>
    <row r="955">
      <c r="A955" s="10"/>
      <c r="F955" s="10"/>
      <c r="G955" s="10"/>
    </row>
    <row r="956">
      <c r="A956" s="10"/>
      <c r="F956" s="10"/>
      <c r="G956" s="10"/>
    </row>
    <row r="957">
      <c r="A957" s="10"/>
      <c r="F957" s="10"/>
      <c r="G957" s="10"/>
    </row>
    <row r="958">
      <c r="A958" s="10"/>
      <c r="F958" s="10"/>
      <c r="G958" s="10"/>
    </row>
    <row r="959">
      <c r="A959" s="10"/>
      <c r="F959" s="10"/>
      <c r="G959" s="10"/>
    </row>
    <row r="960">
      <c r="A960" s="10"/>
      <c r="F960" s="10"/>
      <c r="G960" s="10"/>
    </row>
    <row r="961">
      <c r="A961" s="10"/>
      <c r="F961" s="10"/>
      <c r="G961" s="10"/>
    </row>
    <row r="962">
      <c r="A962" s="10"/>
      <c r="F962" s="10"/>
      <c r="G962" s="10"/>
    </row>
    <row r="963">
      <c r="A963" s="10"/>
      <c r="F963" s="10"/>
      <c r="G963" s="10"/>
    </row>
    <row r="964">
      <c r="A964" s="10"/>
      <c r="F964" s="10"/>
      <c r="G964" s="10"/>
    </row>
    <row r="965">
      <c r="A965" s="10"/>
      <c r="F965" s="10"/>
      <c r="G965" s="10"/>
    </row>
    <row r="966">
      <c r="A966" s="10"/>
      <c r="F966" s="10"/>
      <c r="G966" s="10"/>
    </row>
    <row r="967">
      <c r="A967" s="10"/>
      <c r="F967" s="10"/>
      <c r="G967" s="10"/>
    </row>
    <row r="968">
      <c r="A968" s="10"/>
      <c r="F968" s="10"/>
      <c r="G968" s="10"/>
    </row>
    <row r="969">
      <c r="A969" s="10"/>
      <c r="F969" s="10"/>
      <c r="G969" s="10"/>
    </row>
    <row r="970">
      <c r="A970" s="10"/>
      <c r="F970" s="10"/>
      <c r="G970" s="10"/>
    </row>
    <row r="971">
      <c r="A971" s="10"/>
      <c r="F971" s="10"/>
      <c r="G971" s="10"/>
    </row>
    <row r="972">
      <c r="A972" s="10"/>
      <c r="F972" s="10"/>
      <c r="G972" s="10"/>
    </row>
    <row r="973">
      <c r="A973" s="10"/>
      <c r="F973" s="10"/>
      <c r="G973" s="10"/>
    </row>
    <row r="974">
      <c r="A974" s="10"/>
      <c r="F974" s="10"/>
      <c r="G974" s="10"/>
    </row>
    <row r="975">
      <c r="A975" s="10"/>
      <c r="F975" s="10"/>
      <c r="G975" s="10"/>
    </row>
    <row r="976">
      <c r="A976" s="10"/>
      <c r="F976" s="10"/>
      <c r="G976" s="10"/>
    </row>
    <row r="977">
      <c r="A977" s="10"/>
      <c r="F977" s="10"/>
      <c r="G977" s="10"/>
    </row>
    <row r="978">
      <c r="A978" s="10"/>
      <c r="F978" s="10"/>
      <c r="G978" s="10"/>
    </row>
    <row r="979">
      <c r="A979" s="10"/>
      <c r="F979" s="10"/>
      <c r="G979" s="10"/>
    </row>
    <row r="980">
      <c r="A980" s="10"/>
      <c r="F980" s="10"/>
      <c r="G980" s="10"/>
    </row>
    <row r="981">
      <c r="A981" s="10"/>
      <c r="F981" s="10"/>
      <c r="G981" s="10"/>
    </row>
    <row r="982">
      <c r="A982" s="10"/>
      <c r="F982" s="10"/>
      <c r="G982" s="10"/>
    </row>
    <row r="983">
      <c r="A983" s="10"/>
      <c r="F983" s="10"/>
      <c r="G983" s="10"/>
    </row>
    <row r="984">
      <c r="A984" s="10"/>
      <c r="F984" s="10"/>
      <c r="G984" s="10"/>
    </row>
    <row r="985">
      <c r="A985" s="10"/>
      <c r="F985" s="10"/>
      <c r="G985" s="10"/>
    </row>
    <row r="986">
      <c r="A986" s="10"/>
      <c r="F986" s="10"/>
      <c r="G986" s="10"/>
    </row>
    <row r="987">
      <c r="A987" s="10"/>
      <c r="F987" s="10"/>
      <c r="G987" s="10"/>
    </row>
    <row r="988">
      <c r="A988" s="10"/>
      <c r="F988" s="10"/>
      <c r="G988" s="10"/>
    </row>
    <row r="989">
      <c r="A989" s="10"/>
      <c r="F989" s="10"/>
      <c r="G989" s="10"/>
    </row>
    <row r="990">
      <c r="A990" s="10"/>
      <c r="F990" s="10"/>
      <c r="G990" s="10"/>
    </row>
    <row r="991">
      <c r="A991" s="10"/>
      <c r="F991" s="10"/>
      <c r="G991" s="10"/>
    </row>
    <row r="992">
      <c r="A992" s="10"/>
      <c r="F992" s="10"/>
      <c r="G992" s="10"/>
    </row>
    <row r="993">
      <c r="A993" s="10"/>
      <c r="F993" s="10"/>
      <c r="G993" s="10"/>
    </row>
    <row r="994">
      <c r="A994" s="10"/>
      <c r="F994" s="10"/>
      <c r="G994" s="10"/>
    </row>
    <row r="995">
      <c r="A995" s="10"/>
      <c r="F995" s="10"/>
      <c r="G995" s="10"/>
    </row>
    <row r="996">
      <c r="A996" s="10"/>
      <c r="F996" s="10"/>
      <c r="G996" s="10"/>
    </row>
    <row r="997">
      <c r="A997" s="10"/>
      <c r="F997" s="10"/>
      <c r="G997" s="10"/>
    </row>
    <row r="998">
      <c r="A998" s="10"/>
      <c r="F998" s="10"/>
      <c r="G998" s="10"/>
    </row>
    <row r="999">
      <c r="A999" s="10"/>
      <c r="F999" s="10"/>
      <c r="G999" s="10"/>
    </row>
    <row r="1000">
      <c r="A1000" s="10"/>
      <c r="F1000" s="10"/>
      <c r="G1000" s="10"/>
    </row>
  </sheetData>
  <mergeCells count="1">
    <mergeCell ref="J1:L1"/>
  </mergeCells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6" max="6" width="27.56"/>
  </cols>
  <sheetData>
    <row r="1">
      <c r="A1" s="34" t="s">
        <v>58</v>
      </c>
      <c r="B1" s="34" t="s">
        <v>59</v>
      </c>
      <c r="C1" s="34" t="s">
        <v>60</v>
      </c>
      <c r="D1" s="34" t="s">
        <v>61</v>
      </c>
      <c r="E1" s="34" t="s">
        <v>62</v>
      </c>
      <c r="F1" s="34" t="s">
        <v>63</v>
      </c>
      <c r="G1" s="34" t="s">
        <v>64</v>
      </c>
      <c r="H1" s="34" t="s">
        <v>65</v>
      </c>
      <c r="I1" s="34" t="s">
        <v>10</v>
      </c>
      <c r="J1" s="34" t="s">
        <v>16</v>
      </c>
      <c r="K1" s="34" t="s">
        <v>66</v>
      </c>
      <c r="L1" s="34" t="s">
        <v>67</v>
      </c>
      <c r="M1" s="34" t="s">
        <v>68</v>
      </c>
      <c r="O1" s="34" t="s">
        <v>69</v>
      </c>
    </row>
    <row r="2">
      <c r="A2" s="34" t="s">
        <v>70</v>
      </c>
      <c r="B2" s="34" t="s">
        <v>71</v>
      </c>
      <c r="C2" s="34">
        <v>1.0</v>
      </c>
      <c r="D2" s="34" t="s">
        <v>72</v>
      </c>
      <c r="E2" s="34" t="s">
        <v>73</v>
      </c>
      <c r="F2" s="34" t="s">
        <v>74</v>
      </c>
      <c r="G2" s="34">
        <v>1269.0</v>
      </c>
      <c r="H2" s="34" t="s">
        <v>75</v>
      </c>
      <c r="I2" s="34" t="s">
        <v>18</v>
      </c>
      <c r="J2" s="34" t="s">
        <v>14</v>
      </c>
      <c r="K2" s="45">
        <v>107.2</v>
      </c>
      <c r="L2" s="45">
        <v>77.8</v>
      </c>
      <c r="M2" s="45">
        <v>102.1</v>
      </c>
      <c r="O2" s="5" t="str">
        <f>IFERROR(__xludf.DUMMYFUNCTION("sort(unique(B2:B3608),1,True)"),"AIX-MARSEILLE")</f>
        <v>AIX-MARSEILLE</v>
      </c>
    </row>
    <row r="3">
      <c r="A3" s="34" t="s">
        <v>70</v>
      </c>
      <c r="B3" s="34" t="s">
        <v>71</v>
      </c>
      <c r="C3" s="34">
        <v>1.0</v>
      </c>
      <c r="D3" s="34" t="s">
        <v>72</v>
      </c>
      <c r="E3" s="34" t="s">
        <v>76</v>
      </c>
      <c r="F3" s="34" t="s">
        <v>77</v>
      </c>
      <c r="G3" s="34">
        <v>1160.0</v>
      </c>
      <c r="H3" s="34" t="s">
        <v>78</v>
      </c>
      <c r="I3" s="34" t="s">
        <v>18</v>
      </c>
      <c r="J3" s="34" t="s">
        <v>14</v>
      </c>
      <c r="K3" s="45">
        <v>123.8</v>
      </c>
      <c r="L3" s="45">
        <v>93.7</v>
      </c>
      <c r="M3" s="45">
        <v>121.6</v>
      </c>
      <c r="O3" s="5" t="str">
        <f>IFERROR(__xludf.DUMMYFUNCTION("""COMPUTED_VALUE"""),"AMIENS")</f>
        <v>AMIENS</v>
      </c>
    </row>
    <row r="4">
      <c r="A4" s="34" t="s">
        <v>70</v>
      </c>
      <c r="B4" s="34" t="s">
        <v>71</v>
      </c>
      <c r="C4" s="34">
        <v>1.0</v>
      </c>
      <c r="D4" s="34" t="s">
        <v>72</v>
      </c>
      <c r="E4" s="34" t="s">
        <v>79</v>
      </c>
      <c r="F4" s="34" t="s">
        <v>80</v>
      </c>
      <c r="G4" s="34">
        <v>1249.0</v>
      </c>
      <c r="H4" s="34" t="s">
        <v>81</v>
      </c>
      <c r="I4" s="34" t="s">
        <v>17</v>
      </c>
      <c r="J4" s="34" t="s">
        <v>15</v>
      </c>
      <c r="K4" s="45">
        <v>128.5</v>
      </c>
      <c r="L4" s="9"/>
      <c r="M4" s="45">
        <v>128.5</v>
      </c>
      <c r="O4" s="5" t="str">
        <f>IFERROR(__xludf.DUMMYFUNCTION("""COMPUTED_VALUE"""),"BESANCON")</f>
        <v>BESANCON</v>
      </c>
    </row>
    <row r="5">
      <c r="A5" s="34" t="s">
        <v>70</v>
      </c>
      <c r="B5" s="34" t="s">
        <v>71</v>
      </c>
      <c r="C5" s="34">
        <v>1.0</v>
      </c>
      <c r="D5" s="34" t="s">
        <v>72</v>
      </c>
      <c r="E5" s="34" t="s">
        <v>82</v>
      </c>
      <c r="F5" s="34" t="s">
        <v>83</v>
      </c>
      <c r="G5" s="34">
        <v>1053.0</v>
      </c>
      <c r="H5" s="34" t="s">
        <v>84</v>
      </c>
      <c r="I5" s="34" t="s">
        <v>18</v>
      </c>
      <c r="J5" s="34" t="s">
        <v>13</v>
      </c>
      <c r="K5" s="9"/>
      <c r="L5" s="45">
        <v>83.9</v>
      </c>
      <c r="M5" s="45">
        <v>83.9</v>
      </c>
      <c r="O5" s="5" t="str">
        <f>IFERROR(__xludf.DUMMYFUNCTION("""COMPUTED_VALUE"""),"BORDEAUX")</f>
        <v>BORDEAUX</v>
      </c>
    </row>
    <row r="6">
      <c r="A6" s="34" t="s">
        <v>70</v>
      </c>
      <c r="B6" s="34" t="s">
        <v>71</v>
      </c>
      <c r="C6" s="34">
        <v>1.0</v>
      </c>
      <c r="D6" s="34" t="s">
        <v>72</v>
      </c>
      <c r="E6" s="34" t="s">
        <v>85</v>
      </c>
      <c r="F6" s="34" t="s">
        <v>86</v>
      </c>
      <c r="G6" s="34">
        <v>1004.0</v>
      </c>
      <c r="H6" s="34" t="s">
        <v>87</v>
      </c>
      <c r="I6" s="34" t="s">
        <v>18</v>
      </c>
      <c r="J6" s="34" t="s">
        <v>15</v>
      </c>
      <c r="K6" s="45">
        <v>120.1</v>
      </c>
      <c r="L6" s="9"/>
      <c r="M6" s="45">
        <v>120.1</v>
      </c>
      <c r="O6" s="5" t="str">
        <f>IFERROR(__xludf.DUMMYFUNCTION("""COMPUTED_VALUE"""),"CLERMONT-FERRAND")</f>
        <v>CLERMONT-FERRAND</v>
      </c>
    </row>
    <row r="7">
      <c r="A7" s="34" t="s">
        <v>70</v>
      </c>
      <c r="B7" s="34" t="s">
        <v>88</v>
      </c>
      <c r="C7" s="34">
        <v>2.0</v>
      </c>
      <c r="D7" s="34" t="s">
        <v>89</v>
      </c>
      <c r="E7" s="34" t="s">
        <v>90</v>
      </c>
      <c r="F7" s="34" t="s">
        <v>91</v>
      </c>
      <c r="G7" s="34">
        <v>2304.0</v>
      </c>
      <c r="H7" s="34" t="s">
        <v>92</v>
      </c>
      <c r="I7" s="34" t="s">
        <v>18</v>
      </c>
      <c r="J7" s="34" t="s">
        <v>13</v>
      </c>
      <c r="K7" s="9"/>
      <c r="L7" s="45">
        <v>80.2</v>
      </c>
      <c r="M7" s="45">
        <v>80.2</v>
      </c>
      <c r="O7" s="5" t="str">
        <f>IFERROR(__xludf.DUMMYFUNCTION("""COMPUTED_VALUE"""),"CORSE")</f>
        <v>CORSE</v>
      </c>
    </row>
    <row r="8">
      <c r="A8" s="34" t="s">
        <v>70</v>
      </c>
      <c r="B8" s="34" t="s">
        <v>88</v>
      </c>
      <c r="C8" s="34">
        <v>2.0</v>
      </c>
      <c r="D8" s="34" t="s">
        <v>89</v>
      </c>
      <c r="E8" s="34" t="s">
        <v>93</v>
      </c>
      <c r="F8" s="34" t="s">
        <v>94</v>
      </c>
      <c r="G8" s="34">
        <v>2691.0</v>
      </c>
      <c r="H8" s="34" t="s">
        <v>95</v>
      </c>
      <c r="I8" s="34" t="s">
        <v>18</v>
      </c>
      <c r="J8" s="34" t="s">
        <v>15</v>
      </c>
      <c r="K8" s="45">
        <v>102.2</v>
      </c>
      <c r="L8" s="9"/>
      <c r="M8" s="45">
        <v>102.2</v>
      </c>
      <c r="O8" s="5" t="str">
        <f>IFERROR(__xludf.DUMMYFUNCTION("""COMPUTED_VALUE"""),"CRETEIL")</f>
        <v>CRETEIL</v>
      </c>
    </row>
    <row r="9">
      <c r="A9" s="34" t="s">
        <v>70</v>
      </c>
      <c r="B9" s="34" t="s">
        <v>88</v>
      </c>
      <c r="C9" s="34">
        <v>2.0</v>
      </c>
      <c r="D9" s="34" t="s">
        <v>89</v>
      </c>
      <c r="E9" s="34" t="s">
        <v>96</v>
      </c>
      <c r="F9" s="34" t="s">
        <v>97</v>
      </c>
      <c r="G9" s="34">
        <v>2691.0</v>
      </c>
      <c r="H9" s="34" t="s">
        <v>95</v>
      </c>
      <c r="I9" s="34" t="s">
        <v>18</v>
      </c>
      <c r="J9" s="34" t="s">
        <v>13</v>
      </c>
      <c r="K9" s="9"/>
      <c r="L9" s="45">
        <v>96.5</v>
      </c>
      <c r="M9" s="45">
        <v>96.5</v>
      </c>
      <c r="O9" s="5" t="str">
        <f>IFERROR(__xludf.DUMMYFUNCTION("""COMPUTED_VALUE"""),"DIJON")</f>
        <v>DIJON</v>
      </c>
    </row>
    <row r="10">
      <c r="A10" s="34" t="s">
        <v>70</v>
      </c>
      <c r="B10" s="34" t="s">
        <v>88</v>
      </c>
      <c r="C10" s="34">
        <v>2.0</v>
      </c>
      <c r="D10" s="34" t="s">
        <v>89</v>
      </c>
      <c r="E10" s="34" t="s">
        <v>98</v>
      </c>
      <c r="F10" s="34" t="s">
        <v>99</v>
      </c>
      <c r="G10" s="34">
        <v>2691.0</v>
      </c>
      <c r="H10" s="34" t="s">
        <v>95</v>
      </c>
      <c r="I10" s="34" t="s">
        <v>18</v>
      </c>
      <c r="J10" s="34" t="s">
        <v>13</v>
      </c>
      <c r="K10" s="9"/>
      <c r="L10" s="45">
        <v>72.3</v>
      </c>
      <c r="M10" s="45">
        <v>72.3</v>
      </c>
      <c r="O10" s="5" t="str">
        <f>IFERROR(__xludf.DUMMYFUNCTION("""COMPUTED_VALUE"""),"GRENOBLE")</f>
        <v>GRENOBLE</v>
      </c>
    </row>
    <row r="11">
      <c r="A11" s="34" t="s">
        <v>70</v>
      </c>
      <c r="B11" s="34" t="s">
        <v>88</v>
      </c>
      <c r="C11" s="34">
        <v>2.0</v>
      </c>
      <c r="D11" s="34" t="s">
        <v>89</v>
      </c>
      <c r="E11" s="34" t="s">
        <v>100</v>
      </c>
      <c r="F11" s="34" t="s">
        <v>101</v>
      </c>
      <c r="G11" s="34">
        <v>2408.0</v>
      </c>
      <c r="H11" s="34" t="s">
        <v>102</v>
      </c>
      <c r="I11" s="34" t="s">
        <v>18</v>
      </c>
      <c r="J11" s="34" t="s">
        <v>13</v>
      </c>
      <c r="K11" s="9"/>
      <c r="L11" s="45">
        <v>73.0</v>
      </c>
      <c r="M11" s="45">
        <v>73.0</v>
      </c>
      <c r="O11" s="5" t="str">
        <f>IFERROR(__xludf.DUMMYFUNCTION("""COMPUTED_VALUE"""),"GUADELOUPE")</f>
        <v>GUADELOUPE</v>
      </c>
    </row>
    <row r="12">
      <c r="A12" s="34" t="s">
        <v>70</v>
      </c>
      <c r="B12" s="34" t="s">
        <v>88</v>
      </c>
      <c r="C12" s="34">
        <v>2.0</v>
      </c>
      <c r="D12" s="34" t="s">
        <v>89</v>
      </c>
      <c r="E12" s="34" t="s">
        <v>103</v>
      </c>
      <c r="F12" s="34" t="s">
        <v>104</v>
      </c>
      <c r="G12" s="34">
        <v>2722.0</v>
      </c>
      <c r="H12" s="34" t="s">
        <v>105</v>
      </c>
      <c r="I12" s="34" t="s">
        <v>17</v>
      </c>
      <c r="J12" s="34" t="s">
        <v>13</v>
      </c>
      <c r="K12" s="9"/>
      <c r="L12" s="45">
        <v>91.5</v>
      </c>
      <c r="M12" s="45">
        <v>91.5</v>
      </c>
      <c r="O12" s="5" t="str">
        <f>IFERROR(__xludf.DUMMYFUNCTION("""COMPUTED_VALUE"""),"GUYANE")</f>
        <v>GUYANE</v>
      </c>
    </row>
    <row r="13">
      <c r="A13" s="34" t="s">
        <v>70</v>
      </c>
      <c r="B13" s="34" t="s">
        <v>88</v>
      </c>
      <c r="C13" s="34">
        <v>2.0</v>
      </c>
      <c r="D13" s="34" t="s">
        <v>89</v>
      </c>
      <c r="E13" s="34" t="s">
        <v>106</v>
      </c>
      <c r="F13" s="34" t="s">
        <v>107</v>
      </c>
      <c r="G13" s="34">
        <v>2173.0</v>
      </c>
      <c r="H13" s="34" t="s">
        <v>108</v>
      </c>
      <c r="I13" s="34" t="s">
        <v>17</v>
      </c>
      <c r="J13" s="34" t="s">
        <v>15</v>
      </c>
      <c r="K13" s="45">
        <v>109.8</v>
      </c>
      <c r="L13" s="9"/>
      <c r="M13" s="45">
        <v>109.8</v>
      </c>
      <c r="O13" s="5" t="str">
        <f>IFERROR(__xludf.DUMMYFUNCTION("""COMPUTED_VALUE"""),"LA REUNION")</f>
        <v>LA REUNION</v>
      </c>
    </row>
    <row r="14">
      <c r="A14" s="34" t="s">
        <v>70</v>
      </c>
      <c r="B14" s="34" t="s">
        <v>88</v>
      </c>
      <c r="C14" s="34">
        <v>2.0</v>
      </c>
      <c r="D14" s="34" t="s">
        <v>89</v>
      </c>
      <c r="E14" s="34" t="s">
        <v>109</v>
      </c>
      <c r="F14" s="34" t="s">
        <v>80</v>
      </c>
      <c r="G14" s="34">
        <v>2321.0</v>
      </c>
      <c r="H14" s="34" t="s">
        <v>110</v>
      </c>
      <c r="I14" s="34" t="s">
        <v>17</v>
      </c>
      <c r="J14" s="34" t="s">
        <v>15</v>
      </c>
      <c r="K14" s="45">
        <v>110.2</v>
      </c>
      <c r="L14" s="9"/>
      <c r="M14" s="45">
        <v>110.2</v>
      </c>
      <c r="O14" s="5" t="str">
        <f>IFERROR(__xludf.DUMMYFUNCTION("""COMPUTED_VALUE"""),"LILLE")</f>
        <v>LILLE</v>
      </c>
    </row>
    <row r="15">
      <c r="A15" s="34" t="s">
        <v>70</v>
      </c>
      <c r="B15" s="34" t="s">
        <v>88</v>
      </c>
      <c r="C15" s="34">
        <v>2.0</v>
      </c>
      <c r="D15" s="34" t="s">
        <v>89</v>
      </c>
      <c r="E15" s="34" t="s">
        <v>111</v>
      </c>
      <c r="F15" s="34" t="s">
        <v>112</v>
      </c>
      <c r="G15" s="34">
        <v>2168.0</v>
      </c>
      <c r="H15" s="34" t="s">
        <v>113</v>
      </c>
      <c r="I15" s="34" t="s">
        <v>17</v>
      </c>
      <c r="J15" s="34" t="s">
        <v>13</v>
      </c>
      <c r="K15" s="9"/>
      <c r="L15" s="45">
        <v>94.6</v>
      </c>
      <c r="M15" s="45">
        <v>94.6</v>
      </c>
      <c r="O15" s="5" t="str">
        <f>IFERROR(__xludf.DUMMYFUNCTION("""COMPUTED_VALUE"""),"LIMOGES")</f>
        <v>LIMOGES</v>
      </c>
    </row>
    <row r="16">
      <c r="A16" s="34" t="s">
        <v>70</v>
      </c>
      <c r="B16" s="34" t="s">
        <v>88</v>
      </c>
      <c r="C16" s="34">
        <v>2.0</v>
      </c>
      <c r="D16" s="34" t="s">
        <v>89</v>
      </c>
      <c r="E16" s="34" t="s">
        <v>114</v>
      </c>
      <c r="F16" s="34" t="s">
        <v>115</v>
      </c>
      <c r="G16" s="34">
        <v>2173.0</v>
      </c>
      <c r="H16" s="34" t="s">
        <v>108</v>
      </c>
      <c r="I16" s="34" t="s">
        <v>18</v>
      </c>
      <c r="J16" s="34" t="s">
        <v>13</v>
      </c>
      <c r="K16" s="9"/>
      <c r="L16" s="45">
        <v>77.5</v>
      </c>
      <c r="M16" s="45">
        <v>77.5</v>
      </c>
      <c r="O16" s="5" t="str">
        <f>IFERROR(__xludf.DUMMYFUNCTION("""COMPUTED_VALUE"""),"LYON")</f>
        <v>LYON</v>
      </c>
    </row>
    <row r="17">
      <c r="A17" s="34" t="s">
        <v>70</v>
      </c>
      <c r="B17" s="34" t="s">
        <v>116</v>
      </c>
      <c r="C17" s="34">
        <v>3.0</v>
      </c>
      <c r="D17" s="34" t="s">
        <v>117</v>
      </c>
      <c r="E17" s="34" t="s">
        <v>118</v>
      </c>
      <c r="F17" s="34" t="s">
        <v>119</v>
      </c>
      <c r="G17" s="34">
        <v>3185.0</v>
      </c>
      <c r="H17" s="34" t="s">
        <v>120</v>
      </c>
      <c r="I17" s="34" t="s">
        <v>18</v>
      </c>
      <c r="J17" s="34" t="s">
        <v>14</v>
      </c>
      <c r="K17" s="45">
        <v>108.9</v>
      </c>
      <c r="L17" s="45">
        <v>84.8</v>
      </c>
      <c r="M17" s="45">
        <v>99.9</v>
      </c>
      <c r="O17" s="5" t="str">
        <f>IFERROR(__xludf.DUMMYFUNCTION("""COMPUTED_VALUE"""),"MARTINIQUE")</f>
        <v>MARTINIQUE</v>
      </c>
    </row>
    <row r="18">
      <c r="A18" s="34" t="s">
        <v>70</v>
      </c>
      <c r="B18" s="34" t="s">
        <v>116</v>
      </c>
      <c r="C18" s="34">
        <v>3.0</v>
      </c>
      <c r="D18" s="34" t="s">
        <v>117</v>
      </c>
      <c r="E18" s="34" t="s">
        <v>121</v>
      </c>
      <c r="F18" s="34" t="s">
        <v>122</v>
      </c>
      <c r="G18" s="34">
        <v>3095.0</v>
      </c>
      <c r="H18" s="34" t="s">
        <v>123</v>
      </c>
      <c r="I18" s="34" t="s">
        <v>18</v>
      </c>
      <c r="J18" s="34" t="s">
        <v>15</v>
      </c>
      <c r="K18" s="45">
        <v>111.9</v>
      </c>
      <c r="L18" s="9"/>
      <c r="M18" s="45">
        <v>111.9</v>
      </c>
      <c r="O18" s="5" t="str">
        <f>IFERROR(__xludf.DUMMYFUNCTION("""COMPUTED_VALUE"""),"MAYOTTE")</f>
        <v>MAYOTTE</v>
      </c>
    </row>
    <row r="19">
      <c r="A19" s="34" t="s">
        <v>70</v>
      </c>
      <c r="B19" s="34" t="s">
        <v>116</v>
      </c>
      <c r="C19" s="34">
        <v>3.0</v>
      </c>
      <c r="D19" s="34" t="s">
        <v>117</v>
      </c>
      <c r="E19" s="34" t="s">
        <v>124</v>
      </c>
      <c r="F19" s="34" t="s">
        <v>125</v>
      </c>
      <c r="G19" s="34">
        <v>3190.0</v>
      </c>
      <c r="H19" s="34" t="s">
        <v>126</v>
      </c>
      <c r="I19" s="34" t="s">
        <v>17</v>
      </c>
      <c r="J19" s="34" t="s">
        <v>13</v>
      </c>
      <c r="K19" s="9"/>
      <c r="L19" s="45">
        <v>83.6</v>
      </c>
      <c r="M19" s="45">
        <v>83.6</v>
      </c>
      <c r="O19" s="5" t="str">
        <f>IFERROR(__xludf.DUMMYFUNCTION("""COMPUTED_VALUE"""),"MONTPELLIER")</f>
        <v>MONTPELLIER</v>
      </c>
    </row>
    <row r="20">
      <c r="A20" s="34" t="s">
        <v>70</v>
      </c>
      <c r="B20" s="34" t="s">
        <v>116</v>
      </c>
      <c r="C20" s="34">
        <v>3.0</v>
      </c>
      <c r="D20" s="34" t="s">
        <v>117</v>
      </c>
      <c r="E20" s="34" t="s">
        <v>127</v>
      </c>
      <c r="F20" s="34" t="s">
        <v>128</v>
      </c>
      <c r="G20" s="34">
        <v>3190.0</v>
      </c>
      <c r="H20" s="34" t="s">
        <v>126</v>
      </c>
      <c r="I20" s="34" t="s">
        <v>17</v>
      </c>
      <c r="J20" s="34" t="s">
        <v>15</v>
      </c>
      <c r="K20" s="45">
        <v>98.3</v>
      </c>
      <c r="L20" s="9"/>
      <c r="M20" s="45">
        <v>98.3</v>
      </c>
      <c r="O20" s="5" t="str">
        <f>IFERROR(__xludf.DUMMYFUNCTION("""COMPUTED_VALUE"""),"NANCY-METZ")</f>
        <v>NANCY-METZ</v>
      </c>
    </row>
    <row r="21">
      <c r="A21" s="34" t="s">
        <v>70</v>
      </c>
      <c r="B21" s="34" t="s">
        <v>129</v>
      </c>
      <c r="C21" s="34">
        <v>4.0</v>
      </c>
      <c r="D21" s="34" t="s">
        <v>130</v>
      </c>
      <c r="E21" s="34" t="s">
        <v>131</v>
      </c>
      <c r="F21" s="34" t="s">
        <v>132</v>
      </c>
      <c r="G21" s="34">
        <v>4112.0</v>
      </c>
      <c r="H21" s="34" t="s">
        <v>133</v>
      </c>
      <c r="I21" s="34" t="s">
        <v>18</v>
      </c>
      <c r="J21" s="34" t="s">
        <v>15</v>
      </c>
      <c r="K21" s="45">
        <v>113.2</v>
      </c>
      <c r="L21" s="9"/>
      <c r="M21" s="45">
        <v>113.2</v>
      </c>
      <c r="O21" s="5" t="str">
        <f>IFERROR(__xludf.DUMMYFUNCTION("""COMPUTED_VALUE"""),"NANTES")</f>
        <v>NANTES</v>
      </c>
    </row>
    <row r="22">
      <c r="A22" s="34" t="s">
        <v>70</v>
      </c>
      <c r="B22" s="34" t="s">
        <v>134</v>
      </c>
      <c r="C22" s="34">
        <v>6.0</v>
      </c>
      <c r="D22" s="34" t="s">
        <v>135</v>
      </c>
      <c r="E22" s="34" t="s">
        <v>136</v>
      </c>
      <c r="F22" s="34" t="s">
        <v>137</v>
      </c>
      <c r="G22" s="34">
        <v>6004.0</v>
      </c>
      <c r="H22" s="34" t="s">
        <v>138</v>
      </c>
      <c r="I22" s="34" t="s">
        <v>18</v>
      </c>
      <c r="J22" s="34" t="s">
        <v>13</v>
      </c>
      <c r="K22" s="9"/>
      <c r="L22" s="45">
        <v>92.7</v>
      </c>
      <c r="M22" s="45">
        <v>92.7</v>
      </c>
      <c r="O22" s="5" t="str">
        <f>IFERROR(__xludf.DUMMYFUNCTION("""COMPUTED_VALUE"""),"NICE")</f>
        <v>NICE</v>
      </c>
    </row>
    <row r="23">
      <c r="A23" s="34" t="s">
        <v>70</v>
      </c>
      <c r="B23" s="34" t="s">
        <v>134</v>
      </c>
      <c r="C23" s="34">
        <v>6.0</v>
      </c>
      <c r="D23" s="34" t="s">
        <v>135</v>
      </c>
      <c r="E23" s="34" t="s">
        <v>139</v>
      </c>
      <c r="F23" s="34" t="s">
        <v>140</v>
      </c>
      <c r="G23" s="34">
        <v>6027.0</v>
      </c>
      <c r="H23" s="34" t="s">
        <v>141</v>
      </c>
      <c r="I23" s="34" t="s">
        <v>18</v>
      </c>
      <c r="J23" s="34" t="s">
        <v>15</v>
      </c>
      <c r="K23" s="45">
        <v>123.2</v>
      </c>
      <c r="L23" s="9"/>
      <c r="M23" s="45">
        <v>123.2</v>
      </c>
      <c r="O23" s="5" t="str">
        <f>IFERROR(__xludf.DUMMYFUNCTION("""COMPUTED_VALUE"""),"NORMANDIE")</f>
        <v>NORMANDIE</v>
      </c>
    </row>
    <row r="24">
      <c r="A24" s="34" t="s">
        <v>70</v>
      </c>
      <c r="B24" s="34" t="s">
        <v>134</v>
      </c>
      <c r="C24" s="34">
        <v>6.0</v>
      </c>
      <c r="D24" s="34" t="s">
        <v>135</v>
      </c>
      <c r="E24" s="34" t="s">
        <v>142</v>
      </c>
      <c r="F24" s="34" t="s">
        <v>143</v>
      </c>
      <c r="G24" s="34">
        <v>6069.0</v>
      </c>
      <c r="H24" s="34" t="s">
        <v>144</v>
      </c>
      <c r="I24" s="34" t="s">
        <v>18</v>
      </c>
      <c r="J24" s="34" t="s">
        <v>13</v>
      </c>
      <c r="K24" s="9"/>
      <c r="L24" s="45">
        <v>91.3</v>
      </c>
      <c r="M24" s="45">
        <v>91.3</v>
      </c>
      <c r="O24" s="5" t="str">
        <f>IFERROR(__xludf.DUMMYFUNCTION("""COMPUTED_VALUE"""),"ORLEANS-TOURS")</f>
        <v>ORLEANS-TOURS</v>
      </c>
    </row>
    <row r="25">
      <c r="A25" s="34" t="s">
        <v>70</v>
      </c>
      <c r="B25" s="34" t="s">
        <v>134</v>
      </c>
      <c r="C25" s="34">
        <v>6.0</v>
      </c>
      <c r="D25" s="34" t="s">
        <v>135</v>
      </c>
      <c r="E25" s="34" t="s">
        <v>145</v>
      </c>
      <c r="F25" s="34" t="s">
        <v>146</v>
      </c>
      <c r="G25" s="34">
        <v>6083.0</v>
      </c>
      <c r="H25" s="34" t="s">
        <v>147</v>
      </c>
      <c r="I25" s="34" t="s">
        <v>18</v>
      </c>
      <c r="J25" s="34" t="s">
        <v>15</v>
      </c>
      <c r="K25" s="45">
        <v>102.4</v>
      </c>
      <c r="L25" s="9"/>
      <c r="M25" s="45">
        <v>102.4</v>
      </c>
      <c r="O25" s="5" t="str">
        <f>IFERROR(__xludf.DUMMYFUNCTION("""COMPUTED_VALUE"""),"PARIS")</f>
        <v>PARIS</v>
      </c>
    </row>
    <row r="26">
      <c r="A26" s="34" t="s">
        <v>70</v>
      </c>
      <c r="B26" s="34" t="s">
        <v>134</v>
      </c>
      <c r="C26" s="34">
        <v>6.0</v>
      </c>
      <c r="D26" s="34" t="s">
        <v>135</v>
      </c>
      <c r="E26" s="34" t="s">
        <v>148</v>
      </c>
      <c r="F26" s="34" t="s">
        <v>149</v>
      </c>
      <c r="G26" s="34">
        <v>6004.0</v>
      </c>
      <c r="H26" s="34" t="s">
        <v>138</v>
      </c>
      <c r="I26" s="34" t="s">
        <v>17</v>
      </c>
      <c r="J26" s="34" t="s">
        <v>15</v>
      </c>
      <c r="K26" s="45">
        <v>131.6</v>
      </c>
      <c r="L26" s="9"/>
      <c r="M26" s="45">
        <v>131.6</v>
      </c>
      <c r="O26" s="5" t="str">
        <f>IFERROR(__xludf.DUMMYFUNCTION("""COMPUTED_VALUE"""),"POITIERS")</f>
        <v>POITIERS</v>
      </c>
    </row>
    <row r="27">
      <c r="A27" s="34" t="s">
        <v>70</v>
      </c>
      <c r="B27" s="34" t="s">
        <v>134</v>
      </c>
      <c r="C27" s="34">
        <v>6.0</v>
      </c>
      <c r="D27" s="34" t="s">
        <v>135</v>
      </c>
      <c r="E27" s="34" t="s">
        <v>150</v>
      </c>
      <c r="F27" s="34" t="s">
        <v>151</v>
      </c>
      <c r="G27" s="34">
        <v>6088.0</v>
      </c>
      <c r="H27" s="34" t="s">
        <v>134</v>
      </c>
      <c r="I27" s="34" t="s">
        <v>17</v>
      </c>
      <c r="J27" s="34" t="s">
        <v>15</v>
      </c>
      <c r="K27" s="45">
        <v>127.2</v>
      </c>
      <c r="L27" s="9"/>
      <c r="M27" s="45">
        <v>127.2</v>
      </c>
      <c r="O27" s="5" t="str">
        <f>IFERROR(__xludf.DUMMYFUNCTION("""COMPUTED_VALUE"""),"REIMS")</f>
        <v>REIMS</v>
      </c>
    </row>
    <row r="28">
      <c r="A28" s="34" t="s">
        <v>70</v>
      </c>
      <c r="B28" s="34" t="s">
        <v>134</v>
      </c>
      <c r="C28" s="34">
        <v>6.0</v>
      </c>
      <c r="D28" s="34" t="s">
        <v>135</v>
      </c>
      <c r="E28" s="34" t="s">
        <v>152</v>
      </c>
      <c r="F28" s="34" t="s">
        <v>153</v>
      </c>
      <c r="G28" s="34">
        <v>6088.0</v>
      </c>
      <c r="H28" s="34" t="s">
        <v>134</v>
      </c>
      <c r="I28" s="34" t="s">
        <v>17</v>
      </c>
      <c r="J28" s="34" t="s">
        <v>13</v>
      </c>
      <c r="K28" s="9"/>
      <c r="L28" s="45">
        <v>108.5</v>
      </c>
      <c r="M28" s="45">
        <v>108.5</v>
      </c>
      <c r="O28" s="5" t="str">
        <f>IFERROR(__xludf.DUMMYFUNCTION("""COMPUTED_VALUE"""),"RENNES")</f>
        <v>RENNES</v>
      </c>
    </row>
    <row r="29">
      <c r="A29" s="34" t="s">
        <v>70</v>
      </c>
      <c r="B29" s="34" t="s">
        <v>134</v>
      </c>
      <c r="C29" s="34">
        <v>6.0</v>
      </c>
      <c r="D29" s="34" t="s">
        <v>135</v>
      </c>
      <c r="E29" s="34" t="s">
        <v>154</v>
      </c>
      <c r="F29" s="34" t="s">
        <v>155</v>
      </c>
      <c r="G29" s="34">
        <v>6088.0</v>
      </c>
      <c r="H29" s="34" t="s">
        <v>134</v>
      </c>
      <c r="I29" s="34" t="s">
        <v>17</v>
      </c>
      <c r="J29" s="34" t="s">
        <v>13</v>
      </c>
      <c r="K29" s="9"/>
      <c r="L29" s="45">
        <v>121.5</v>
      </c>
      <c r="M29" s="45">
        <v>121.5</v>
      </c>
      <c r="O29" s="5" t="str">
        <f>IFERROR(__xludf.DUMMYFUNCTION("""COMPUTED_VALUE"""),"STRASBOURG")</f>
        <v>STRASBOURG</v>
      </c>
    </row>
    <row r="30">
      <c r="A30" s="34" t="s">
        <v>70</v>
      </c>
      <c r="B30" s="34" t="s">
        <v>134</v>
      </c>
      <c r="C30" s="34">
        <v>6.0</v>
      </c>
      <c r="D30" s="34" t="s">
        <v>135</v>
      </c>
      <c r="E30" s="34" t="s">
        <v>156</v>
      </c>
      <c r="F30" s="34" t="s">
        <v>157</v>
      </c>
      <c r="G30" s="34">
        <v>6029.0</v>
      </c>
      <c r="H30" s="34" t="s">
        <v>158</v>
      </c>
      <c r="I30" s="34" t="s">
        <v>18</v>
      </c>
      <c r="J30" s="34" t="s">
        <v>13</v>
      </c>
      <c r="K30" s="9"/>
      <c r="L30" s="45">
        <v>95.7</v>
      </c>
      <c r="M30" s="45">
        <v>95.7</v>
      </c>
      <c r="O30" s="5" t="str">
        <f>IFERROR(__xludf.DUMMYFUNCTION("""COMPUTED_VALUE"""),"TOULOUSE")</f>
        <v>TOULOUSE</v>
      </c>
    </row>
    <row r="31">
      <c r="A31" s="34" t="s">
        <v>70</v>
      </c>
      <c r="B31" s="34" t="s">
        <v>134</v>
      </c>
      <c r="C31" s="34">
        <v>6.0</v>
      </c>
      <c r="D31" s="34" t="s">
        <v>135</v>
      </c>
      <c r="E31" s="34" t="s">
        <v>159</v>
      </c>
      <c r="F31" s="34" t="s">
        <v>160</v>
      </c>
      <c r="G31" s="34">
        <v>6027.0</v>
      </c>
      <c r="H31" s="34" t="s">
        <v>141</v>
      </c>
      <c r="I31" s="34" t="s">
        <v>18</v>
      </c>
      <c r="J31" s="34" t="s">
        <v>13</v>
      </c>
      <c r="K31" s="9"/>
      <c r="L31" s="45">
        <v>88.3</v>
      </c>
      <c r="M31" s="45">
        <v>88.3</v>
      </c>
      <c r="O31" s="5" t="str">
        <f>IFERROR(__xludf.DUMMYFUNCTION("""COMPUTED_VALUE"""),"VERSAILLES")</f>
        <v>VERSAILLES</v>
      </c>
    </row>
    <row r="32">
      <c r="A32" s="34" t="s">
        <v>70</v>
      </c>
      <c r="B32" s="34" t="s">
        <v>161</v>
      </c>
      <c r="C32" s="34">
        <v>7.0</v>
      </c>
      <c r="D32" s="34" t="s">
        <v>162</v>
      </c>
      <c r="E32" s="34" t="s">
        <v>163</v>
      </c>
      <c r="F32" s="34" t="s">
        <v>164</v>
      </c>
      <c r="G32" s="34">
        <v>7319.0</v>
      </c>
      <c r="H32" s="34" t="s">
        <v>165</v>
      </c>
      <c r="I32" s="34" t="s">
        <v>18</v>
      </c>
      <c r="J32" s="34" t="s">
        <v>14</v>
      </c>
      <c r="K32" s="45">
        <v>114.4</v>
      </c>
      <c r="L32" s="45">
        <v>78.9</v>
      </c>
      <c r="M32" s="45">
        <v>101.3</v>
      </c>
    </row>
    <row r="33">
      <c r="A33" s="34" t="s">
        <v>70</v>
      </c>
      <c r="B33" s="34" t="s">
        <v>161</v>
      </c>
      <c r="C33" s="34">
        <v>7.0</v>
      </c>
      <c r="D33" s="34" t="s">
        <v>162</v>
      </c>
      <c r="E33" s="34" t="s">
        <v>166</v>
      </c>
      <c r="F33" s="34" t="s">
        <v>167</v>
      </c>
      <c r="G33" s="34">
        <v>7064.0</v>
      </c>
      <c r="H33" s="34" t="s">
        <v>168</v>
      </c>
      <c r="I33" s="34" t="s">
        <v>18</v>
      </c>
      <c r="J33" s="34" t="s">
        <v>14</v>
      </c>
      <c r="K33" s="45">
        <v>109.6</v>
      </c>
      <c r="L33" s="45">
        <v>92.9</v>
      </c>
      <c r="M33" s="45">
        <v>106.4</v>
      </c>
    </row>
    <row r="34">
      <c r="A34" s="34" t="s">
        <v>70</v>
      </c>
      <c r="B34" s="34" t="s">
        <v>169</v>
      </c>
      <c r="C34" s="34">
        <v>8.0</v>
      </c>
      <c r="D34" s="34" t="s">
        <v>170</v>
      </c>
      <c r="E34" s="34" t="s">
        <v>171</v>
      </c>
      <c r="F34" s="34" t="s">
        <v>172</v>
      </c>
      <c r="G34" s="34">
        <v>8105.0</v>
      </c>
      <c r="H34" s="34" t="s">
        <v>173</v>
      </c>
      <c r="I34" s="34" t="s">
        <v>18</v>
      </c>
      <c r="J34" s="34" t="s">
        <v>13</v>
      </c>
      <c r="K34" s="9"/>
      <c r="L34" s="45">
        <v>74.0</v>
      </c>
      <c r="M34" s="45">
        <v>74.0</v>
      </c>
    </row>
    <row r="35">
      <c r="A35" s="34" t="s">
        <v>70</v>
      </c>
      <c r="B35" s="34" t="s">
        <v>169</v>
      </c>
      <c r="C35" s="34">
        <v>8.0</v>
      </c>
      <c r="D35" s="34" t="s">
        <v>170</v>
      </c>
      <c r="E35" s="34" t="s">
        <v>174</v>
      </c>
      <c r="F35" s="34" t="s">
        <v>175</v>
      </c>
      <c r="G35" s="34">
        <v>8362.0</v>
      </c>
      <c r="H35" s="34" t="s">
        <v>176</v>
      </c>
      <c r="I35" s="34" t="s">
        <v>18</v>
      </c>
      <c r="J35" s="34" t="s">
        <v>14</v>
      </c>
      <c r="K35" s="45">
        <v>110.5</v>
      </c>
      <c r="L35" s="45">
        <v>78.2</v>
      </c>
      <c r="M35" s="45">
        <v>99.3</v>
      </c>
    </row>
    <row r="36">
      <c r="A36" s="34" t="s">
        <v>70</v>
      </c>
      <c r="B36" s="34" t="s">
        <v>169</v>
      </c>
      <c r="C36" s="34">
        <v>8.0</v>
      </c>
      <c r="D36" s="34" t="s">
        <v>170</v>
      </c>
      <c r="E36" s="34" t="s">
        <v>177</v>
      </c>
      <c r="F36" s="34" t="s">
        <v>178</v>
      </c>
      <c r="G36" s="34">
        <v>8409.0</v>
      </c>
      <c r="H36" s="34" t="s">
        <v>179</v>
      </c>
      <c r="I36" s="34" t="s">
        <v>18</v>
      </c>
      <c r="J36" s="34" t="s">
        <v>13</v>
      </c>
      <c r="K36" s="9"/>
      <c r="L36" s="45">
        <v>79.3</v>
      </c>
      <c r="M36" s="45">
        <v>79.3</v>
      </c>
    </row>
    <row r="37">
      <c r="A37" s="34" t="s">
        <v>70</v>
      </c>
      <c r="B37" s="34" t="s">
        <v>169</v>
      </c>
      <c r="C37" s="34">
        <v>8.0</v>
      </c>
      <c r="D37" s="34" t="s">
        <v>170</v>
      </c>
      <c r="E37" s="34" t="s">
        <v>180</v>
      </c>
      <c r="F37" s="34" t="s">
        <v>181</v>
      </c>
      <c r="G37" s="34">
        <v>8105.0</v>
      </c>
      <c r="H37" s="34" t="s">
        <v>173</v>
      </c>
      <c r="I37" s="34" t="s">
        <v>17</v>
      </c>
      <c r="J37" s="34" t="s">
        <v>14</v>
      </c>
      <c r="K37" s="45">
        <v>120.4</v>
      </c>
      <c r="L37" s="45">
        <v>96.8</v>
      </c>
      <c r="M37" s="45">
        <v>114.1</v>
      </c>
    </row>
    <row r="38">
      <c r="A38" s="34" t="s">
        <v>70</v>
      </c>
      <c r="B38" s="34" t="s">
        <v>182</v>
      </c>
      <c r="C38" s="34">
        <v>9.0</v>
      </c>
      <c r="D38" s="34" t="s">
        <v>183</v>
      </c>
      <c r="E38" s="34" t="s">
        <v>184</v>
      </c>
      <c r="F38" s="34" t="s">
        <v>185</v>
      </c>
      <c r="G38" s="34">
        <v>9225.0</v>
      </c>
      <c r="H38" s="34" t="s">
        <v>186</v>
      </c>
      <c r="I38" s="34" t="s">
        <v>18</v>
      </c>
      <c r="J38" s="34" t="s">
        <v>14</v>
      </c>
      <c r="K38" s="45">
        <v>111.3</v>
      </c>
      <c r="L38" s="45">
        <v>90.8</v>
      </c>
      <c r="M38" s="45">
        <v>108.1</v>
      </c>
    </row>
    <row r="39">
      <c r="A39" s="34" t="s">
        <v>70</v>
      </c>
      <c r="B39" s="34" t="s">
        <v>169</v>
      </c>
      <c r="C39" s="34">
        <v>10.0</v>
      </c>
      <c r="D39" s="34" t="s">
        <v>187</v>
      </c>
      <c r="E39" s="34" t="s">
        <v>188</v>
      </c>
      <c r="F39" s="34" t="s">
        <v>189</v>
      </c>
      <c r="G39" s="34">
        <v>10033.0</v>
      </c>
      <c r="H39" s="34" t="s">
        <v>190</v>
      </c>
      <c r="I39" s="34" t="s">
        <v>18</v>
      </c>
      <c r="J39" s="34" t="s">
        <v>14</v>
      </c>
      <c r="K39" s="45">
        <v>104.3</v>
      </c>
      <c r="L39" s="45">
        <v>78.6</v>
      </c>
      <c r="M39" s="45">
        <v>97.4</v>
      </c>
    </row>
    <row r="40">
      <c r="A40" s="34" t="s">
        <v>70</v>
      </c>
      <c r="B40" s="34" t="s">
        <v>169</v>
      </c>
      <c r="C40" s="34">
        <v>10.0</v>
      </c>
      <c r="D40" s="34" t="s">
        <v>187</v>
      </c>
      <c r="E40" s="34" t="s">
        <v>191</v>
      </c>
      <c r="F40" s="34" t="s">
        <v>192</v>
      </c>
      <c r="G40" s="34">
        <v>10387.0</v>
      </c>
      <c r="H40" s="34" t="s">
        <v>193</v>
      </c>
      <c r="I40" s="34" t="s">
        <v>17</v>
      </c>
      <c r="J40" s="34" t="s">
        <v>15</v>
      </c>
      <c r="K40" s="45">
        <v>114.2</v>
      </c>
      <c r="L40" s="9"/>
      <c r="M40" s="45">
        <v>114.2</v>
      </c>
    </row>
    <row r="41">
      <c r="A41" s="34" t="s">
        <v>70</v>
      </c>
      <c r="B41" s="34" t="s">
        <v>169</v>
      </c>
      <c r="C41" s="34">
        <v>10.0</v>
      </c>
      <c r="D41" s="34" t="s">
        <v>187</v>
      </c>
      <c r="E41" s="34" t="s">
        <v>194</v>
      </c>
      <c r="F41" s="34" t="s">
        <v>195</v>
      </c>
      <c r="G41" s="34">
        <v>10387.0</v>
      </c>
      <c r="H41" s="34" t="s">
        <v>193</v>
      </c>
      <c r="I41" s="34" t="s">
        <v>17</v>
      </c>
      <c r="J41" s="34" t="s">
        <v>13</v>
      </c>
      <c r="K41" s="9"/>
      <c r="L41" s="45">
        <v>84.3</v>
      </c>
      <c r="M41" s="45">
        <v>84.3</v>
      </c>
    </row>
    <row r="42">
      <c r="A42" s="34" t="s">
        <v>70</v>
      </c>
      <c r="B42" s="34" t="s">
        <v>169</v>
      </c>
      <c r="C42" s="34">
        <v>10.0</v>
      </c>
      <c r="D42" s="34" t="s">
        <v>187</v>
      </c>
      <c r="E42" s="34" t="s">
        <v>196</v>
      </c>
      <c r="F42" s="34" t="s">
        <v>197</v>
      </c>
      <c r="G42" s="34">
        <v>10387.0</v>
      </c>
      <c r="H42" s="34" t="s">
        <v>193</v>
      </c>
      <c r="I42" s="34" t="s">
        <v>17</v>
      </c>
      <c r="J42" s="34" t="s">
        <v>13</v>
      </c>
      <c r="K42" s="9"/>
      <c r="L42" s="45">
        <v>87.9</v>
      </c>
      <c r="M42" s="45">
        <v>87.9</v>
      </c>
    </row>
    <row r="43">
      <c r="A43" s="34" t="s">
        <v>70</v>
      </c>
      <c r="B43" s="34" t="s">
        <v>169</v>
      </c>
      <c r="C43" s="34">
        <v>10.0</v>
      </c>
      <c r="D43" s="34" t="s">
        <v>187</v>
      </c>
      <c r="E43" s="34" t="s">
        <v>198</v>
      </c>
      <c r="F43" s="34" t="s">
        <v>199</v>
      </c>
      <c r="G43" s="34">
        <v>10387.0</v>
      </c>
      <c r="H43" s="34" t="s">
        <v>193</v>
      </c>
      <c r="I43" s="34" t="s">
        <v>18</v>
      </c>
      <c r="J43" s="34" t="s">
        <v>15</v>
      </c>
      <c r="K43" s="45">
        <v>106.7</v>
      </c>
      <c r="L43" s="9"/>
      <c r="M43" s="45">
        <v>106.7</v>
      </c>
    </row>
    <row r="44">
      <c r="A44" s="34" t="s">
        <v>70</v>
      </c>
      <c r="B44" s="34" t="s">
        <v>182</v>
      </c>
      <c r="C44" s="34">
        <v>12.0</v>
      </c>
      <c r="D44" s="34" t="s">
        <v>200</v>
      </c>
      <c r="E44" s="34" t="s">
        <v>201</v>
      </c>
      <c r="F44" s="34" t="s">
        <v>202</v>
      </c>
      <c r="G44" s="34">
        <v>12145.0</v>
      </c>
      <c r="H44" s="34" t="s">
        <v>203</v>
      </c>
      <c r="I44" s="34" t="s">
        <v>18</v>
      </c>
      <c r="J44" s="34" t="s">
        <v>15</v>
      </c>
      <c r="K44" s="45">
        <v>114.2</v>
      </c>
      <c r="L44" s="9"/>
      <c r="M44" s="45">
        <v>114.2</v>
      </c>
    </row>
    <row r="45">
      <c r="A45" s="34" t="s">
        <v>70</v>
      </c>
      <c r="B45" s="34" t="s">
        <v>182</v>
      </c>
      <c r="C45" s="34">
        <v>12.0</v>
      </c>
      <c r="D45" s="34" t="s">
        <v>200</v>
      </c>
      <c r="E45" s="34" t="s">
        <v>204</v>
      </c>
      <c r="F45" s="34" t="s">
        <v>205</v>
      </c>
      <c r="G45" s="34">
        <v>12202.0</v>
      </c>
      <c r="H45" s="34" t="s">
        <v>206</v>
      </c>
      <c r="I45" s="34" t="s">
        <v>18</v>
      </c>
      <c r="J45" s="34" t="s">
        <v>15</v>
      </c>
      <c r="K45" s="45">
        <v>121.9</v>
      </c>
      <c r="L45" s="9"/>
      <c r="M45" s="45">
        <v>121.9</v>
      </c>
    </row>
    <row r="46">
      <c r="A46" s="34" t="s">
        <v>70</v>
      </c>
      <c r="B46" s="34" t="s">
        <v>182</v>
      </c>
      <c r="C46" s="34">
        <v>12.0</v>
      </c>
      <c r="D46" s="34" t="s">
        <v>200</v>
      </c>
      <c r="E46" s="34" t="s">
        <v>207</v>
      </c>
      <c r="F46" s="34" t="s">
        <v>208</v>
      </c>
      <c r="G46" s="34">
        <v>12202.0</v>
      </c>
      <c r="H46" s="34" t="s">
        <v>206</v>
      </c>
      <c r="I46" s="34" t="s">
        <v>18</v>
      </c>
      <c r="J46" s="34" t="s">
        <v>13</v>
      </c>
      <c r="K46" s="9"/>
      <c r="L46" s="45">
        <v>84.8</v>
      </c>
      <c r="M46" s="45">
        <v>84.8</v>
      </c>
    </row>
    <row r="47">
      <c r="A47" s="34" t="s">
        <v>70</v>
      </c>
      <c r="B47" s="34" t="s">
        <v>182</v>
      </c>
      <c r="C47" s="34">
        <v>12.0</v>
      </c>
      <c r="D47" s="34" t="s">
        <v>200</v>
      </c>
      <c r="E47" s="34" t="s">
        <v>209</v>
      </c>
      <c r="F47" s="34" t="s">
        <v>210</v>
      </c>
      <c r="G47" s="34">
        <v>12145.0</v>
      </c>
      <c r="H47" s="34" t="s">
        <v>203</v>
      </c>
      <c r="I47" s="34" t="s">
        <v>17</v>
      </c>
      <c r="J47" s="34" t="s">
        <v>15</v>
      </c>
      <c r="K47" s="45">
        <v>111.3</v>
      </c>
      <c r="L47" s="9"/>
      <c r="M47" s="45">
        <v>111.3</v>
      </c>
    </row>
    <row r="48">
      <c r="A48" s="34" t="s">
        <v>70</v>
      </c>
      <c r="B48" s="34" t="s">
        <v>182</v>
      </c>
      <c r="C48" s="34">
        <v>12.0</v>
      </c>
      <c r="D48" s="34" t="s">
        <v>200</v>
      </c>
      <c r="E48" s="34" t="s">
        <v>211</v>
      </c>
      <c r="F48" s="34" t="s">
        <v>212</v>
      </c>
      <c r="G48" s="34">
        <v>12208.0</v>
      </c>
      <c r="H48" s="34" t="s">
        <v>213</v>
      </c>
      <c r="I48" s="34" t="s">
        <v>17</v>
      </c>
      <c r="J48" s="34" t="s">
        <v>15</v>
      </c>
      <c r="K48" s="45">
        <v>111.3</v>
      </c>
      <c r="L48" s="9"/>
      <c r="M48" s="45">
        <v>111.3</v>
      </c>
    </row>
    <row r="49">
      <c r="A49" s="34" t="s">
        <v>70</v>
      </c>
      <c r="B49" s="34" t="s">
        <v>182</v>
      </c>
      <c r="C49" s="34">
        <v>12.0</v>
      </c>
      <c r="D49" s="34" t="s">
        <v>200</v>
      </c>
      <c r="E49" s="34" t="s">
        <v>214</v>
      </c>
      <c r="F49" s="34" t="s">
        <v>215</v>
      </c>
      <c r="G49" s="34">
        <v>12300.0</v>
      </c>
      <c r="H49" s="34" t="s">
        <v>216</v>
      </c>
      <c r="I49" s="34" t="s">
        <v>18</v>
      </c>
      <c r="J49" s="34" t="s">
        <v>13</v>
      </c>
      <c r="K49" s="9"/>
      <c r="L49" s="45">
        <v>95.5</v>
      </c>
      <c r="M49" s="45">
        <v>95.5</v>
      </c>
    </row>
    <row r="50">
      <c r="A50" s="34" t="s">
        <v>70</v>
      </c>
      <c r="B50" s="34" t="s">
        <v>182</v>
      </c>
      <c r="C50" s="34">
        <v>12.0</v>
      </c>
      <c r="D50" s="34" t="s">
        <v>200</v>
      </c>
      <c r="E50" s="34" t="s">
        <v>217</v>
      </c>
      <c r="F50" s="34" t="s">
        <v>218</v>
      </c>
      <c r="G50" s="34">
        <v>12300.0</v>
      </c>
      <c r="H50" s="34" t="s">
        <v>216</v>
      </c>
      <c r="I50" s="34" t="s">
        <v>17</v>
      </c>
      <c r="J50" s="34" t="s">
        <v>13</v>
      </c>
      <c r="K50" s="9"/>
      <c r="L50" s="45">
        <v>87.1</v>
      </c>
      <c r="M50" s="45">
        <v>87.1</v>
      </c>
    </row>
    <row r="51">
      <c r="A51" s="34" t="s">
        <v>70</v>
      </c>
      <c r="B51" s="34" t="s">
        <v>129</v>
      </c>
      <c r="C51" s="34">
        <v>13.0</v>
      </c>
      <c r="D51" s="34" t="s">
        <v>219</v>
      </c>
      <c r="E51" s="34" t="s">
        <v>220</v>
      </c>
      <c r="F51" s="34" t="s">
        <v>221</v>
      </c>
      <c r="G51" s="34">
        <v>13206.0</v>
      </c>
      <c r="H51" s="34" t="s">
        <v>222</v>
      </c>
      <c r="I51" s="34" t="s">
        <v>18</v>
      </c>
      <c r="J51" s="34" t="s">
        <v>15</v>
      </c>
      <c r="K51" s="45">
        <v>94.1</v>
      </c>
      <c r="L51" s="9"/>
      <c r="M51" s="45">
        <v>94.1</v>
      </c>
    </row>
    <row r="52">
      <c r="A52" s="34" t="s">
        <v>70</v>
      </c>
      <c r="B52" s="34" t="s">
        <v>129</v>
      </c>
      <c r="C52" s="34">
        <v>13.0</v>
      </c>
      <c r="D52" s="34" t="s">
        <v>219</v>
      </c>
      <c r="E52" s="34" t="s">
        <v>223</v>
      </c>
      <c r="F52" s="34" t="s">
        <v>224</v>
      </c>
      <c r="G52" s="34">
        <v>13213.0</v>
      </c>
      <c r="H52" s="34" t="s">
        <v>225</v>
      </c>
      <c r="I52" s="34" t="s">
        <v>18</v>
      </c>
      <c r="J52" s="34" t="s">
        <v>14</v>
      </c>
      <c r="K52" s="45">
        <v>81.9</v>
      </c>
      <c r="L52" s="45">
        <v>67.2</v>
      </c>
      <c r="M52" s="45">
        <v>78.0</v>
      </c>
    </row>
    <row r="53">
      <c r="A53" s="34" t="s">
        <v>70</v>
      </c>
      <c r="B53" s="34" t="s">
        <v>129</v>
      </c>
      <c r="C53" s="34">
        <v>13.0</v>
      </c>
      <c r="D53" s="34" t="s">
        <v>219</v>
      </c>
      <c r="E53" s="34" t="s">
        <v>226</v>
      </c>
      <c r="F53" s="34" t="s">
        <v>227</v>
      </c>
      <c r="G53" s="34">
        <v>13205.0</v>
      </c>
      <c r="H53" s="34" t="s">
        <v>228</v>
      </c>
      <c r="I53" s="34" t="s">
        <v>18</v>
      </c>
      <c r="J53" s="34" t="s">
        <v>15</v>
      </c>
      <c r="K53" s="45">
        <v>82.8</v>
      </c>
      <c r="L53" s="9"/>
      <c r="M53" s="45">
        <v>82.8</v>
      </c>
    </row>
    <row r="54">
      <c r="A54" s="34" t="s">
        <v>70</v>
      </c>
      <c r="B54" s="34" t="s">
        <v>129</v>
      </c>
      <c r="C54" s="34">
        <v>13.0</v>
      </c>
      <c r="D54" s="34" t="s">
        <v>219</v>
      </c>
      <c r="E54" s="34" t="s">
        <v>229</v>
      </c>
      <c r="F54" s="34" t="s">
        <v>230</v>
      </c>
      <c r="G54" s="34">
        <v>13210.0</v>
      </c>
      <c r="H54" s="34" t="s">
        <v>231</v>
      </c>
      <c r="I54" s="34" t="s">
        <v>18</v>
      </c>
      <c r="J54" s="34" t="s">
        <v>14</v>
      </c>
      <c r="K54" s="45">
        <v>101.7</v>
      </c>
      <c r="L54" s="45">
        <v>77.0</v>
      </c>
      <c r="M54" s="45">
        <v>97.4</v>
      </c>
    </row>
    <row r="55">
      <c r="A55" s="34" t="s">
        <v>70</v>
      </c>
      <c r="B55" s="34" t="s">
        <v>129</v>
      </c>
      <c r="C55" s="34">
        <v>13.0</v>
      </c>
      <c r="D55" s="34" t="s">
        <v>219</v>
      </c>
      <c r="E55" s="34" t="s">
        <v>232</v>
      </c>
      <c r="F55" s="34" t="s">
        <v>233</v>
      </c>
      <c r="G55" s="34">
        <v>13210.0</v>
      </c>
      <c r="H55" s="34" t="s">
        <v>231</v>
      </c>
      <c r="I55" s="34" t="s">
        <v>18</v>
      </c>
      <c r="J55" s="34" t="s">
        <v>13</v>
      </c>
      <c r="K55" s="9"/>
      <c r="L55" s="45">
        <v>70.7</v>
      </c>
      <c r="M55" s="45">
        <v>70.7</v>
      </c>
    </row>
    <row r="56">
      <c r="A56" s="34" t="s">
        <v>70</v>
      </c>
      <c r="B56" s="34" t="s">
        <v>129</v>
      </c>
      <c r="C56" s="34">
        <v>13.0</v>
      </c>
      <c r="D56" s="34" t="s">
        <v>219</v>
      </c>
      <c r="E56" s="34" t="s">
        <v>234</v>
      </c>
      <c r="F56" s="34" t="s">
        <v>235</v>
      </c>
      <c r="G56" s="34">
        <v>13056.0</v>
      </c>
      <c r="H56" s="34" t="s">
        <v>236</v>
      </c>
      <c r="I56" s="34" t="s">
        <v>18</v>
      </c>
      <c r="J56" s="34" t="s">
        <v>14</v>
      </c>
      <c r="K56" s="45">
        <v>107.2</v>
      </c>
      <c r="L56" s="45">
        <v>86.4</v>
      </c>
      <c r="M56" s="45">
        <v>105.1</v>
      </c>
    </row>
    <row r="57">
      <c r="A57" s="34" t="s">
        <v>70</v>
      </c>
      <c r="B57" s="34" t="s">
        <v>129</v>
      </c>
      <c r="C57" s="34">
        <v>13.0</v>
      </c>
      <c r="D57" s="34" t="s">
        <v>219</v>
      </c>
      <c r="E57" s="34" t="s">
        <v>237</v>
      </c>
      <c r="F57" s="34" t="s">
        <v>238</v>
      </c>
      <c r="G57" s="34">
        <v>13063.0</v>
      </c>
      <c r="H57" s="34" t="s">
        <v>239</v>
      </c>
      <c r="I57" s="34" t="s">
        <v>18</v>
      </c>
      <c r="J57" s="34" t="s">
        <v>13</v>
      </c>
      <c r="K57" s="9"/>
      <c r="L57" s="45">
        <v>81.2</v>
      </c>
      <c r="M57" s="45">
        <v>81.2</v>
      </c>
    </row>
    <row r="58">
      <c r="A58" s="34" t="s">
        <v>70</v>
      </c>
      <c r="B58" s="34" t="s">
        <v>129</v>
      </c>
      <c r="C58" s="34">
        <v>13.0</v>
      </c>
      <c r="D58" s="34" t="s">
        <v>219</v>
      </c>
      <c r="E58" s="34" t="s">
        <v>240</v>
      </c>
      <c r="F58" s="34" t="s">
        <v>241</v>
      </c>
      <c r="G58" s="34">
        <v>13001.0</v>
      </c>
      <c r="H58" s="34" t="s">
        <v>242</v>
      </c>
      <c r="I58" s="34" t="s">
        <v>17</v>
      </c>
      <c r="J58" s="34" t="s">
        <v>15</v>
      </c>
      <c r="K58" s="45">
        <v>146.8</v>
      </c>
      <c r="L58" s="9"/>
      <c r="M58" s="45">
        <v>146.8</v>
      </c>
    </row>
    <row r="59">
      <c r="A59" s="34" t="s">
        <v>70</v>
      </c>
      <c r="B59" s="34" t="s">
        <v>129</v>
      </c>
      <c r="C59" s="34">
        <v>13.0</v>
      </c>
      <c r="D59" s="34" t="s">
        <v>219</v>
      </c>
      <c r="E59" s="34" t="s">
        <v>243</v>
      </c>
      <c r="F59" s="34" t="s">
        <v>244</v>
      </c>
      <c r="G59" s="34">
        <v>13001.0</v>
      </c>
      <c r="H59" s="34" t="s">
        <v>242</v>
      </c>
      <c r="I59" s="34" t="s">
        <v>17</v>
      </c>
      <c r="J59" s="34" t="s">
        <v>15</v>
      </c>
      <c r="K59" s="45">
        <v>137.7</v>
      </c>
      <c r="L59" s="9"/>
      <c r="M59" s="45">
        <v>137.7</v>
      </c>
    </row>
    <row r="60">
      <c r="A60" s="34" t="s">
        <v>70</v>
      </c>
      <c r="B60" s="34" t="s">
        <v>129</v>
      </c>
      <c r="C60" s="34">
        <v>13.0</v>
      </c>
      <c r="D60" s="34" t="s">
        <v>219</v>
      </c>
      <c r="E60" s="34" t="s">
        <v>245</v>
      </c>
      <c r="F60" s="34" t="s">
        <v>246</v>
      </c>
      <c r="G60" s="34">
        <v>13209.0</v>
      </c>
      <c r="H60" s="34" t="s">
        <v>247</v>
      </c>
      <c r="I60" s="34" t="s">
        <v>17</v>
      </c>
      <c r="J60" s="34" t="s">
        <v>15</v>
      </c>
      <c r="K60" s="45">
        <v>131.9</v>
      </c>
      <c r="L60" s="9"/>
      <c r="M60" s="45">
        <v>131.9</v>
      </c>
    </row>
    <row r="61">
      <c r="A61" s="34" t="s">
        <v>70</v>
      </c>
      <c r="B61" s="34" t="s">
        <v>129</v>
      </c>
      <c r="C61" s="34">
        <v>13.0</v>
      </c>
      <c r="D61" s="34" t="s">
        <v>219</v>
      </c>
      <c r="E61" s="34" t="s">
        <v>248</v>
      </c>
      <c r="F61" s="34" t="s">
        <v>249</v>
      </c>
      <c r="G61" s="34">
        <v>13103.0</v>
      </c>
      <c r="H61" s="34" t="s">
        <v>250</v>
      </c>
      <c r="I61" s="34" t="s">
        <v>17</v>
      </c>
      <c r="J61" s="34" t="s">
        <v>15</v>
      </c>
      <c r="K61" s="45">
        <v>137.2</v>
      </c>
      <c r="L61" s="9"/>
      <c r="M61" s="45">
        <v>137.2</v>
      </c>
    </row>
    <row r="62">
      <c r="A62" s="34" t="s">
        <v>70</v>
      </c>
      <c r="B62" s="34" t="s">
        <v>129</v>
      </c>
      <c r="C62" s="34">
        <v>13.0</v>
      </c>
      <c r="D62" s="34" t="s">
        <v>219</v>
      </c>
      <c r="E62" s="34" t="s">
        <v>251</v>
      </c>
      <c r="F62" s="34" t="s">
        <v>252</v>
      </c>
      <c r="G62" s="34">
        <v>13206.0</v>
      </c>
      <c r="H62" s="34" t="s">
        <v>222</v>
      </c>
      <c r="I62" s="34" t="s">
        <v>17</v>
      </c>
      <c r="J62" s="34" t="s">
        <v>13</v>
      </c>
      <c r="K62" s="9"/>
      <c r="L62" s="45">
        <v>86.6</v>
      </c>
      <c r="M62" s="45">
        <v>86.6</v>
      </c>
    </row>
    <row r="63">
      <c r="A63" s="34" t="s">
        <v>70</v>
      </c>
      <c r="B63" s="34" t="s">
        <v>129</v>
      </c>
      <c r="C63" s="34">
        <v>13.0</v>
      </c>
      <c r="D63" s="34" t="s">
        <v>219</v>
      </c>
      <c r="E63" s="34" t="s">
        <v>253</v>
      </c>
      <c r="F63" s="34" t="s">
        <v>254</v>
      </c>
      <c r="G63" s="34">
        <v>13213.0</v>
      </c>
      <c r="H63" s="34" t="s">
        <v>225</v>
      </c>
      <c r="I63" s="34" t="s">
        <v>17</v>
      </c>
      <c r="J63" s="34" t="s">
        <v>13</v>
      </c>
      <c r="K63" s="9"/>
      <c r="L63" s="45">
        <v>73.5</v>
      </c>
      <c r="M63" s="45">
        <v>73.5</v>
      </c>
    </row>
    <row r="64">
      <c r="A64" s="34" t="s">
        <v>70</v>
      </c>
      <c r="B64" s="34" t="s">
        <v>129</v>
      </c>
      <c r="C64" s="34">
        <v>13.0</v>
      </c>
      <c r="D64" s="34" t="s">
        <v>219</v>
      </c>
      <c r="E64" s="34" t="s">
        <v>255</v>
      </c>
      <c r="F64" s="34" t="s">
        <v>256</v>
      </c>
      <c r="G64" s="34">
        <v>13209.0</v>
      </c>
      <c r="H64" s="34" t="s">
        <v>247</v>
      </c>
      <c r="I64" s="34" t="s">
        <v>17</v>
      </c>
      <c r="J64" s="34" t="s">
        <v>14</v>
      </c>
      <c r="K64" s="45">
        <v>127.2</v>
      </c>
      <c r="L64" s="45">
        <v>91.4</v>
      </c>
      <c r="M64" s="45">
        <v>108.4</v>
      </c>
    </row>
    <row r="65">
      <c r="A65" s="34" t="s">
        <v>70</v>
      </c>
      <c r="B65" s="34" t="s">
        <v>129</v>
      </c>
      <c r="C65" s="34">
        <v>13.0</v>
      </c>
      <c r="D65" s="34" t="s">
        <v>219</v>
      </c>
      <c r="E65" s="34" t="s">
        <v>257</v>
      </c>
      <c r="F65" s="34" t="s">
        <v>258</v>
      </c>
      <c r="G65" s="34">
        <v>13211.0</v>
      </c>
      <c r="H65" s="34" t="s">
        <v>259</v>
      </c>
      <c r="I65" s="34" t="s">
        <v>17</v>
      </c>
      <c r="J65" s="34" t="s">
        <v>15</v>
      </c>
      <c r="K65" s="45">
        <v>100.6</v>
      </c>
      <c r="L65" s="9"/>
      <c r="M65" s="45">
        <v>100.6</v>
      </c>
    </row>
    <row r="66">
      <c r="A66" s="34" t="s">
        <v>70</v>
      </c>
      <c r="B66" s="34" t="s">
        <v>129</v>
      </c>
      <c r="C66" s="34">
        <v>13.0</v>
      </c>
      <c r="D66" s="34" t="s">
        <v>219</v>
      </c>
      <c r="E66" s="34" t="s">
        <v>260</v>
      </c>
      <c r="F66" s="34" t="s">
        <v>261</v>
      </c>
      <c r="G66" s="34">
        <v>13028.0</v>
      </c>
      <c r="H66" s="34" t="s">
        <v>262</v>
      </c>
      <c r="I66" s="34" t="s">
        <v>18</v>
      </c>
      <c r="J66" s="34" t="s">
        <v>14</v>
      </c>
      <c r="K66" s="45">
        <v>121.5</v>
      </c>
      <c r="L66" s="45">
        <v>92.5</v>
      </c>
      <c r="M66" s="45">
        <v>118.8</v>
      </c>
    </row>
    <row r="67">
      <c r="A67" s="34" t="s">
        <v>70</v>
      </c>
      <c r="B67" s="34" t="s">
        <v>129</v>
      </c>
      <c r="C67" s="34">
        <v>13.0</v>
      </c>
      <c r="D67" s="34" t="s">
        <v>219</v>
      </c>
      <c r="E67" s="34" t="s">
        <v>263</v>
      </c>
      <c r="F67" s="34" t="s">
        <v>264</v>
      </c>
      <c r="G67" s="34">
        <v>13001.0</v>
      </c>
      <c r="H67" s="34" t="s">
        <v>242</v>
      </c>
      <c r="I67" s="34" t="s">
        <v>17</v>
      </c>
      <c r="J67" s="34" t="s">
        <v>15</v>
      </c>
      <c r="K67" s="45">
        <v>130.8</v>
      </c>
      <c r="L67" s="9"/>
      <c r="M67" s="45">
        <v>130.8</v>
      </c>
    </row>
    <row r="68">
      <c r="A68" s="34" t="s">
        <v>70</v>
      </c>
      <c r="B68" s="34" t="s">
        <v>129</v>
      </c>
      <c r="C68" s="34">
        <v>13.0</v>
      </c>
      <c r="D68" s="34" t="s">
        <v>219</v>
      </c>
      <c r="E68" s="34" t="s">
        <v>265</v>
      </c>
      <c r="F68" s="34" t="s">
        <v>266</v>
      </c>
      <c r="G68" s="34">
        <v>13213.0</v>
      </c>
      <c r="H68" s="34" t="s">
        <v>225</v>
      </c>
      <c r="I68" s="34" t="s">
        <v>18</v>
      </c>
      <c r="J68" s="34" t="s">
        <v>14</v>
      </c>
      <c r="K68" s="45">
        <v>96.8</v>
      </c>
      <c r="L68" s="45">
        <v>72.2</v>
      </c>
      <c r="M68" s="45">
        <v>95.0</v>
      </c>
    </row>
    <row r="69">
      <c r="A69" s="34" t="s">
        <v>70</v>
      </c>
      <c r="B69" s="34" t="s">
        <v>129</v>
      </c>
      <c r="C69" s="34">
        <v>13.0</v>
      </c>
      <c r="D69" s="34" t="s">
        <v>219</v>
      </c>
      <c r="E69" s="34" t="s">
        <v>267</v>
      </c>
      <c r="F69" s="34" t="s">
        <v>268</v>
      </c>
      <c r="G69" s="34">
        <v>13210.0</v>
      </c>
      <c r="H69" s="34" t="s">
        <v>231</v>
      </c>
      <c r="I69" s="34" t="s">
        <v>17</v>
      </c>
      <c r="J69" s="34" t="s">
        <v>15</v>
      </c>
      <c r="K69" s="45">
        <v>109.0</v>
      </c>
      <c r="L69" s="9"/>
      <c r="M69" s="45">
        <v>109.0</v>
      </c>
    </row>
    <row r="70">
      <c r="A70" s="34" t="s">
        <v>70</v>
      </c>
      <c r="B70" s="34" t="s">
        <v>269</v>
      </c>
      <c r="C70" s="34">
        <v>14.0</v>
      </c>
      <c r="D70" s="34" t="s">
        <v>270</v>
      </c>
      <c r="E70" s="34" t="s">
        <v>271</v>
      </c>
      <c r="F70" s="34" t="s">
        <v>272</v>
      </c>
      <c r="G70" s="34">
        <v>14118.0</v>
      </c>
      <c r="H70" s="34" t="s">
        <v>273</v>
      </c>
      <c r="I70" s="34" t="s">
        <v>17</v>
      </c>
      <c r="J70" s="34" t="s">
        <v>15</v>
      </c>
      <c r="K70" s="45">
        <v>131.7</v>
      </c>
      <c r="L70" s="9"/>
      <c r="M70" s="45">
        <v>131.7</v>
      </c>
    </row>
    <row r="71">
      <c r="A71" s="34" t="s">
        <v>70</v>
      </c>
      <c r="B71" s="34" t="s">
        <v>269</v>
      </c>
      <c r="C71" s="34">
        <v>14.0</v>
      </c>
      <c r="D71" s="34" t="s">
        <v>270</v>
      </c>
      <c r="E71" s="34" t="s">
        <v>274</v>
      </c>
      <c r="F71" s="34" t="s">
        <v>275</v>
      </c>
      <c r="G71" s="34">
        <v>14118.0</v>
      </c>
      <c r="H71" s="34" t="s">
        <v>273</v>
      </c>
      <c r="I71" s="34" t="s">
        <v>17</v>
      </c>
      <c r="J71" s="34" t="s">
        <v>13</v>
      </c>
      <c r="K71" s="9"/>
      <c r="L71" s="45">
        <v>93.7</v>
      </c>
      <c r="M71" s="45">
        <v>93.7</v>
      </c>
    </row>
    <row r="72">
      <c r="A72" s="34" t="s">
        <v>70</v>
      </c>
      <c r="B72" s="34" t="s">
        <v>269</v>
      </c>
      <c r="C72" s="34">
        <v>14.0</v>
      </c>
      <c r="D72" s="34" t="s">
        <v>270</v>
      </c>
      <c r="E72" s="34" t="s">
        <v>276</v>
      </c>
      <c r="F72" s="34" t="s">
        <v>277</v>
      </c>
      <c r="G72" s="34">
        <v>14437.0</v>
      </c>
      <c r="H72" s="34" t="s">
        <v>278</v>
      </c>
      <c r="I72" s="34" t="s">
        <v>18</v>
      </c>
      <c r="J72" s="34" t="s">
        <v>14</v>
      </c>
      <c r="K72" s="45">
        <v>98.9</v>
      </c>
      <c r="L72" s="45">
        <v>83.3</v>
      </c>
      <c r="M72" s="45">
        <v>85.6</v>
      </c>
    </row>
    <row r="73">
      <c r="A73" s="34" t="s">
        <v>70</v>
      </c>
      <c r="B73" s="34" t="s">
        <v>269</v>
      </c>
      <c r="C73" s="34">
        <v>14.0</v>
      </c>
      <c r="D73" s="34" t="s">
        <v>270</v>
      </c>
      <c r="E73" s="34" t="s">
        <v>279</v>
      </c>
      <c r="F73" s="34" t="s">
        <v>280</v>
      </c>
      <c r="G73" s="34">
        <v>14118.0</v>
      </c>
      <c r="H73" s="34" t="s">
        <v>273</v>
      </c>
      <c r="I73" s="34" t="s">
        <v>17</v>
      </c>
      <c r="J73" s="34" t="s">
        <v>13</v>
      </c>
      <c r="K73" s="9"/>
      <c r="L73" s="45">
        <v>96.5</v>
      </c>
      <c r="M73" s="45">
        <v>96.5</v>
      </c>
    </row>
    <row r="74">
      <c r="A74" s="34" t="s">
        <v>70</v>
      </c>
      <c r="B74" s="34" t="s">
        <v>269</v>
      </c>
      <c r="C74" s="34">
        <v>14.0</v>
      </c>
      <c r="D74" s="34" t="s">
        <v>270</v>
      </c>
      <c r="E74" s="34" t="s">
        <v>281</v>
      </c>
      <c r="F74" s="34" t="s">
        <v>282</v>
      </c>
      <c r="G74" s="34">
        <v>14762.0</v>
      </c>
      <c r="H74" s="34" t="s">
        <v>283</v>
      </c>
      <c r="I74" s="34" t="s">
        <v>18</v>
      </c>
      <c r="J74" s="34" t="s">
        <v>13</v>
      </c>
      <c r="K74" s="9"/>
      <c r="L74" s="45">
        <v>81.9</v>
      </c>
      <c r="M74" s="45">
        <v>81.9</v>
      </c>
    </row>
    <row r="75">
      <c r="A75" s="34" t="s">
        <v>70</v>
      </c>
      <c r="B75" s="34" t="s">
        <v>284</v>
      </c>
      <c r="C75" s="34">
        <v>16.0</v>
      </c>
      <c r="D75" s="34" t="s">
        <v>285</v>
      </c>
      <c r="E75" s="34" t="s">
        <v>286</v>
      </c>
      <c r="F75" s="34" t="s">
        <v>287</v>
      </c>
      <c r="G75" s="34">
        <v>16015.0</v>
      </c>
      <c r="H75" s="34" t="s">
        <v>288</v>
      </c>
      <c r="I75" s="34" t="s">
        <v>18</v>
      </c>
      <c r="J75" s="34" t="s">
        <v>15</v>
      </c>
      <c r="K75" s="45">
        <v>105.4</v>
      </c>
      <c r="L75" s="9"/>
      <c r="M75" s="45">
        <v>105.4</v>
      </c>
    </row>
    <row r="76">
      <c r="A76" s="34" t="s">
        <v>70</v>
      </c>
      <c r="B76" s="34" t="s">
        <v>284</v>
      </c>
      <c r="C76" s="34">
        <v>16.0</v>
      </c>
      <c r="D76" s="34" t="s">
        <v>285</v>
      </c>
      <c r="E76" s="34" t="s">
        <v>289</v>
      </c>
      <c r="F76" s="34" t="s">
        <v>290</v>
      </c>
      <c r="G76" s="34">
        <v>16015.0</v>
      </c>
      <c r="H76" s="34" t="s">
        <v>288</v>
      </c>
      <c r="I76" s="34" t="s">
        <v>18</v>
      </c>
      <c r="J76" s="34" t="s">
        <v>15</v>
      </c>
      <c r="K76" s="45">
        <v>115.6</v>
      </c>
      <c r="L76" s="9"/>
      <c r="M76" s="45">
        <v>115.6</v>
      </c>
    </row>
    <row r="77">
      <c r="A77" s="34" t="s">
        <v>70</v>
      </c>
      <c r="B77" s="34" t="s">
        <v>284</v>
      </c>
      <c r="C77" s="34">
        <v>17.0</v>
      </c>
      <c r="D77" s="34" t="s">
        <v>291</v>
      </c>
      <c r="E77" s="34" t="s">
        <v>292</v>
      </c>
      <c r="F77" s="34" t="s">
        <v>293</v>
      </c>
      <c r="G77" s="34">
        <v>17283.0</v>
      </c>
      <c r="H77" s="34" t="s">
        <v>294</v>
      </c>
      <c r="I77" s="34" t="s">
        <v>18</v>
      </c>
      <c r="J77" s="34" t="s">
        <v>14</v>
      </c>
      <c r="K77" s="45">
        <v>107.9</v>
      </c>
      <c r="L77" s="45">
        <v>91.5</v>
      </c>
      <c r="M77" s="45">
        <v>102.5</v>
      </c>
    </row>
    <row r="78">
      <c r="A78" s="34" t="s">
        <v>70</v>
      </c>
      <c r="B78" s="34" t="s">
        <v>284</v>
      </c>
      <c r="C78" s="34">
        <v>17.0</v>
      </c>
      <c r="D78" s="34" t="s">
        <v>291</v>
      </c>
      <c r="E78" s="34" t="s">
        <v>295</v>
      </c>
      <c r="F78" s="34" t="s">
        <v>296</v>
      </c>
      <c r="G78" s="34">
        <v>17300.0</v>
      </c>
      <c r="H78" s="34" t="s">
        <v>297</v>
      </c>
      <c r="I78" s="34" t="s">
        <v>18</v>
      </c>
      <c r="J78" s="34" t="s">
        <v>15</v>
      </c>
      <c r="K78" s="45">
        <v>128.9</v>
      </c>
      <c r="L78" s="9"/>
      <c r="M78" s="45">
        <v>128.9</v>
      </c>
    </row>
    <row r="79">
      <c r="A79" s="34" t="s">
        <v>70</v>
      </c>
      <c r="B79" s="34" t="s">
        <v>284</v>
      </c>
      <c r="C79" s="34">
        <v>17.0</v>
      </c>
      <c r="D79" s="34" t="s">
        <v>291</v>
      </c>
      <c r="E79" s="34" t="s">
        <v>298</v>
      </c>
      <c r="F79" s="34" t="s">
        <v>299</v>
      </c>
      <c r="G79" s="34">
        <v>17300.0</v>
      </c>
      <c r="H79" s="34" t="s">
        <v>297</v>
      </c>
      <c r="I79" s="34" t="s">
        <v>18</v>
      </c>
      <c r="J79" s="34" t="s">
        <v>13</v>
      </c>
      <c r="K79" s="9"/>
      <c r="L79" s="45">
        <v>91.8</v>
      </c>
      <c r="M79" s="45">
        <v>91.8</v>
      </c>
    </row>
    <row r="80">
      <c r="A80" s="34" t="s">
        <v>70</v>
      </c>
      <c r="B80" s="34" t="s">
        <v>284</v>
      </c>
      <c r="C80" s="34">
        <v>17.0</v>
      </c>
      <c r="D80" s="34" t="s">
        <v>291</v>
      </c>
      <c r="E80" s="34" t="s">
        <v>300</v>
      </c>
      <c r="F80" s="34" t="s">
        <v>301</v>
      </c>
      <c r="G80" s="34">
        <v>17306.0</v>
      </c>
      <c r="H80" s="34" t="s">
        <v>302</v>
      </c>
      <c r="I80" s="34" t="s">
        <v>18</v>
      </c>
      <c r="J80" s="34" t="s">
        <v>15</v>
      </c>
      <c r="K80" s="45">
        <v>116.1</v>
      </c>
      <c r="L80" s="9"/>
      <c r="M80" s="45">
        <v>116.1</v>
      </c>
    </row>
    <row r="81">
      <c r="A81" s="34" t="s">
        <v>70</v>
      </c>
      <c r="B81" s="34" t="s">
        <v>284</v>
      </c>
      <c r="C81" s="34">
        <v>17.0</v>
      </c>
      <c r="D81" s="34" t="s">
        <v>291</v>
      </c>
      <c r="E81" s="34" t="s">
        <v>303</v>
      </c>
      <c r="F81" s="34" t="s">
        <v>304</v>
      </c>
      <c r="G81" s="34">
        <v>17434.0</v>
      </c>
      <c r="H81" s="34" t="s">
        <v>305</v>
      </c>
      <c r="I81" s="34" t="s">
        <v>18</v>
      </c>
      <c r="J81" s="34" t="s">
        <v>14</v>
      </c>
      <c r="K81" s="45">
        <v>109.7</v>
      </c>
      <c r="L81" s="45">
        <v>89.9</v>
      </c>
      <c r="M81" s="45">
        <v>100.6</v>
      </c>
    </row>
    <row r="82">
      <c r="A82" s="34" t="s">
        <v>70</v>
      </c>
      <c r="B82" s="34" t="s">
        <v>284</v>
      </c>
      <c r="C82" s="34">
        <v>17.0</v>
      </c>
      <c r="D82" s="34" t="s">
        <v>291</v>
      </c>
      <c r="E82" s="34" t="s">
        <v>306</v>
      </c>
      <c r="F82" s="34" t="s">
        <v>307</v>
      </c>
      <c r="G82" s="34">
        <v>17284.0</v>
      </c>
      <c r="H82" s="34" t="s">
        <v>308</v>
      </c>
      <c r="I82" s="34" t="s">
        <v>17</v>
      </c>
      <c r="J82" s="34" t="s">
        <v>15</v>
      </c>
      <c r="K82" s="45">
        <v>121.2</v>
      </c>
      <c r="L82" s="9"/>
      <c r="M82" s="45">
        <v>121.2</v>
      </c>
    </row>
    <row r="83">
      <c r="A83" s="34" t="s">
        <v>70</v>
      </c>
      <c r="B83" s="34" t="s">
        <v>284</v>
      </c>
      <c r="C83" s="34">
        <v>17.0</v>
      </c>
      <c r="D83" s="34" t="s">
        <v>291</v>
      </c>
      <c r="E83" s="34" t="s">
        <v>309</v>
      </c>
      <c r="F83" s="34" t="s">
        <v>310</v>
      </c>
      <c r="G83" s="34">
        <v>17300.0</v>
      </c>
      <c r="H83" s="34" t="s">
        <v>297</v>
      </c>
      <c r="I83" s="34" t="s">
        <v>17</v>
      </c>
      <c r="J83" s="34" t="s">
        <v>14</v>
      </c>
      <c r="K83" s="45">
        <v>122.7</v>
      </c>
      <c r="L83" s="45">
        <v>96.4</v>
      </c>
      <c r="M83" s="45">
        <v>116.0</v>
      </c>
    </row>
    <row r="84">
      <c r="A84" s="34" t="s">
        <v>70</v>
      </c>
      <c r="B84" s="34" t="s">
        <v>284</v>
      </c>
      <c r="C84" s="34">
        <v>17.0</v>
      </c>
      <c r="D84" s="34" t="s">
        <v>291</v>
      </c>
      <c r="E84" s="34" t="s">
        <v>311</v>
      </c>
      <c r="F84" s="34" t="s">
        <v>312</v>
      </c>
      <c r="G84" s="34">
        <v>17300.0</v>
      </c>
      <c r="H84" s="34" t="s">
        <v>297</v>
      </c>
      <c r="I84" s="34" t="s">
        <v>18</v>
      </c>
      <c r="J84" s="34" t="s">
        <v>14</v>
      </c>
      <c r="K84" s="45">
        <v>125.1</v>
      </c>
      <c r="L84" s="45">
        <v>106.8</v>
      </c>
      <c r="M84" s="45">
        <v>113.1</v>
      </c>
    </row>
    <row r="85">
      <c r="A85" s="34" t="s">
        <v>70</v>
      </c>
      <c r="B85" s="34" t="s">
        <v>313</v>
      </c>
      <c r="C85" s="34">
        <v>18.0</v>
      </c>
      <c r="D85" s="34" t="s">
        <v>314</v>
      </c>
      <c r="E85" s="34" t="s">
        <v>315</v>
      </c>
      <c r="F85" s="34" t="s">
        <v>316</v>
      </c>
      <c r="G85" s="34">
        <v>18197.0</v>
      </c>
      <c r="H85" s="34" t="s">
        <v>317</v>
      </c>
      <c r="I85" s="34" t="s">
        <v>18</v>
      </c>
      <c r="J85" s="34" t="s">
        <v>13</v>
      </c>
      <c r="K85" s="9"/>
      <c r="L85" s="45">
        <v>90.1</v>
      </c>
      <c r="M85" s="45">
        <v>90.1</v>
      </c>
    </row>
    <row r="86">
      <c r="A86" s="34" t="s">
        <v>70</v>
      </c>
      <c r="B86" s="34" t="s">
        <v>313</v>
      </c>
      <c r="C86" s="34">
        <v>18.0</v>
      </c>
      <c r="D86" s="34" t="s">
        <v>314</v>
      </c>
      <c r="E86" s="34" t="s">
        <v>318</v>
      </c>
      <c r="F86" s="34" t="s">
        <v>319</v>
      </c>
      <c r="G86" s="34">
        <v>18279.0</v>
      </c>
      <c r="H86" s="34" t="s">
        <v>320</v>
      </c>
      <c r="I86" s="34" t="s">
        <v>18</v>
      </c>
      <c r="J86" s="34" t="s">
        <v>14</v>
      </c>
      <c r="K86" s="45">
        <v>102.8</v>
      </c>
      <c r="L86" s="45">
        <v>89.8</v>
      </c>
      <c r="M86" s="45">
        <v>96.7</v>
      </c>
    </row>
    <row r="87">
      <c r="A87" s="34" t="s">
        <v>70</v>
      </c>
      <c r="B87" s="34" t="s">
        <v>313</v>
      </c>
      <c r="C87" s="34">
        <v>18.0</v>
      </c>
      <c r="D87" s="34" t="s">
        <v>314</v>
      </c>
      <c r="E87" s="34" t="s">
        <v>321</v>
      </c>
      <c r="F87" s="34" t="s">
        <v>218</v>
      </c>
      <c r="G87" s="34">
        <v>18279.0</v>
      </c>
      <c r="H87" s="34" t="s">
        <v>320</v>
      </c>
      <c r="I87" s="34" t="s">
        <v>17</v>
      </c>
      <c r="J87" s="34" t="s">
        <v>13</v>
      </c>
      <c r="K87" s="9"/>
      <c r="L87" s="45">
        <v>88.3</v>
      </c>
      <c r="M87" s="45">
        <v>88.3</v>
      </c>
    </row>
    <row r="88">
      <c r="A88" s="34" t="s">
        <v>70</v>
      </c>
      <c r="B88" s="34" t="s">
        <v>322</v>
      </c>
      <c r="C88" s="34">
        <v>19.0</v>
      </c>
      <c r="D88" s="34" t="s">
        <v>323</v>
      </c>
      <c r="E88" s="34" t="s">
        <v>324</v>
      </c>
      <c r="F88" s="34" t="s">
        <v>325</v>
      </c>
      <c r="G88" s="34">
        <v>19028.0</v>
      </c>
      <c r="H88" s="34" t="s">
        <v>326</v>
      </c>
      <c r="I88" s="34" t="s">
        <v>18</v>
      </c>
      <c r="J88" s="34" t="s">
        <v>13</v>
      </c>
      <c r="K88" s="9"/>
      <c r="L88" s="45">
        <v>88.3</v>
      </c>
      <c r="M88" s="45">
        <v>88.3</v>
      </c>
    </row>
    <row r="89">
      <c r="A89" s="34" t="s">
        <v>70</v>
      </c>
      <c r="B89" s="34" t="s">
        <v>322</v>
      </c>
      <c r="C89" s="34">
        <v>19.0</v>
      </c>
      <c r="D89" s="34" t="s">
        <v>323</v>
      </c>
      <c r="E89" s="34" t="s">
        <v>327</v>
      </c>
      <c r="F89" s="34" t="s">
        <v>328</v>
      </c>
      <c r="G89" s="34">
        <v>19275.0</v>
      </c>
      <c r="H89" s="34" t="s">
        <v>329</v>
      </c>
      <c r="I89" s="34" t="s">
        <v>18</v>
      </c>
      <c r="J89" s="34" t="s">
        <v>15</v>
      </c>
      <c r="K89" s="45">
        <v>106.8</v>
      </c>
      <c r="L89" s="9"/>
      <c r="M89" s="45">
        <v>106.8</v>
      </c>
    </row>
    <row r="90">
      <c r="A90" s="34" t="s">
        <v>70</v>
      </c>
      <c r="B90" s="34" t="s">
        <v>322</v>
      </c>
      <c r="C90" s="34">
        <v>19.0</v>
      </c>
      <c r="D90" s="34" t="s">
        <v>323</v>
      </c>
      <c r="E90" s="34" t="s">
        <v>330</v>
      </c>
      <c r="F90" s="34" t="s">
        <v>331</v>
      </c>
      <c r="G90" s="34">
        <v>19031.0</v>
      </c>
      <c r="H90" s="34" t="s">
        <v>332</v>
      </c>
      <c r="I90" s="34" t="s">
        <v>17</v>
      </c>
      <c r="J90" s="34" t="s">
        <v>15</v>
      </c>
      <c r="K90" s="45">
        <v>121.4</v>
      </c>
      <c r="L90" s="9"/>
      <c r="M90" s="45">
        <v>121.4</v>
      </c>
    </row>
    <row r="91">
      <c r="A91" s="34" t="s">
        <v>70</v>
      </c>
      <c r="B91" s="34" t="s">
        <v>333</v>
      </c>
      <c r="C91" s="34">
        <v>21.0</v>
      </c>
      <c r="D91" s="34" t="s">
        <v>334</v>
      </c>
      <c r="E91" s="34" t="s">
        <v>335</v>
      </c>
      <c r="F91" s="34" t="s">
        <v>336</v>
      </c>
      <c r="G91" s="34">
        <v>21054.0</v>
      </c>
      <c r="H91" s="34" t="s">
        <v>337</v>
      </c>
      <c r="I91" s="34" t="s">
        <v>18</v>
      </c>
      <c r="J91" s="34" t="s">
        <v>14</v>
      </c>
      <c r="K91" s="45">
        <v>119.3</v>
      </c>
      <c r="L91" s="45">
        <v>91.2</v>
      </c>
      <c r="M91" s="45">
        <v>115.2</v>
      </c>
    </row>
    <row r="92">
      <c r="A92" s="34" t="s">
        <v>70</v>
      </c>
      <c r="B92" s="34" t="s">
        <v>333</v>
      </c>
      <c r="C92" s="34">
        <v>21.0</v>
      </c>
      <c r="D92" s="34" t="s">
        <v>334</v>
      </c>
      <c r="E92" s="34" t="s">
        <v>338</v>
      </c>
      <c r="F92" s="34" t="s">
        <v>339</v>
      </c>
      <c r="G92" s="34">
        <v>21154.0</v>
      </c>
      <c r="H92" s="34" t="s">
        <v>340</v>
      </c>
      <c r="I92" s="34" t="s">
        <v>18</v>
      </c>
      <c r="J92" s="34" t="s">
        <v>14</v>
      </c>
      <c r="K92" s="45">
        <v>108.3</v>
      </c>
      <c r="L92" s="45">
        <v>86.2</v>
      </c>
      <c r="M92" s="45">
        <v>102.1</v>
      </c>
    </row>
    <row r="93">
      <c r="A93" s="34" t="s">
        <v>70</v>
      </c>
      <c r="B93" s="34" t="s">
        <v>333</v>
      </c>
      <c r="C93" s="34">
        <v>21.0</v>
      </c>
      <c r="D93" s="34" t="s">
        <v>334</v>
      </c>
      <c r="E93" s="34" t="s">
        <v>341</v>
      </c>
      <c r="F93" s="34" t="s">
        <v>342</v>
      </c>
      <c r="G93" s="34">
        <v>21231.0</v>
      </c>
      <c r="H93" s="34" t="s">
        <v>333</v>
      </c>
      <c r="I93" s="34" t="s">
        <v>18</v>
      </c>
      <c r="J93" s="34" t="s">
        <v>14</v>
      </c>
      <c r="K93" s="45">
        <v>115.6</v>
      </c>
      <c r="L93" s="45">
        <v>90.6</v>
      </c>
      <c r="M93" s="45">
        <v>104.3</v>
      </c>
    </row>
    <row r="94">
      <c r="A94" s="34" t="s">
        <v>70</v>
      </c>
      <c r="B94" s="34" t="s">
        <v>333</v>
      </c>
      <c r="C94" s="34">
        <v>21.0</v>
      </c>
      <c r="D94" s="34" t="s">
        <v>334</v>
      </c>
      <c r="E94" s="34" t="s">
        <v>343</v>
      </c>
      <c r="F94" s="34" t="s">
        <v>344</v>
      </c>
      <c r="G94" s="34">
        <v>21351.0</v>
      </c>
      <c r="H94" s="34" t="s">
        <v>345</v>
      </c>
      <c r="I94" s="34" t="s">
        <v>18</v>
      </c>
      <c r="J94" s="34" t="s">
        <v>14</v>
      </c>
      <c r="K94" s="45">
        <v>114.0</v>
      </c>
      <c r="L94" s="45">
        <v>103.2</v>
      </c>
      <c r="M94" s="45">
        <v>108.0</v>
      </c>
    </row>
    <row r="95">
      <c r="A95" s="34" t="s">
        <v>70</v>
      </c>
      <c r="B95" s="34" t="s">
        <v>333</v>
      </c>
      <c r="C95" s="34">
        <v>21.0</v>
      </c>
      <c r="D95" s="34" t="s">
        <v>334</v>
      </c>
      <c r="E95" s="34" t="s">
        <v>346</v>
      </c>
      <c r="F95" s="34" t="s">
        <v>347</v>
      </c>
      <c r="G95" s="34">
        <v>21603.0</v>
      </c>
      <c r="H95" s="34" t="s">
        <v>348</v>
      </c>
      <c r="I95" s="34" t="s">
        <v>18</v>
      </c>
      <c r="J95" s="34" t="s">
        <v>14</v>
      </c>
      <c r="K95" s="45">
        <v>111.6</v>
      </c>
      <c r="L95" s="45">
        <v>82.6</v>
      </c>
      <c r="M95" s="45">
        <v>103.8</v>
      </c>
    </row>
    <row r="96">
      <c r="A96" s="34" t="s">
        <v>70</v>
      </c>
      <c r="B96" s="34" t="s">
        <v>333</v>
      </c>
      <c r="C96" s="34">
        <v>21.0</v>
      </c>
      <c r="D96" s="34" t="s">
        <v>334</v>
      </c>
      <c r="E96" s="34" t="s">
        <v>349</v>
      </c>
      <c r="F96" s="34" t="s">
        <v>350</v>
      </c>
      <c r="G96" s="34">
        <v>21231.0</v>
      </c>
      <c r="H96" s="34" t="s">
        <v>333</v>
      </c>
      <c r="I96" s="34" t="s">
        <v>17</v>
      </c>
      <c r="J96" s="34" t="s">
        <v>14</v>
      </c>
      <c r="K96" s="45">
        <v>129.9</v>
      </c>
      <c r="L96" s="45">
        <v>112.4</v>
      </c>
      <c r="M96" s="45">
        <v>123.8</v>
      </c>
    </row>
    <row r="97">
      <c r="A97" s="34" t="s">
        <v>70</v>
      </c>
      <c r="B97" s="34" t="s">
        <v>333</v>
      </c>
      <c r="C97" s="34">
        <v>21.0</v>
      </c>
      <c r="D97" s="34" t="s">
        <v>334</v>
      </c>
      <c r="E97" s="34" t="s">
        <v>351</v>
      </c>
      <c r="F97" s="34" t="s">
        <v>352</v>
      </c>
      <c r="G97" s="34">
        <v>21171.0</v>
      </c>
      <c r="H97" s="34" t="s">
        <v>353</v>
      </c>
      <c r="I97" s="34" t="s">
        <v>18</v>
      </c>
      <c r="J97" s="34" t="s">
        <v>15</v>
      </c>
      <c r="K97" s="45">
        <v>119.7</v>
      </c>
      <c r="L97" s="9"/>
      <c r="M97" s="45">
        <v>119.7</v>
      </c>
    </row>
    <row r="98">
      <c r="A98" s="34" t="s">
        <v>70</v>
      </c>
      <c r="B98" s="34" t="s">
        <v>354</v>
      </c>
      <c r="C98" s="34">
        <v>22.0</v>
      </c>
      <c r="D98" s="34" t="s">
        <v>355</v>
      </c>
      <c r="E98" s="34" t="s">
        <v>356</v>
      </c>
      <c r="F98" s="34" t="s">
        <v>357</v>
      </c>
      <c r="G98" s="34">
        <v>22113.0</v>
      </c>
      <c r="H98" s="34" t="s">
        <v>358</v>
      </c>
      <c r="I98" s="34" t="s">
        <v>18</v>
      </c>
      <c r="J98" s="34" t="s">
        <v>13</v>
      </c>
      <c r="K98" s="9"/>
      <c r="L98" s="45">
        <v>95.2</v>
      </c>
      <c r="M98" s="45">
        <v>95.2</v>
      </c>
    </row>
    <row r="99">
      <c r="A99" s="34" t="s">
        <v>70</v>
      </c>
      <c r="B99" s="34" t="s">
        <v>354</v>
      </c>
      <c r="C99" s="34">
        <v>22.0</v>
      </c>
      <c r="D99" s="34" t="s">
        <v>355</v>
      </c>
      <c r="E99" s="34" t="s">
        <v>359</v>
      </c>
      <c r="F99" s="34" t="s">
        <v>360</v>
      </c>
      <c r="G99" s="34">
        <v>22278.0</v>
      </c>
      <c r="H99" s="34" t="s">
        <v>361</v>
      </c>
      <c r="I99" s="34" t="s">
        <v>17</v>
      </c>
      <c r="J99" s="34" t="s">
        <v>15</v>
      </c>
      <c r="K99" s="45">
        <v>136.5</v>
      </c>
      <c r="L99" s="9"/>
      <c r="M99" s="45">
        <v>136.5</v>
      </c>
    </row>
    <row r="100">
      <c r="A100" s="34" t="s">
        <v>70</v>
      </c>
      <c r="B100" s="34" t="s">
        <v>354</v>
      </c>
      <c r="C100" s="34">
        <v>22.0</v>
      </c>
      <c r="D100" s="34" t="s">
        <v>355</v>
      </c>
      <c r="E100" s="34" t="s">
        <v>362</v>
      </c>
      <c r="F100" s="34" t="s">
        <v>363</v>
      </c>
      <c r="G100" s="34">
        <v>22278.0</v>
      </c>
      <c r="H100" s="34" t="s">
        <v>361</v>
      </c>
      <c r="I100" s="34" t="s">
        <v>17</v>
      </c>
      <c r="J100" s="34" t="s">
        <v>15</v>
      </c>
      <c r="K100" s="45">
        <v>125.6</v>
      </c>
      <c r="L100" s="9"/>
      <c r="M100" s="45">
        <v>125.6</v>
      </c>
    </row>
    <row r="101">
      <c r="A101" s="34" t="s">
        <v>70</v>
      </c>
      <c r="B101" s="34" t="s">
        <v>354</v>
      </c>
      <c r="C101" s="34">
        <v>22.0</v>
      </c>
      <c r="D101" s="34" t="s">
        <v>355</v>
      </c>
      <c r="E101" s="34" t="s">
        <v>364</v>
      </c>
      <c r="F101" s="34" t="s">
        <v>365</v>
      </c>
      <c r="G101" s="34">
        <v>22278.0</v>
      </c>
      <c r="H101" s="34" t="s">
        <v>361</v>
      </c>
      <c r="I101" s="34" t="s">
        <v>17</v>
      </c>
      <c r="J101" s="34" t="s">
        <v>14</v>
      </c>
      <c r="K101" s="45">
        <v>109.7</v>
      </c>
      <c r="L101" s="45">
        <v>96.0</v>
      </c>
      <c r="M101" s="45">
        <v>100.9</v>
      </c>
    </row>
    <row r="102">
      <c r="A102" s="34" t="s">
        <v>70</v>
      </c>
      <c r="B102" s="34" t="s">
        <v>354</v>
      </c>
      <c r="C102" s="34">
        <v>22.0</v>
      </c>
      <c r="D102" s="34" t="s">
        <v>355</v>
      </c>
      <c r="E102" s="34" t="s">
        <v>366</v>
      </c>
      <c r="F102" s="34" t="s">
        <v>80</v>
      </c>
      <c r="G102" s="34">
        <v>22136.0</v>
      </c>
      <c r="H102" s="34" t="s">
        <v>367</v>
      </c>
      <c r="I102" s="34" t="s">
        <v>17</v>
      </c>
      <c r="J102" s="34" t="s">
        <v>15</v>
      </c>
      <c r="K102" s="45">
        <v>97.1</v>
      </c>
      <c r="L102" s="9"/>
      <c r="M102" s="45">
        <v>97.1</v>
      </c>
    </row>
    <row r="103">
      <c r="A103" s="34" t="s">
        <v>70</v>
      </c>
      <c r="B103" s="34" t="s">
        <v>354</v>
      </c>
      <c r="C103" s="34">
        <v>22.0</v>
      </c>
      <c r="D103" s="34" t="s">
        <v>355</v>
      </c>
      <c r="E103" s="34" t="s">
        <v>368</v>
      </c>
      <c r="F103" s="34" t="s">
        <v>369</v>
      </c>
      <c r="G103" s="34">
        <v>22278.0</v>
      </c>
      <c r="H103" s="34" t="s">
        <v>361</v>
      </c>
      <c r="I103" s="34" t="s">
        <v>17</v>
      </c>
      <c r="J103" s="34" t="s">
        <v>13</v>
      </c>
      <c r="K103" s="9"/>
      <c r="L103" s="45">
        <v>86.9</v>
      </c>
      <c r="M103" s="45">
        <v>86.9</v>
      </c>
    </row>
    <row r="104">
      <c r="A104" s="34" t="s">
        <v>70</v>
      </c>
      <c r="B104" s="34" t="s">
        <v>322</v>
      </c>
      <c r="C104" s="34">
        <v>23.0</v>
      </c>
      <c r="D104" s="34" t="s">
        <v>370</v>
      </c>
      <c r="E104" s="34" t="s">
        <v>371</v>
      </c>
      <c r="F104" s="34" t="s">
        <v>372</v>
      </c>
      <c r="G104" s="34">
        <v>23079.0</v>
      </c>
      <c r="H104" s="34" t="s">
        <v>373</v>
      </c>
      <c r="I104" s="34" t="s">
        <v>18</v>
      </c>
      <c r="J104" s="34" t="s">
        <v>13</v>
      </c>
      <c r="K104" s="9"/>
      <c r="L104" s="45">
        <v>95.6</v>
      </c>
      <c r="M104" s="45">
        <v>95.6</v>
      </c>
    </row>
    <row r="105">
      <c r="A105" s="34" t="s">
        <v>70</v>
      </c>
      <c r="B105" s="34" t="s">
        <v>322</v>
      </c>
      <c r="C105" s="34">
        <v>23.0</v>
      </c>
      <c r="D105" s="34" t="s">
        <v>370</v>
      </c>
      <c r="E105" s="34" t="s">
        <v>374</v>
      </c>
      <c r="F105" s="34" t="s">
        <v>375</v>
      </c>
      <c r="G105" s="34">
        <v>23176.0</v>
      </c>
      <c r="H105" s="34" t="s">
        <v>376</v>
      </c>
      <c r="I105" s="34" t="s">
        <v>18</v>
      </c>
      <c r="J105" s="34" t="s">
        <v>15</v>
      </c>
      <c r="K105" s="45">
        <v>114.2</v>
      </c>
      <c r="L105" s="9"/>
      <c r="M105" s="45">
        <v>114.2</v>
      </c>
    </row>
    <row r="106">
      <c r="A106" s="34" t="s">
        <v>70</v>
      </c>
      <c r="B106" s="34" t="s">
        <v>377</v>
      </c>
      <c r="C106" s="34">
        <v>24.0</v>
      </c>
      <c r="D106" s="34" t="s">
        <v>378</v>
      </c>
      <c r="E106" s="34" t="s">
        <v>379</v>
      </c>
      <c r="F106" s="34" t="s">
        <v>380</v>
      </c>
      <c r="G106" s="34">
        <v>24164.0</v>
      </c>
      <c r="H106" s="34" t="s">
        <v>381</v>
      </c>
      <c r="I106" s="34" t="s">
        <v>18</v>
      </c>
      <c r="J106" s="34" t="s">
        <v>15</v>
      </c>
      <c r="K106" s="45">
        <v>107.9</v>
      </c>
      <c r="L106" s="9"/>
      <c r="M106" s="45">
        <v>107.9</v>
      </c>
    </row>
    <row r="107">
      <c r="A107" s="34" t="s">
        <v>70</v>
      </c>
      <c r="B107" s="34" t="s">
        <v>377</v>
      </c>
      <c r="C107" s="34">
        <v>24.0</v>
      </c>
      <c r="D107" s="34" t="s">
        <v>378</v>
      </c>
      <c r="E107" s="34" t="s">
        <v>382</v>
      </c>
      <c r="F107" s="34" t="s">
        <v>383</v>
      </c>
      <c r="G107" s="34">
        <v>24311.0</v>
      </c>
      <c r="H107" s="34" t="s">
        <v>384</v>
      </c>
      <c r="I107" s="34" t="s">
        <v>18</v>
      </c>
      <c r="J107" s="34" t="s">
        <v>14</v>
      </c>
      <c r="K107" s="45">
        <v>109.1</v>
      </c>
      <c r="L107" s="45">
        <v>84.9</v>
      </c>
      <c r="M107" s="45">
        <v>103.2</v>
      </c>
    </row>
    <row r="108">
      <c r="A108" s="34" t="s">
        <v>70</v>
      </c>
      <c r="B108" s="34" t="s">
        <v>377</v>
      </c>
      <c r="C108" s="34">
        <v>24.0</v>
      </c>
      <c r="D108" s="34" t="s">
        <v>378</v>
      </c>
      <c r="E108" s="34" t="s">
        <v>385</v>
      </c>
      <c r="F108" s="34" t="s">
        <v>218</v>
      </c>
      <c r="G108" s="34">
        <v>24520.0</v>
      </c>
      <c r="H108" s="34" t="s">
        <v>386</v>
      </c>
      <c r="I108" s="34" t="s">
        <v>17</v>
      </c>
      <c r="J108" s="34" t="s">
        <v>13</v>
      </c>
      <c r="K108" s="9"/>
      <c r="L108" s="45">
        <v>82.3</v>
      </c>
      <c r="M108" s="45">
        <v>82.3</v>
      </c>
    </row>
    <row r="109">
      <c r="A109" s="34" t="s">
        <v>70</v>
      </c>
      <c r="B109" s="34" t="s">
        <v>377</v>
      </c>
      <c r="C109" s="34">
        <v>24.0</v>
      </c>
      <c r="D109" s="34" t="s">
        <v>378</v>
      </c>
      <c r="E109" s="34" t="s">
        <v>387</v>
      </c>
      <c r="F109" s="34" t="s">
        <v>388</v>
      </c>
      <c r="G109" s="34">
        <v>24053.0</v>
      </c>
      <c r="H109" s="34" t="s">
        <v>389</v>
      </c>
      <c r="I109" s="34" t="s">
        <v>17</v>
      </c>
      <c r="J109" s="34" t="s">
        <v>14</v>
      </c>
      <c r="K109" s="45">
        <v>107.0</v>
      </c>
      <c r="L109" s="45">
        <v>89.6</v>
      </c>
      <c r="M109" s="45">
        <v>92.0</v>
      </c>
    </row>
    <row r="110">
      <c r="A110" s="34" t="s">
        <v>70</v>
      </c>
      <c r="B110" s="34" t="s">
        <v>377</v>
      </c>
      <c r="C110" s="34">
        <v>24.0</v>
      </c>
      <c r="D110" s="34" t="s">
        <v>378</v>
      </c>
      <c r="E110" s="34" t="s">
        <v>390</v>
      </c>
      <c r="F110" s="34" t="s">
        <v>391</v>
      </c>
      <c r="G110" s="34">
        <v>24547.0</v>
      </c>
      <c r="H110" s="34" t="s">
        <v>392</v>
      </c>
      <c r="I110" s="34" t="s">
        <v>18</v>
      </c>
      <c r="J110" s="34" t="s">
        <v>14</v>
      </c>
      <c r="K110" s="45">
        <v>108.9</v>
      </c>
      <c r="L110" s="45">
        <v>85.4</v>
      </c>
      <c r="M110" s="45">
        <v>104.2</v>
      </c>
    </row>
    <row r="111">
      <c r="A111" s="34" t="s">
        <v>70</v>
      </c>
      <c r="B111" s="34" t="s">
        <v>393</v>
      </c>
      <c r="C111" s="34">
        <v>25.0</v>
      </c>
      <c r="D111" s="34" t="s">
        <v>394</v>
      </c>
      <c r="E111" s="34" t="s">
        <v>395</v>
      </c>
      <c r="F111" s="34" t="s">
        <v>396</v>
      </c>
      <c r="G111" s="34">
        <v>25056.0</v>
      </c>
      <c r="H111" s="34" t="s">
        <v>393</v>
      </c>
      <c r="I111" s="34" t="s">
        <v>18</v>
      </c>
      <c r="J111" s="34" t="s">
        <v>13</v>
      </c>
      <c r="K111" s="9"/>
      <c r="L111" s="45">
        <v>88.3</v>
      </c>
      <c r="M111" s="45">
        <v>88.3</v>
      </c>
    </row>
    <row r="112">
      <c r="A112" s="34" t="s">
        <v>70</v>
      </c>
      <c r="B112" s="34" t="s">
        <v>393</v>
      </c>
      <c r="C112" s="34">
        <v>25.0</v>
      </c>
      <c r="D112" s="34" t="s">
        <v>394</v>
      </c>
      <c r="E112" s="34" t="s">
        <v>397</v>
      </c>
      <c r="F112" s="34" t="s">
        <v>398</v>
      </c>
      <c r="G112" s="34">
        <v>25462.0</v>
      </c>
      <c r="H112" s="34" t="s">
        <v>399</v>
      </c>
      <c r="I112" s="34" t="s">
        <v>18</v>
      </c>
      <c r="J112" s="34" t="s">
        <v>14</v>
      </c>
      <c r="K112" s="45">
        <v>111.6</v>
      </c>
      <c r="L112" s="45">
        <v>88.7</v>
      </c>
      <c r="M112" s="45">
        <v>108.3</v>
      </c>
    </row>
    <row r="113">
      <c r="A113" s="34" t="s">
        <v>70</v>
      </c>
      <c r="B113" s="34" t="s">
        <v>393</v>
      </c>
      <c r="C113" s="34">
        <v>25.0</v>
      </c>
      <c r="D113" s="34" t="s">
        <v>394</v>
      </c>
      <c r="E113" s="34" t="s">
        <v>400</v>
      </c>
      <c r="F113" s="34" t="s">
        <v>401</v>
      </c>
      <c r="G113" s="34">
        <v>25056.0</v>
      </c>
      <c r="H113" s="34" t="s">
        <v>393</v>
      </c>
      <c r="I113" s="34" t="s">
        <v>17</v>
      </c>
      <c r="J113" s="34" t="s">
        <v>13</v>
      </c>
      <c r="K113" s="9"/>
      <c r="L113" s="45">
        <v>92.3</v>
      </c>
      <c r="M113" s="45">
        <v>92.3</v>
      </c>
    </row>
    <row r="114">
      <c r="A114" s="34" t="s">
        <v>70</v>
      </c>
      <c r="B114" s="34" t="s">
        <v>161</v>
      </c>
      <c r="C114" s="34">
        <v>26.0</v>
      </c>
      <c r="D114" s="34" t="s">
        <v>402</v>
      </c>
      <c r="E114" s="34" t="s">
        <v>403</v>
      </c>
      <c r="F114" s="34" t="s">
        <v>404</v>
      </c>
      <c r="G114" s="34">
        <v>26108.0</v>
      </c>
      <c r="H114" s="34" t="s">
        <v>405</v>
      </c>
      <c r="I114" s="34" t="s">
        <v>18</v>
      </c>
      <c r="J114" s="34" t="s">
        <v>14</v>
      </c>
      <c r="K114" s="45">
        <v>124.5</v>
      </c>
      <c r="L114" s="45">
        <v>81.0</v>
      </c>
      <c r="M114" s="45">
        <v>115.4</v>
      </c>
    </row>
    <row r="115">
      <c r="A115" s="34" t="s">
        <v>70</v>
      </c>
      <c r="B115" s="34" t="s">
        <v>161</v>
      </c>
      <c r="C115" s="34">
        <v>26.0</v>
      </c>
      <c r="D115" s="34" t="s">
        <v>402</v>
      </c>
      <c r="E115" s="34" t="s">
        <v>406</v>
      </c>
      <c r="F115" s="34" t="s">
        <v>407</v>
      </c>
      <c r="G115" s="34">
        <v>26235.0</v>
      </c>
      <c r="H115" s="34" t="s">
        <v>408</v>
      </c>
      <c r="I115" s="34" t="s">
        <v>18</v>
      </c>
      <c r="J115" s="34" t="s">
        <v>14</v>
      </c>
      <c r="K115" s="45">
        <v>106.3</v>
      </c>
      <c r="L115" s="45">
        <v>80.8</v>
      </c>
      <c r="M115" s="45">
        <v>99.0</v>
      </c>
    </row>
    <row r="116">
      <c r="A116" s="34" t="s">
        <v>70</v>
      </c>
      <c r="B116" s="34" t="s">
        <v>161</v>
      </c>
      <c r="C116" s="34">
        <v>26.0</v>
      </c>
      <c r="D116" s="34" t="s">
        <v>402</v>
      </c>
      <c r="E116" s="34" t="s">
        <v>409</v>
      </c>
      <c r="F116" s="34" t="s">
        <v>410</v>
      </c>
      <c r="G116" s="34">
        <v>26362.0</v>
      </c>
      <c r="H116" s="34" t="s">
        <v>411</v>
      </c>
      <c r="I116" s="34" t="s">
        <v>18</v>
      </c>
      <c r="J116" s="34" t="s">
        <v>15</v>
      </c>
      <c r="K116" s="45">
        <v>118.5</v>
      </c>
      <c r="L116" s="9"/>
      <c r="M116" s="45">
        <v>118.5</v>
      </c>
    </row>
    <row r="117">
      <c r="A117" s="34" t="s">
        <v>70</v>
      </c>
      <c r="B117" s="34" t="s">
        <v>161</v>
      </c>
      <c r="C117" s="34">
        <v>26.0</v>
      </c>
      <c r="D117" s="34" t="s">
        <v>402</v>
      </c>
      <c r="E117" s="34" t="s">
        <v>412</v>
      </c>
      <c r="F117" s="34" t="s">
        <v>413</v>
      </c>
      <c r="G117" s="34">
        <v>26362.0</v>
      </c>
      <c r="H117" s="34" t="s">
        <v>411</v>
      </c>
      <c r="I117" s="34" t="s">
        <v>17</v>
      </c>
      <c r="J117" s="34" t="s">
        <v>15</v>
      </c>
      <c r="K117" s="45">
        <v>125.9</v>
      </c>
      <c r="L117" s="9"/>
      <c r="M117" s="45">
        <v>125.9</v>
      </c>
    </row>
    <row r="118">
      <c r="A118" s="34" t="s">
        <v>70</v>
      </c>
      <c r="B118" s="34" t="s">
        <v>161</v>
      </c>
      <c r="C118" s="34">
        <v>26.0</v>
      </c>
      <c r="D118" s="34" t="s">
        <v>402</v>
      </c>
      <c r="E118" s="34" t="s">
        <v>414</v>
      </c>
      <c r="F118" s="34" t="s">
        <v>415</v>
      </c>
      <c r="G118" s="34">
        <v>26333.0</v>
      </c>
      <c r="H118" s="34" t="s">
        <v>416</v>
      </c>
      <c r="I118" s="34" t="s">
        <v>18</v>
      </c>
      <c r="J118" s="34" t="s">
        <v>14</v>
      </c>
      <c r="K118" s="45">
        <v>100.5</v>
      </c>
      <c r="L118" s="45">
        <v>88.0</v>
      </c>
      <c r="M118" s="45">
        <v>95.3</v>
      </c>
    </row>
    <row r="119">
      <c r="A119" s="34" t="s">
        <v>70</v>
      </c>
      <c r="B119" s="34" t="s">
        <v>269</v>
      </c>
      <c r="C119" s="34">
        <v>27.0</v>
      </c>
      <c r="D119" s="34" t="s">
        <v>417</v>
      </c>
      <c r="E119" s="34" t="s">
        <v>418</v>
      </c>
      <c r="F119" s="34" t="s">
        <v>419</v>
      </c>
      <c r="G119" s="34">
        <v>27229.0</v>
      </c>
      <c r="H119" s="34" t="s">
        <v>420</v>
      </c>
      <c r="I119" s="34" t="s">
        <v>18</v>
      </c>
      <c r="J119" s="34" t="s">
        <v>15</v>
      </c>
      <c r="K119" s="45">
        <v>104.8</v>
      </c>
      <c r="L119" s="9"/>
      <c r="M119" s="45">
        <v>104.8</v>
      </c>
    </row>
    <row r="120">
      <c r="A120" s="34" t="s">
        <v>70</v>
      </c>
      <c r="B120" s="34" t="s">
        <v>269</v>
      </c>
      <c r="C120" s="34">
        <v>27.0</v>
      </c>
      <c r="D120" s="34" t="s">
        <v>417</v>
      </c>
      <c r="E120" s="34" t="s">
        <v>421</v>
      </c>
      <c r="F120" s="34" t="s">
        <v>422</v>
      </c>
      <c r="G120" s="34">
        <v>27375.0</v>
      </c>
      <c r="H120" s="34" t="s">
        <v>423</v>
      </c>
      <c r="I120" s="34" t="s">
        <v>18</v>
      </c>
      <c r="J120" s="34" t="s">
        <v>14</v>
      </c>
      <c r="K120" s="45">
        <v>111.1</v>
      </c>
      <c r="L120" s="45">
        <v>81.8</v>
      </c>
      <c r="M120" s="45">
        <v>107.2</v>
      </c>
    </row>
    <row r="121">
      <c r="A121" s="34" t="s">
        <v>70</v>
      </c>
      <c r="B121" s="34" t="s">
        <v>269</v>
      </c>
      <c r="C121" s="34">
        <v>27.0</v>
      </c>
      <c r="D121" s="34" t="s">
        <v>417</v>
      </c>
      <c r="E121" s="34" t="s">
        <v>424</v>
      </c>
      <c r="F121" s="34" t="s">
        <v>425</v>
      </c>
      <c r="G121" s="34">
        <v>27467.0</v>
      </c>
      <c r="H121" s="34" t="s">
        <v>426</v>
      </c>
      <c r="I121" s="34" t="s">
        <v>17</v>
      </c>
      <c r="J121" s="34" t="s">
        <v>15</v>
      </c>
      <c r="K121" s="45">
        <v>120.7</v>
      </c>
      <c r="L121" s="9"/>
      <c r="M121" s="45">
        <v>120.7</v>
      </c>
    </row>
    <row r="122">
      <c r="A122" s="34" t="s">
        <v>70</v>
      </c>
      <c r="B122" s="34" t="s">
        <v>269</v>
      </c>
      <c r="C122" s="34">
        <v>27.0</v>
      </c>
      <c r="D122" s="34" t="s">
        <v>417</v>
      </c>
      <c r="E122" s="34" t="s">
        <v>427</v>
      </c>
      <c r="F122" s="34" t="s">
        <v>428</v>
      </c>
      <c r="G122" s="34">
        <v>27679.0</v>
      </c>
      <c r="H122" s="34" t="s">
        <v>429</v>
      </c>
      <c r="I122" s="34" t="s">
        <v>17</v>
      </c>
      <c r="J122" s="34" t="s">
        <v>15</v>
      </c>
      <c r="K122" s="45">
        <v>132.7</v>
      </c>
      <c r="L122" s="9"/>
      <c r="M122" s="45">
        <v>132.7</v>
      </c>
    </row>
    <row r="123">
      <c r="A123" s="34" t="s">
        <v>70</v>
      </c>
      <c r="B123" s="34" t="s">
        <v>269</v>
      </c>
      <c r="C123" s="34">
        <v>27.0</v>
      </c>
      <c r="D123" s="34" t="s">
        <v>417</v>
      </c>
      <c r="E123" s="34" t="s">
        <v>430</v>
      </c>
      <c r="F123" s="34" t="s">
        <v>431</v>
      </c>
      <c r="G123" s="34">
        <v>27467.0</v>
      </c>
      <c r="H123" s="34" t="s">
        <v>426</v>
      </c>
      <c r="I123" s="34" t="s">
        <v>18</v>
      </c>
      <c r="J123" s="34" t="s">
        <v>13</v>
      </c>
      <c r="K123" s="9"/>
      <c r="L123" s="45">
        <v>86.3</v>
      </c>
      <c r="M123" s="45">
        <v>86.3</v>
      </c>
    </row>
    <row r="124">
      <c r="A124" s="34" t="s">
        <v>70</v>
      </c>
      <c r="B124" s="34" t="s">
        <v>269</v>
      </c>
      <c r="C124" s="34">
        <v>27.0</v>
      </c>
      <c r="D124" s="34" t="s">
        <v>417</v>
      </c>
      <c r="E124" s="34" t="s">
        <v>432</v>
      </c>
      <c r="F124" s="34" t="s">
        <v>433</v>
      </c>
      <c r="G124" s="34">
        <v>27375.0</v>
      </c>
      <c r="H124" s="34" t="s">
        <v>423</v>
      </c>
      <c r="I124" s="34" t="s">
        <v>18</v>
      </c>
      <c r="J124" s="34" t="s">
        <v>14</v>
      </c>
      <c r="K124" s="45">
        <v>99.3</v>
      </c>
      <c r="L124" s="45">
        <v>85.6</v>
      </c>
      <c r="M124" s="45">
        <v>86.9</v>
      </c>
    </row>
    <row r="125">
      <c r="A125" s="34" t="s">
        <v>70</v>
      </c>
      <c r="B125" s="34" t="s">
        <v>313</v>
      </c>
      <c r="C125" s="34">
        <v>28.0</v>
      </c>
      <c r="D125" s="34" t="s">
        <v>434</v>
      </c>
      <c r="E125" s="34" t="s">
        <v>435</v>
      </c>
      <c r="F125" s="34" t="s">
        <v>436</v>
      </c>
      <c r="G125" s="34">
        <v>28085.0</v>
      </c>
      <c r="H125" s="34" t="s">
        <v>437</v>
      </c>
      <c r="I125" s="34" t="s">
        <v>18</v>
      </c>
      <c r="J125" s="34" t="s">
        <v>15</v>
      </c>
      <c r="K125" s="45">
        <v>128.0</v>
      </c>
      <c r="L125" s="9"/>
      <c r="M125" s="45">
        <v>128.0</v>
      </c>
    </row>
    <row r="126">
      <c r="A126" s="34" t="s">
        <v>70</v>
      </c>
      <c r="B126" s="34" t="s">
        <v>313</v>
      </c>
      <c r="C126" s="34">
        <v>28.0</v>
      </c>
      <c r="D126" s="34" t="s">
        <v>434</v>
      </c>
      <c r="E126" s="34" t="s">
        <v>438</v>
      </c>
      <c r="F126" s="34" t="s">
        <v>439</v>
      </c>
      <c r="G126" s="34">
        <v>28134.0</v>
      </c>
      <c r="H126" s="34" t="s">
        <v>440</v>
      </c>
      <c r="I126" s="34" t="s">
        <v>18</v>
      </c>
      <c r="J126" s="34" t="s">
        <v>13</v>
      </c>
      <c r="K126" s="9"/>
      <c r="L126" s="45">
        <v>82.5</v>
      </c>
      <c r="M126" s="45">
        <v>82.5</v>
      </c>
    </row>
    <row r="127">
      <c r="A127" s="34" t="s">
        <v>70</v>
      </c>
      <c r="B127" s="34" t="s">
        <v>313</v>
      </c>
      <c r="C127" s="34">
        <v>28.0</v>
      </c>
      <c r="D127" s="34" t="s">
        <v>434</v>
      </c>
      <c r="E127" s="34" t="s">
        <v>441</v>
      </c>
      <c r="F127" s="34" t="s">
        <v>442</v>
      </c>
      <c r="G127" s="34">
        <v>28280.0</v>
      </c>
      <c r="H127" s="34" t="s">
        <v>443</v>
      </c>
      <c r="I127" s="34" t="s">
        <v>18</v>
      </c>
      <c r="J127" s="34" t="s">
        <v>14</v>
      </c>
      <c r="K127" s="45">
        <v>113.2</v>
      </c>
      <c r="L127" s="45">
        <v>83.3</v>
      </c>
      <c r="M127" s="45">
        <v>107.9</v>
      </c>
    </row>
    <row r="128">
      <c r="A128" s="34" t="s">
        <v>70</v>
      </c>
      <c r="B128" s="34" t="s">
        <v>313</v>
      </c>
      <c r="C128" s="34">
        <v>28.0</v>
      </c>
      <c r="D128" s="34" t="s">
        <v>434</v>
      </c>
      <c r="E128" s="34" t="s">
        <v>444</v>
      </c>
      <c r="F128" s="34" t="s">
        <v>445</v>
      </c>
      <c r="G128" s="34">
        <v>28134.0</v>
      </c>
      <c r="H128" s="34" t="s">
        <v>440</v>
      </c>
      <c r="I128" s="34" t="s">
        <v>17</v>
      </c>
      <c r="J128" s="34" t="s">
        <v>15</v>
      </c>
      <c r="K128" s="45">
        <v>133.3</v>
      </c>
      <c r="L128" s="9"/>
      <c r="M128" s="45">
        <v>133.3</v>
      </c>
    </row>
    <row r="129">
      <c r="A129" s="34" t="s">
        <v>70</v>
      </c>
      <c r="B129" s="34" t="s">
        <v>354</v>
      </c>
      <c r="C129" s="34">
        <v>29.0</v>
      </c>
      <c r="D129" s="34" t="s">
        <v>446</v>
      </c>
      <c r="E129" s="34" t="s">
        <v>447</v>
      </c>
      <c r="F129" s="34" t="s">
        <v>448</v>
      </c>
      <c r="G129" s="34">
        <v>29019.0</v>
      </c>
      <c r="H129" s="34" t="s">
        <v>449</v>
      </c>
      <c r="I129" s="34" t="s">
        <v>18</v>
      </c>
      <c r="J129" s="34" t="s">
        <v>15</v>
      </c>
      <c r="K129" s="45">
        <v>123.7</v>
      </c>
      <c r="L129" s="9"/>
      <c r="M129" s="45">
        <v>123.7</v>
      </c>
    </row>
    <row r="130">
      <c r="A130" s="34" t="s">
        <v>70</v>
      </c>
      <c r="B130" s="34" t="s">
        <v>354</v>
      </c>
      <c r="C130" s="34">
        <v>29.0</v>
      </c>
      <c r="D130" s="34" t="s">
        <v>446</v>
      </c>
      <c r="E130" s="34" t="s">
        <v>450</v>
      </c>
      <c r="F130" s="34" t="s">
        <v>451</v>
      </c>
      <c r="G130" s="34">
        <v>29019.0</v>
      </c>
      <c r="H130" s="34" t="s">
        <v>449</v>
      </c>
      <c r="I130" s="34" t="s">
        <v>18</v>
      </c>
      <c r="J130" s="34" t="s">
        <v>15</v>
      </c>
      <c r="K130" s="45">
        <v>126.3</v>
      </c>
      <c r="L130" s="9"/>
      <c r="M130" s="45">
        <v>126.3</v>
      </c>
    </row>
    <row r="131">
      <c r="A131" s="34" t="s">
        <v>70</v>
      </c>
      <c r="B131" s="34" t="s">
        <v>354</v>
      </c>
      <c r="C131" s="34">
        <v>29.0</v>
      </c>
      <c r="D131" s="34" t="s">
        <v>446</v>
      </c>
      <c r="E131" s="34" t="s">
        <v>452</v>
      </c>
      <c r="F131" s="34" t="s">
        <v>453</v>
      </c>
      <c r="G131" s="34">
        <v>29024.0</v>
      </c>
      <c r="H131" s="34" t="s">
        <v>454</v>
      </c>
      <c r="I131" s="34" t="s">
        <v>18</v>
      </c>
      <c r="J131" s="34" t="s">
        <v>14</v>
      </c>
      <c r="K131" s="45">
        <v>107.8</v>
      </c>
      <c r="L131" s="45">
        <v>85.9</v>
      </c>
      <c r="M131" s="45">
        <v>98.9</v>
      </c>
    </row>
    <row r="132">
      <c r="A132" s="34" t="s">
        <v>70</v>
      </c>
      <c r="B132" s="34" t="s">
        <v>354</v>
      </c>
      <c r="C132" s="34">
        <v>29.0</v>
      </c>
      <c r="D132" s="34" t="s">
        <v>446</v>
      </c>
      <c r="E132" s="34" t="s">
        <v>455</v>
      </c>
      <c r="F132" s="34" t="s">
        <v>456</v>
      </c>
      <c r="G132" s="34">
        <v>29026.0</v>
      </c>
      <c r="H132" s="34" t="s">
        <v>457</v>
      </c>
      <c r="I132" s="34" t="s">
        <v>18</v>
      </c>
      <c r="J132" s="34" t="s">
        <v>15</v>
      </c>
      <c r="K132" s="45">
        <v>110.8</v>
      </c>
      <c r="L132" s="9"/>
      <c r="M132" s="45">
        <v>110.8</v>
      </c>
    </row>
    <row r="133">
      <c r="A133" s="34" t="s">
        <v>70</v>
      </c>
      <c r="B133" s="34" t="s">
        <v>354</v>
      </c>
      <c r="C133" s="34">
        <v>29.0</v>
      </c>
      <c r="D133" s="34" t="s">
        <v>446</v>
      </c>
      <c r="E133" s="34" t="s">
        <v>458</v>
      </c>
      <c r="F133" s="34" t="s">
        <v>459</v>
      </c>
      <c r="G133" s="34">
        <v>29103.0</v>
      </c>
      <c r="H133" s="34" t="s">
        <v>460</v>
      </c>
      <c r="I133" s="34" t="s">
        <v>18</v>
      </c>
      <c r="J133" s="34" t="s">
        <v>14</v>
      </c>
      <c r="K133" s="45">
        <v>121.2</v>
      </c>
      <c r="L133" s="45">
        <v>94.3</v>
      </c>
      <c r="M133" s="45">
        <v>112.6</v>
      </c>
    </row>
    <row r="134">
      <c r="A134" s="34" t="s">
        <v>70</v>
      </c>
      <c r="B134" s="34" t="s">
        <v>354</v>
      </c>
      <c r="C134" s="34">
        <v>29.0</v>
      </c>
      <c r="D134" s="34" t="s">
        <v>446</v>
      </c>
      <c r="E134" s="34" t="s">
        <v>461</v>
      </c>
      <c r="F134" s="34" t="s">
        <v>462</v>
      </c>
      <c r="G134" s="34">
        <v>29220.0</v>
      </c>
      <c r="H134" s="34" t="s">
        <v>463</v>
      </c>
      <c r="I134" s="34" t="s">
        <v>18</v>
      </c>
      <c r="J134" s="34" t="s">
        <v>15</v>
      </c>
      <c r="K134" s="45">
        <v>119.3</v>
      </c>
      <c r="L134" s="9"/>
      <c r="M134" s="45">
        <v>119.3</v>
      </c>
    </row>
    <row r="135">
      <c r="A135" s="34" t="s">
        <v>70</v>
      </c>
      <c r="B135" s="34" t="s">
        <v>354</v>
      </c>
      <c r="C135" s="34">
        <v>29.0</v>
      </c>
      <c r="D135" s="34" t="s">
        <v>446</v>
      </c>
      <c r="E135" s="34" t="s">
        <v>464</v>
      </c>
      <c r="F135" s="34" t="s">
        <v>465</v>
      </c>
      <c r="G135" s="34">
        <v>29232.0</v>
      </c>
      <c r="H135" s="34" t="s">
        <v>466</v>
      </c>
      <c r="I135" s="34" t="s">
        <v>18</v>
      </c>
      <c r="J135" s="34" t="s">
        <v>15</v>
      </c>
      <c r="K135" s="45">
        <v>101.6</v>
      </c>
      <c r="L135" s="9"/>
      <c r="M135" s="45">
        <v>101.6</v>
      </c>
    </row>
    <row r="136">
      <c r="A136" s="34" t="s">
        <v>70</v>
      </c>
      <c r="B136" s="34" t="s">
        <v>354</v>
      </c>
      <c r="C136" s="34">
        <v>29.0</v>
      </c>
      <c r="D136" s="34" t="s">
        <v>446</v>
      </c>
      <c r="E136" s="34" t="s">
        <v>467</v>
      </c>
      <c r="F136" s="34" t="s">
        <v>468</v>
      </c>
      <c r="G136" s="34">
        <v>29019.0</v>
      </c>
      <c r="H136" s="34" t="s">
        <v>449</v>
      </c>
      <c r="I136" s="34" t="s">
        <v>18</v>
      </c>
      <c r="J136" s="34" t="s">
        <v>13</v>
      </c>
      <c r="K136" s="9"/>
      <c r="L136" s="45">
        <v>83.5</v>
      </c>
      <c r="M136" s="45">
        <v>83.5</v>
      </c>
    </row>
    <row r="137">
      <c r="A137" s="34" t="s">
        <v>70</v>
      </c>
      <c r="B137" s="34" t="s">
        <v>354</v>
      </c>
      <c r="C137" s="34">
        <v>29.0</v>
      </c>
      <c r="D137" s="34" t="s">
        <v>446</v>
      </c>
      <c r="E137" s="34" t="s">
        <v>469</v>
      </c>
      <c r="F137" s="34" t="s">
        <v>470</v>
      </c>
      <c r="G137" s="34">
        <v>29151.0</v>
      </c>
      <c r="H137" s="34" t="s">
        <v>471</v>
      </c>
      <c r="I137" s="34" t="s">
        <v>17</v>
      </c>
      <c r="J137" s="34" t="s">
        <v>15</v>
      </c>
      <c r="K137" s="45">
        <v>111.8</v>
      </c>
      <c r="L137" s="9"/>
      <c r="M137" s="45">
        <v>111.8</v>
      </c>
    </row>
    <row r="138">
      <c r="A138" s="34" t="s">
        <v>70</v>
      </c>
      <c r="B138" s="34" t="s">
        <v>354</v>
      </c>
      <c r="C138" s="34">
        <v>29.0</v>
      </c>
      <c r="D138" s="34" t="s">
        <v>446</v>
      </c>
      <c r="E138" s="34" t="s">
        <v>472</v>
      </c>
      <c r="F138" s="34" t="s">
        <v>473</v>
      </c>
      <c r="G138" s="34">
        <v>29232.0</v>
      </c>
      <c r="H138" s="34" t="s">
        <v>466</v>
      </c>
      <c r="I138" s="34" t="s">
        <v>17</v>
      </c>
      <c r="J138" s="34" t="s">
        <v>15</v>
      </c>
      <c r="K138" s="45">
        <v>120.7</v>
      </c>
      <c r="L138" s="9"/>
      <c r="M138" s="45">
        <v>120.7</v>
      </c>
    </row>
    <row r="139">
      <c r="A139" s="34" t="s">
        <v>70</v>
      </c>
      <c r="B139" s="34" t="s">
        <v>354</v>
      </c>
      <c r="C139" s="34">
        <v>29.0</v>
      </c>
      <c r="D139" s="34" t="s">
        <v>446</v>
      </c>
      <c r="E139" s="34" t="s">
        <v>474</v>
      </c>
      <c r="F139" s="34" t="s">
        <v>475</v>
      </c>
      <c r="G139" s="34">
        <v>29103.0</v>
      </c>
      <c r="H139" s="34" t="s">
        <v>460</v>
      </c>
      <c r="I139" s="34" t="s">
        <v>17</v>
      </c>
      <c r="J139" s="34" t="s">
        <v>13</v>
      </c>
      <c r="K139" s="9"/>
      <c r="L139" s="45">
        <v>107.1</v>
      </c>
      <c r="M139" s="45">
        <v>107.1</v>
      </c>
    </row>
    <row r="140">
      <c r="A140" s="34" t="s">
        <v>70</v>
      </c>
      <c r="B140" s="34" t="s">
        <v>354</v>
      </c>
      <c r="C140" s="34">
        <v>29.0</v>
      </c>
      <c r="D140" s="34" t="s">
        <v>446</v>
      </c>
      <c r="E140" s="34" t="s">
        <v>476</v>
      </c>
      <c r="F140" s="34" t="s">
        <v>477</v>
      </c>
      <c r="G140" s="34">
        <v>29232.0</v>
      </c>
      <c r="H140" s="34" t="s">
        <v>466</v>
      </c>
      <c r="I140" s="34" t="s">
        <v>17</v>
      </c>
      <c r="J140" s="34" t="s">
        <v>14</v>
      </c>
      <c r="K140" s="45">
        <v>109.9</v>
      </c>
      <c r="L140" s="45">
        <v>99.2</v>
      </c>
      <c r="M140" s="45">
        <v>105.1</v>
      </c>
    </row>
    <row r="141">
      <c r="A141" s="34" t="s">
        <v>70</v>
      </c>
      <c r="B141" s="34" t="s">
        <v>354</v>
      </c>
      <c r="C141" s="34">
        <v>29.0</v>
      </c>
      <c r="D141" s="34" t="s">
        <v>446</v>
      </c>
      <c r="E141" s="34" t="s">
        <v>478</v>
      </c>
      <c r="F141" s="34" t="s">
        <v>479</v>
      </c>
      <c r="G141" s="34">
        <v>29046.0</v>
      </c>
      <c r="H141" s="34" t="s">
        <v>480</v>
      </c>
      <c r="I141" s="34" t="s">
        <v>17</v>
      </c>
      <c r="J141" s="34" t="s">
        <v>15</v>
      </c>
      <c r="K141" s="45">
        <v>101.2</v>
      </c>
      <c r="L141" s="9"/>
      <c r="M141" s="45">
        <v>101.2</v>
      </c>
    </row>
    <row r="142">
      <c r="A142" s="34" t="s">
        <v>70</v>
      </c>
      <c r="B142" s="34" t="s">
        <v>354</v>
      </c>
      <c r="C142" s="34">
        <v>29.0</v>
      </c>
      <c r="D142" s="34" t="s">
        <v>446</v>
      </c>
      <c r="E142" s="34" t="s">
        <v>481</v>
      </c>
      <c r="F142" s="34" t="s">
        <v>482</v>
      </c>
      <c r="G142" s="34">
        <v>29024.0</v>
      </c>
      <c r="H142" s="34" t="s">
        <v>454</v>
      </c>
      <c r="I142" s="34" t="s">
        <v>17</v>
      </c>
      <c r="J142" s="34" t="s">
        <v>15</v>
      </c>
      <c r="K142" s="45">
        <v>133.3</v>
      </c>
      <c r="L142" s="9"/>
      <c r="M142" s="45">
        <v>133.3</v>
      </c>
    </row>
    <row r="143">
      <c r="A143" s="34" t="s">
        <v>70</v>
      </c>
      <c r="B143" s="34" t="s">
        <v>483</v>
      </c>
      <c r="C143" s="34">
        <v>30.0</v>
      </c>
      <c r="D143" s="34" t="s">
        <v>484</v>
      </c>
      <c r="E143" s="34" t="s">
        <v>485</v>
      </c>
      <c r="F143" s="34" t="s">
        <v>486</v>
      </c>
      <c r="G143" s="34">
        <v>30032.0</v>
      </c>
      <c r="H143" s="34" t="s">
        <v>487</v>
      </c>
      <c r="I143" s="34" t="s">
        <v>18</v>
      </c>
      <c r="J143" s="34" t="s">
        <v>13</v>
      </c>
      <c r="K143" s="9"/>
      <c r="L143" s="45">
        <v>78.2</v>
      </c>
      <c r="M143" s="45">
        <v>78.2</v>
      </c>
    </row>
    <row r="144">
      <c r="A144" s="34" t="s">
        <v>70</v>
      </c>
      <c r="B144" s="34" t="s">
        <v>483</v>
      </c>
      <c r="C144" s="34">
        <v>30.0</v>
      </c>
      <c r="D144" s="34" t="s">
        <v>484</v>
      </c>
      <c r="E144" s="34" t="s">
        <v>488</v>
      </c>
      <c r="F144" s="34" t="s">
        <v>489</v>
      </c>
      <c r="G144" s="34">
        <v>30189.0</v>
      </c>
      <c r="H144" s="34" t="s">
        <v>490</v>
      </c>
      <c r="I144" s="34" t="s">
        <v>18</v>
      </c>
      <c r="J144" s="34" t="s">
        <v>15</v>
      </c>
      <c r="K144" s="45">
        <v>110.1</v>
      </c>
      <c r="L144" s="9"/>
      <c r="M144" s="45">
        <v>110.1</v>
      </c>
    </row>
    <row r="145">
      <c r="A145" s="34" t="s">
        <v>70</v>
      </c>
      <c r="B145" s="34" t="s">
        <v>483</v>
      </c>
      <c r="C145" s="34">
        <v>30.0</v>
      </c>
      <c r="D145" s="34" t="s">
        <v>484</v>
      </c>
      <c r="E145" s="34" t="s">
        <v>491</v>
      </c>
      <c r="F145" s="34" t="s">
        <v>492</v>
      </c>
      <c r="G145" s="34">
        <v>30269.0</v>
      </c>
      <c r="H145" s="34" t="s">
        <v>493</v>
      </c>
      <c r="I145" s="34" t="s">
        <v>18</v>
      </c>
      <c r="J145" s="34" t="s">
        <v>13</v>
      </c>
      <c r="K145" s="9"/>
      <c r="L145" s="45">
        <v>93.1</v>
      </c>
      <c r="M145" s="45">
        <v>93.1</v>
      </c>
    </row>
    <row r="146">
      <c r="A146" s="34" t="s">
        <v>70</v>
      </c>
      <c r="B146" s="34" t="s">
        <v>483</v>
      </c>
      <c r="C146" s="34">
        <v>30.0</v>
      </c>
      <c r="D146" s="34" t="s">
        <v>484</v>
      </c>
      <c r="E146" s="34" t="s">
        <v>494</v>
      </c>
      <c r="F146" s="34" t="s">
        <v>495</v>
      </c>
      <c r="G146" s="34">
        <v>30334.0</v>
      </c>
      <c r="H146" s="34" t="s">
        <v>496</v>
      </c>
      <c r="I146" s="34" t="s">
        <v>18</v>
      </c>
      <c r="J146" s="34" t="s">
        <v>14</v>
      </c>
      <c r="K146" s="45">
        <v>118.3</v>
      </c>
      <c r="L146" s="45">
        <v>92.5</v>
      </c>
      <c r="M146" s="45">
        <v>113.6</v>
      </c>
    </row>
    <row r="147">
      <c r="A147" s="34" t="s">
        <v>70</v>
      </c>
      <c r="B147" s="34" t="s">
        <v>483</v>
      </c>
      <c r="C147" s="34">
        <v>30.0</v>
      </c>
      <c r="D147" s="34" t="s">
        <v>484</v>
      </c>
      <c r="E147" s="34" t="s">
        <v>497</v>
      </c>
      <c r="F147" s="34" t="s">
        <v>498</v>
      </c>
      <c r="G147" s="34">
        <v>30189.0</v>
      </c>
      <c r="H147" s="34" t="s">
        <v>490</v>
      </c>
      <c r="I147" s="34" t="s">
        <v>18</v>
      </c>
      <c r="J147" s="34" t="s">
        <v>13</v>
      </c>
      <c r="K147" s="9"/>
      <c r="L147" s="45">
        <v>69.1</v>
      </c>
      <c r="M147" s="45">
        <v>69.1</v>
      </c>
    </row>
    <row r="148">
      <c r="A148" s="34" t="s">
        <v>70</v>
      </c>
      <c r="B148" s="34" t="s">
        <v>483</v>
      </c>
      <c r="C148" s="34">
        <v>30.0</v>
      </c>
      <c r="D148" s="34" t="s">
        <v>484</v>
      </c>
      <c r="E148" s="34" t="s">
        <v>499</v>
      </c>
      <c r="F148" s="34" t="s">
        <v>500</v>
      </c>
      <c r="G148" s="34">
        <v>30189.0</v>
      </c>
      <c r="H148" s="34" t="s">
        <v>490</v>
      </c>
      <c r="I148" s="34" t="s">
        <v>17</v>
      </c>
      <c r="J148" s="34" t="s">
        <v>14</v>
      </c>
      <c r="K148" s="45">
        <v>112.8</v>
      </c>
      <c r="L148" s="45">
        <v>91.8</v>
      </c>
      <c r="M148" s="45">
        <v>111.7</v>
      </c>
    </row>
    <row r="149">
      <c r="A149" s="34" t="s">
        <v>70</v>
      </c>
      <c r="B149" s="34" t="s">
        <v>483</v>
      </c>
      <c r="C149" s="34">
        <v>30.0</v>
      </c>
      <c r="D149" s="34" t="s">
        <v>484</v>
      </c>
      <c r="E149" s="34" t="s">
        <v>501</v>
      </c>
      <c r="F149" s="34" t="s">
        <v>502</v>
      </c>
      <c r="G149" s="34">
        <v>30189.0</v>
      </c>
      <c r="H149" s="34" t="s">
        <v>490</v>
      </c>
      <c r="I149" s="34" t="s">
        <v>17</v>
      </c>
      <c r="J149" s="34" t="s">
        <v>15</v>
      </c>
      <c r="K149" s="45">
        <v>107.6</v>
      </c>
      <c r="L149" s="9"/>
      <c r="M149" s="45">
        <v>107.6</v>
      </c>
    </row>
    <row r="150">
      <c r="A150" s="34" t="s">
        <v>70</v>
      </c>
      <c r="B150" s="34" t="s">
        <v>483</v>
      </c>
      <c r="C150" s="34">
        <v>30.0</v>
      </c>
      <c r="D150" s="34" t="s">
        <v>484</v>
      </c>
      <c r="E150" s="34" t="s">
        <v>503</v>
      </c>
      <c r="F150" s="34" t="s">
        <v>504</v>
      </c>
      <c r="G150" s="34">
        <v>30189.0</v>
      </c>
      <c r="H150" s="34" t="s">
        <v>490</v>
      </c>
      <c r="I150" s="34" t="s">
        <v>17</v>
      </c>
      <c r="J150" s="34" t="s">
        <v>14</v>
      </c>
      <c r="K150" s="45">
        <v>101.4</v>
      </c>
      <c r="L150" s="45">
        <v>88.6</v>
      </c>
      <c r="M150" s="45">
        <v>95.7</v>
      </c>
    </row>
    <row r="151">
      <c r="A151" s="34" t="s">
        <v>70</v>
      </c>
      <c r="B151" s="34" t="s">
        <v>483</v>
      </c>
      <c r="C151" s="34">
        <v>30.0</v>
      </c>
      <c r="D151" s="34" t="s">
        <v>484</v>
      </c>
      <c r="E151" s="34" t="s">
        <v>505</v>
      </c>
      <c r="F151" s="34" t="s">
        <v>506</v>
      </c>
      <c r="G151" s="34">
        <v>30028.0</v>
      </c>
      <c r="H151" s="34" t="s">
        <v>507</v>
      </c>
      <c r="I151" s="34" t="s">
        <v>18</v>
      </c>
      <c r="J151" s="34" t="s">
        <v>14</v>
      </c>
      <c r="K151" s="45">
        <v>111.6</v>
      </c>
      <c r="L151" s="45">
        <v>80.8</v>
      </c>
      <c r="M151" s="45">
        <v>103.4</v>
      </c>
    </row>
    <row r="152">
      <c r="A152" s="34" t="s">
        <v>70</v>
      </c>
      <c r="B152" s="34" t="s">
        <v>182</v>
      </c>
      <c r="C152" s="34">
        <v>31.0</v>
      </c>
      <c r="D152" s="34" t="s">
        <v>508</v>
      </c>
      <c r="E152" s="34" t="s">
        <v>509</v>
      </c>
      <c r="F152" s="34" t="s">
        <v>510</v>
      </c>
      <c r="G152" s="34">
        <v>31555.0</v>
      </c>
      <c r="H152" s="34" t="s">
        <v>182</v>
      </c>
      <c r="I152" s="34" t="s">
        <v>18</v>
      </c>
      <c r="J152" s="34" t="s">
        <v>15</v>
      </c>
      <c r="K152" s="45">
        <v>139.4</v>
      </c>
      <c r="L152" s="9"/>
      <c r="M152" s="45">
        <v>139.4</v>
      </c>
    </row>
    <row r="153">
      <c r="A153" s="34" t="s">
        <v>70</v>
      </c>
      <c r="B153" s="34" t="s">
        <v>182</v>
      </c>
      <c r="C153" s="34">
        <v>31.0</v>
      </c>
      <c r="D153" s="34" t="s">
        <v>508</v>
      </c>
      <c r="E153" s="34" t="s">
        <v>511</v>
      </c>
      <c r="F153" s="34" t="s">
        <v>512</v>
      </c>
      <c r="G153" s="34">
        <v>31555.0</v>
      </c>
      <c r="H153" s="34" t="s">
        <v>182</v>
      </c>
      <c r="I153" s="34" t="s">
        <v>18</v>
      </c>
      <c r="J153" s="34" t="s">
        <v>14</v>
      </c>
      <c r="K153" s="45">
        <v>130.6</v>
      </c>
      <c r="L153" s="45">
        <v>83.7</v>
      </c>
      <c r="M153" s="45">
        <v>122.6</v>
      </c>
    </row>
    <row r="154">
      <c r="A154" s="34" t="s">
        <v>70</v>
      </c>
      <c r="B154" s="34" t="s">
        <v>182</v>
      </c>
      <c r="C154" s="34">
        <v>31.0</v>
      </c>
      <c r="D154" s="34" t="s">
        <v>508</v>
      </c>
      <c r="E154" s="34" t="s">
        <v>513</v>
      </c>
      <c r="F154" s="34" t="s">
        <v>514</v>
      </c>
      <c r="G154" s="34">
        <v>31555.0</v>
      </c>
      <c r="H154" s="34" t="s">
        <v>182</v>
      </c>
      <c r="I154" s="34" t="s">
        <v>18</v>
      </c>
      <c r="J154" s="34" t="s">
        <v>13</v>
      </c>
      <c r="K154" s="9"/>
      <c r="L154" s="45">
        <v>84.6</v>
      </c>
      <c r="M154" s="45">
        <v>84.6</v>
      </c>
    </row>
    <row r="155">
      <c r="A155" s="34" t="s">
        <v>70</v>
      </c>
      <c r="B155" s="34" t="s">
        <v>182</v>
      </c>
      <c r="C155" s="34">
        <v>31.0</v>
      </c>
      <c r="D155" s="34" t="s">
        <v>508</v>
      </c>
      <c r="E155" s="34" t="s">
        <v>515</v>
      </c>
      <c r="F155" s="34" t="s">
        <v>516</v>
      </c>
      <c r="G155" s="34">
        <v>31555.0</v>
      </c>
      <c r="H155" s="34" t="s">
        <v>182</v>
      </c>
      <c r="I155" s="34" t="s">
        <v>18</v>
      </c>
      <c r="J155" s="34" t="s">
        <v>14</v>
      </c>
      <c r="K155" s="45">
        <v>92.3</v>
      </c>
      <c r="L155" s="45">
        <v>82.3</v>
      </c>
      <c r="M155" s="45">
        <v>82.7</v>
      </c>
    </row>
    <row r="156">
      <c r="A156" s="34" t="s">
        <v>70</v>
      </c>
      <c r="B156" s="34" t="s">
        <v>182</v>
      </c>
      <c r="C156" s="34">
        <v>31.0</v>
      </c>
      <c r="D156" s="34" t="s">
        <v>508</v>
      </c>
      <c r="E156" s="34" t="s">
        <v>517</v>
      </c>
      <c r="F156" s="34" t="s">
        <v>518</v>
      </c>
      <c r="G156" s="34">
        <v>31555.0</v>
      </c>
      <c r="H156" s="34" t="s">
        <v>182</v>
      </c>
      <c r="I156" s="34" t="s">
        <v>18</v>
      </c>
      <c r="J156" s="34" t="s">
        <v>13</v>
      </c>
      <c r="K156" s="9"/>
      <c r="L156" s="45">
        <v>86.7</v>
      </c>
      <c r="M156" s="45">
        <v>86.7</v>
      </c>
    </row>
    <row r="157">
      <c r="A157" s="34" t="s">
        <v>70</v>
      </c>
      <c r="B157" s="34" t="s">
        <v>182</v>
      </c>
      <c r="C157" s="34">
        <v>31.0</v>
      </c>
      <c r="D157" s="34" t="s">
        <v>508</v>
      </c>
      <c r="E157" s="34" t="s">
        <v>519</v>
      </c>
      <c r="F157" s="34" t="s">
        <v>520</v>
      </c>
      <c r="G157" s="34">
        <v>31149.0</v>
      </c>
      <c r="H157" s="34" t="s">
        <v>521</v>
      </c>
      <c r="I157" s="34" t="s">
        <v>18</v>
      </c>
      <c r="J157" s="34" t="s">
        <v>13</v>
      </c>
      <c r="K157" s="9"/>
      <c r="L157" s="45">
        <v>91.8</v>
      </c>
      <c r="M157" s="45">
        <v>91.8</v>
      </c>
    </row>
    <row r="158">
      <c r="A158" s="34" t="s">
        <v>70</v>
      </c>
      <c r="B158" s="34" t="s">
        <v>182</v>
      </c>
      <c r="C158" s="34">
        <v>31.0</v>
      </c>
      <c r="D158" s="34" t="s">
        <v>508</v>
      </c>
      <c r="E158" s="34" t="s">
        <v>522</v>
      </c>
      <c r="F158" s="34" t="s">
        <v>523</v>
      </c>
      <c r="G158" s="34">
        <v>31555.0</v>
      </c>
      <c r="H158" s="34" t="s">
        <v>182</v>
      </c>
      <c r="I158" s="34" t="s">
        <v>17</v>
      </c>
      <c r="J158" s="34" t="s">
        <v>13</v>
      </c>
      <c r="K158" s="9"/>
      <c r="L158" s="45">
        <v>103.6</v>
      </c>
      <c r="M158" s="45">
        <v>103.6</v>
      </c>
    </row>
    <row r="159">
      <c r="A159" s="34" t="s">
        <v>70</v>
      </c>
      <c r="B159" s="34" t="s">
        <v>182</v>
      </c>
      <c r="C159" s="34">
        <v>31.0</v>
      </c>
      <c r="D159" s="34" t="s">
        <v>508</v>
      </c>
      <c r="E159" s="34" t="s">
        <v>524</v>
      </c>
      <c r="F159" s="34" t="s">
        <v>525</v>
      </c>
      <c r="G159" s="34">
        <v>31555.0</v>
      </c>
      <c r="H159" s="34" t="s">
        <v>182</v>
      </c>
      <c r="I159" s="34" t="s">
        <v>18</v>
      </c>
      <c r="J159" s="34" t="s">
        <v>15</v>
      </c>
      <c r="K159" s="45">
        <v>101.6</v>
      </c>
      <c r="L159" s="9"/>
      <c r="M159" s="45">
        <v>101.6</v>
      </c>
    </row>
    <row r="160">
      <c r="A160" s="34" t="s">
        <v>70</v>
      </c>
      <c r="B160" s="34" t="s">
        <v>182</v>
      </c>
      <c r="C160" s="34">
        <v>31.0</v>
      </c>
      <c r="D160" s="34" t="s">
        <v>508</v>
      </c>
      <c r="E160" s="34" t="s">
        <v>526</v>
      </c>
      <c r="F160" s="34" t="s">
        <v>527</v>
      </c>
      <c r="G160" s="34">
        <v>31555.0</v>
      </c>
      <c r="H160" s="34" t="s">
        <v>182</v>
      </c>
      <c r="I160" s="34" t="s">
        <v>18</v>
      </c>
      <c r="J160" s="34" t="s">
        <v>15</v>
      </c>
      <c r="K160" s="45">
        <v>111.1</v>
      </c>
      <c r="L160" s="9"/>
      <c r="M160" s="45">
        <v>111.1</v>
      </c>
    </row>
    <row r="161">
      <c r="A161" s="34" t="s">
        <v>70</v>
      </c>
      <c r="B161" s="34" t="s">
        <v>182</v>
      </c>
      <c r="C161" s="34">
        <v>31.0</v>
      </c>
      <c r="D161" s="34" t="s">
        <v>508</v>
      </c>
      <c r="E161" s="34" t="s">
        <v>528</v>
      </c>
      <c r="F161" s="34" t="s">
        <v>529</v>
      </c>
      <c r="G161" s="34">
        <v>31555.0</v>
      </c>
      <c r="H161" s="34" t="s">
        <v>182</v>
      </c>
      <c r="I161" s="34" t="s">
        <v>17</v>
      </c>
      <c r="J161" s="34" t="s">
        <v>13</v>
      </c>
      <c r="K161" s="9"/>
      <c r="L161" s="45">
        <v>86.6</v>
      </c>
      <c r="M161" s="45">
        <v>86.6</v>
      </c>
    </row>
    <row r="162">
      <c r="A162" s="34" t="s">
        <v>70</v>
      </c>
      <c r="B162" s="34" t="s">
        <v>182</v>
      </c>
      <c r="C162" s="34">
        <v>31.0</v>
      </c>
      <c r="D162" s="34" t="s">
        <v>508</v>
      </c>
      <c r="E162" s="34" t="s">
        <v>530</v>
      </c>
      <c r="F162" s="34" t="s">
        <v>531</v>
      </c>
      <c r="G162" s="34">
        <v>31555.0</v>
      </c>
      <c r="H162" s="34" t="s">
        <v>182</v>
      </c>
      <c r="I162" s="34" t="s">
        <v>17</v>
      </c>
      <c r="J162" s="34" t="s">
        <v>13</v>
      </c>
      <c r="K162" s="9"/>
      <c r="L162" s="45">
        <v>110.9</v>
      </c>
      <c r="M162" s="45">
        <v>110.9</v>
      </c>
    </row>
    <row r="163">
      <c r="A163" s="34" t="s">
        <v>70</v>
      </c>
      <c r="B163" s="34" t="s">
        <v>182</v>
      </c>
      <c r="C163" s="34">
        <v>31.0</v>
      </c>
      <c r="D163" s="34" t="s">
        <v>508</v>
      </c>
      <c r="E163" s="34" t="s">
        <v>532</v>
      </c>
      <c r="F163" s="34" t="s">
        <v>533</v>
      </c>
      <c r="G163" s="34">
        <v>31555.0</v>
      </c>
      <c r="H163" s="34" t="s">
        <v>182</v>
      </c>
      <c r="I163" s="34" t="s">
        <v>17</v>
      </c>
      <c r="J163" s="34" t="s">
        <v>13</v>
      </c>
      <c r="K163" s="9"/>
      <c r="L163" s="45">
        <v>88.7</v>
      </c>
      <c r="M163" s="45">
        <v>88.7</v>
      </c>
    </row>
    <row r="164">
      <c r="A164" s="34" t="s">
        <v>70</v>
      </c>
      <c r="B164" s="34" t="s">
        <v>182</v>
      </c>
      <c r="C164" s="34">
        <v>31.0</v>
      </c>
      <c r="D164" s="34" t="s">
        <v>508</v>
      </c>
      <c r="E164" s="34" t="s">
        <v>534</v>
      </c>
      <c r="F164" s="34" t="s">
        <v>535</v>
      </c>
      <c r="G164" s="34">
        <v>31555.0</v>
      </c>
      <c r="H164" s="34" t="s">
        <v>182</v>
      </c>
      <c r="I164" s="34" t="s">
        <v>17</v>
      </c>
      <c r="J164" s="34" t="s">
        <v>13</v>
      </c>
      <c r="K164" s="9"/>
      <c r="L164" s="45">
        <v>87.5</v>
      </c>
      <c r="M164" s="45">
        <v>87.5</v>
      </c>
    </row>
    <row r="165">
      <c r="A165" s="34" t="s">
        <v>70</v>
      </c>
      <c r="B165" s="34" t="s">
        <v>182</v>
      </c>
      <c r="C165" s="34">
        <v>31.0</v>
      </c>
      <c r="D165" s="34" t="s">
        <v>508</v>
      </c>
      <c r="E165" s="34" t="s">
        <v>536</v>
      </c>
      <c r="F165" s="34" t="s">
        <v>537</v>
      </c>
      <c r="G165" s="34">
        <v>31557.0</v>
      </c>
      <c r="H165" s="34" t="s">
        <v>538</v>
      </c>
      <c r="I165" s="34" t="s">
        <v>18</v>
      </c>
      <c r="J165" s="34" t="s">
        <v>14</v>
      </c>
      <c r="K165" s="45">
        <v>138.1</v>
      </c>
      <c r="L165" s="45">
        <v>85.8</v>
      </c>
      <c r="M165" s="45">
        <v>124.0</v>
      </c>
    </row>
    <row r="166">
      <c r="A166" s="34" t="s">
        <v>70</v>
      </c>
      <c r="B166" s="34" t="s">
        <v>182</v>
      </c>
      <c r="C166" s="34">
        <v>32.0</v>
      </c>
      <c r="D166" s="34" t="s">
        <v>539</v>
      </c>
      <c r="E166" s="34" t="s">
        <v>540</v>
      </c>
      <c r="F166" s="34" t="s">
        <v>541</v>
      </c>
      <c r="G166" s="34">
        <v>32107.0</v>
      </c>
      <c r="H166" s="34" t="s">
        <v>542</v>
      </c>
      <c r="I166" s="34" t="s">
        <v>18</v>
      </c>
      <c r="J166" s="34" t="s">
        <v>15</v>
      </c>
      <c r="K166" s="45">
        <v>111.4</v>
      </c>
      <c r="L166" s="9"/>
      <c r="M166" s="45">
        <v>111.4</v>
      </c>
    </row>
    <row r="167">
      <c r="A167" s="34" t="s">
        <v>70</v>
      </c>
      <c r="B167" s="34" t="s">
        <v>182</v>
      </c>
      <c r="C167" s="34">
        <v>32.0</v>
      </c>
      <c r="D167" s="34" t="s">
        <v>539</v>
      </c>
      <c r="E167" s="34" t="s">
        <v>543</v>
      </c>
      <c r="F167" s="34" t="s">
        <v>544</v>
      </c>
      <c r="G167" s="34">
        <v>32256.0</v>
      </c>
      <c r="H167" s="34" t="s">
        <v>545</v>
      </c>
      <c r="I167" s="34" t="s">
        <v>18</v>
      </c>
      <c r="J167" s="34" t="s">
        <v>14</v>
      </c>
      <c r="K167" s="45">
        <v>115.6</v>
      </c>
      <c r="L167" s="45">
        <v>91.7</v>
      </c>
      <c r="M167" s="45">
        <v>108.9</v>
      </c>
    </row>
    <row r="168">
      <c r="A168" s="34" t="s">
        <v>70</v>
      </c>
      <c r="B168" s="34" t="s">
        <v>182</v>
      </c>
      <c r="C168" s="34">
        <v>32.0</v>
      </c>
      <c r="D168" s="34" t="s">
        <v>539</v>
      </c>
      <c r="E168" s="34" t="s">
        <v>546</v>
      </c>
      <c r="F168" s="34" t="s">
        <v>547</v>
      </c>
      <c r="G168" s="34">
        <v>32410.0</v>
      </c>
      <c r="H168" s="34" t="s">
        <v>548</v>
      </c>
      <c r="I168" s="34" t="s">
        <v>18</v>
      </c>
      <c r="J168" s="34" t="s">
        <v>13</v>
      </c>
      <c r="K168" s="9"/>
      <c r="L168" s="45">
        <v>100.5</v>
      </c>
      <c r="M168" s="45">
        <v>100.5</v>
      </c>
    </row>
    <row r="169">
      <c r="A169" s="34" t="s">
        <v>70</v>
      </c>
      <c r="B169" s="34" t="s">
        <v>182</v>
      </c>
      <c r="C169" s="34">
        <v>32.0</v>
      </c>
      <c r="D169" s="34" t="s">
        <v>539</v>
      </c>
      <c r="E169" s="34" t="s">
        <v>549</v>
      </c>
      <c r="F169" s="34" t="s">
        <v>550</v>
      </c>
      <c r="G169" s="34">
        <v>32013.0</v>
      </c>
      <c r="H169" s="34" t="s">
        <v>551</v>
      </c>
      <c r="I169" s="34" t="s">
        <v>18</v>
      </c>
      <c r="J169" s="34" t="s">
        <v>13</v>
      </c>
      <c r="K169" s="9"/>
      <c r="L169" s="45">
        <v>88.5</v>
      </c>
      <c r="M169" s="45">
        <v>88.5</v>
      </c>
    </row>
    <row r="170">
      <c r="A170" s="34" t="s">
        <v>70</v>
      </c>
      <c r="B170" s="34" t="s">
        <v>182</v>
      </c>
      <c r="C170" s="34">
        <v>32.0</v>
      </c>
      <c r="D170" s="34" t="s">
        <v>539</v>
      </c>
      <c r="E170" s="34" t="s">
        <v>552</v>
      </c>
      <c r="F170" s="34" t="s">
        <v>553</v>
      </c>
      <c r="G170" s="34">
        <v>32013.0</v>
      </c>
      <c r="H170" s="34" t="s">
        <v>551</v>
      </c>
      <c r="I170" s="34" t="s">
        <v>17</v>
      </c>
      <c r="J170" s="34" t="s">
        <v>15</v>
      </c>
      <c r="K170" s="45">
        <v>123.2</v>
      </c>
      <c r="L170" s="9"/>
      <c r="M170" s="45">
        <v>123.2</v>
      </c>
    </row>
    <row r="171">
      <c r="A171" s="34" t="s">
        <v>70</v>
      </c>
      <c r="B171" s="34" t="s">
        <v>182</v>
      </c>
      <c r="C171" s="34">
        <v>32.0</v>
      </c>
      <c r="D171" s="34" t="s">
        <v>539</v>
      </c>
      <c r="E171" s="34" t="s">
        <v>554</v>
      </c>
      <c r="F171" s="34" t="s">
        <v>555</v>
      </c>
      <c r="G171" s="34">
        <v>32208.0</v>
      </c>
      <c r="H171" s="34" t="s">
        <v>556</v>
      </c>
      <c r="I171" s="34" t="s">
        <v>17</v>
      </c>
      <c r="J171" s="34" t="s">
        <v>15</v>
      </c>
      <c r="K171" s="45">
        <v>131.5</v>
      </c>
      <c r="L171" s="9"/>
      <c r="M171" s="45">
        <v>131.5</v>
      </c>
    </row>
    <row r="172">
      <c r="A172" s="34" t="s">
        <v>70</v>
      </c>
      <c r="B172" s="34" t="s">
        <v>182</v>
      </c>
      <c r="C172" s="34">
        <v>32.0</v>
      </c>
      <c r="D172" s="34" t="s">
        <v>539</v>
      </c>
      <c r="E172" s="34" t="s">
        <v>557</v>
      </c>
      <c r="F172" s="34" t="s">
        <v>558</v>
      </c>
      <c r="G172" s="34">
        <v>32242.0</v>
      </c>
      <c r="H172" s="34" t="s">
        <v>559</v>
      </c>
      <c r="I172" s="34" t="s">
        <v>17</v>
      </c>
      <c r="J172" s="34" t="s">
        <v>15</v>
      </c>
      <c r="K172" s="45">
        <v>116.0</v>
      </c>
      <c r="L172" s="9"/>
      <c r="M172" s="45">
        <v>116.0</v>
      </c>
    </row>
    <row r="173">
      <c r="A173" s="34" t="s">
        <v>70</v>
      </c>
      <c r="B173" s="34" t="s">
        <v>377</v>
      </c>
      <c r="C173" s="34">
        <v>33.0</v>
      </c>
      <c r="D173" s="34" t="s">
        <v>560</v>
      </c>
      <c r="E173" s="34" t="s">
        <v>561</v>
      </c>
      <c r="F173" s="34" t="s">
        <v>562</v>
      </c>
      <c r="G173" s="34">
        <v>33009.0</v>
      </c>
      <c r="H173" s="34" t="s">
        <v>563</v>
      </c>
      <c r="I173" s="34" t="s">
        <v>18</v>
      </c>
      <c r="J173" s="34" t="s">
        <v>15</v>
      </c>
      <c r="K173" s="45">
        <v>121.8</v>
      </c>
      <c r="L173" s="9"/>
      <c r="M173" s="45">
        <v>121.8</v>
      </c>
    </row>
    <row r="174">
      <c r="A174" s="34" t="s">
        <v>70</v>
      </c>
      <c r="B174" s="34" t="s">
        <v>377</v>
      </c>
      <c r="C174" s="34">
        <v>33.0</v>
      </c>
      <c r="D174" s="34" t="s">
        <v>560</v>
      </c>
      <c r="E174" s="34" t="s">
        <v>564</v>
      </c>
      <c r="F174" s="34" t="s">
        <v>565</v>
      </c>
      <c r="G174" s="34">
        <v>33036.0</v>
      </c>
      <c r="H174" s="34" t="s">
        <v>566</v>
      </c>
      <c r="I174" s="34" t="s">
        <v>18</v>
      </c>
      <c r="J174" s="34" t="s">
        <v>13</v>
      </c>
      <c r="K174" s="9"/>
      <c r="L174" s="45">
        <v>88.4</v>
      </c>
      <c r="M174" s="45">
        <v>88.4</v>
      </c>
    </row>
    <row r="175">
      <c r="A175" s="34" t="s">
        <v>70</v>
      </c>
      <c r="B175" s="34" t="s">
        <v>377</v>
      </c>
      <c r="C175" s="34">
        <v>33.0</v>
      </c>
      <c r="D175" s="34" t="s">
        <v>560</v>
      </c>
      <c r="E175" s="34" t="s">
        <v>567</v>
      </c>
      <c r="F175" s="34" t="s">
        <v>568</v>
      </c>
      <c r="G175" s="34">
        <v>33063.0</v>
      </c>
      <c r="H175" s="34" t="s">
        <v>377</v>
      </c>
      <c r="I175" s="34" t="s">
        <v>18</v>
      </c>
      <c r="J175" s="34" t="s">
        <v>15</v>
      </c>
      <c r="K175" s="45">
        <v>124.5</v>
      </c>
      <c r="L175" s="9"/>
      <c r="M175" s="45">
        <v>124.5</v>
      </c>
    </row>
    <row r="176">
      <c r="A176" s="34" t="s">
        <v>70</v>
      </c>
      <c r="B176" s="34" t="s">
        <v>377</v>
      </c>
      <c r="C176" s="34">
        <v>33.0</v>
      </c>
      <c r="D176" s="34" t="s">
        <v>560</v>
      </c>
      <c r="E176" s="34" t="s">
        <v>569</v>
      </c>
      <c r="F176" s="34" t="s">
        <v>570</v>
      </c>
      <c r="G176" s="34">
        <v>33063.0</v>
      </c>
      <c r="H176" s="34" t="s">
        <v>377</v>
      </c>
      <c r="I176" s="34" t="s">
        <v>18</v>
      </c>
      <c r="J176" s="34" t="s">
        <v>15</v>
      </c>
      <c r="K176" s="45">
        <v>134.6</v>
      </c>
      <c r="L176" s="9"/>
      <c r="M176" s="45">
        <v>134.6</v>
      </c>
    </row>
    <row r="177">
      <c r="A177" s="34" t="s">
        <v>70</v>
      </c>
      <c r="B177" s="34" t="s">
        <v>377</v>
      </c>
      <c r="C177" s="34">
        <v>33.0</v>
      </c>
      <c r="D177" s="34" t="s">
        <v>560</v>
      </c>
      <c r="E177" s="34" t="s">
        <v>571</v>
      </c>
      <c r="F177" s="34" t="s">
        <v>572</v>
      </c>
      <c r="G177" s="34">
        <v>33063.0</v>
      </c>
      <c r="H177" s="34" t="s">
        <v>377</v>
      </c>
      <c r="I177" s="34" t="s">
        <v>18</v>
      </c>
      <c r="J177" s="34" t="s">
        <v>15</v>
      </c>
      <c r="K177" s="45">
        <v>116.2</v>
      </c>
      <c r="L177" s="9"/>
      <c r="M177" s="45">
        <v>116.2</v>
      </c>
    </row>
    <row r="178">
      <c r="A178" s="34" t="s">
        <v>70</v>
      </c>
      <c r="B178" s="34" t="s">
        <v>377</v>
      </c>
      <c r="C178" s="34">
        <v>33.0</v>
      </c>
      <c r="D178" s="34" t="s">
        <v>560</v>
      </c>
      <c r="E178" s="34" t="s">
        <v>573</v>
      </c>
      <c r="F178" s="34" t="s">
        <v>574</v>
      </c>
      <c r="G178" s="34">
        <v>33063.0</v>
      </c>
      <c r="H178" s="34" t="s">
        <v>377</v>
      </c>
      <c r="I178" s="34" t="s">
        <v>18</v>
      </c>
      <c r="J178" s="34" t="s">
        <v>13</v>
      </c>
      <c r="K178" s="9"/>
      <c r="L178" s="45">
        <v>100.0</v>
      </c>
      <c r="M178" s="45">
        <v>100.0</v>
      </c>
    </row>
    <row r="179">
      <c r="A179" s="34" t="s">
        <v>70</v>
      </c>
      <c r="B179" s="34" t="s">
        <v>377</v>
      </c>
      <c r="C179" s="34">
        <v>33.0</v>
      </c>
      <c r="D179" s="34" t="s">
        <v>560</v>
      </c>
      <c r="E179" s="34" t="s">
        <v>575</v>
      </c>
      <c r="F179" s="34" t="s">
        <v>576</v>
      </c>
      <c r="G179" s="34">
        <v>33085.0</v>
      </c>
      <c r="H179" s="34" t="s">
        <v>577</v>
      </c>
      <c r="I179" s="34" t="s">
        <v>18</v>
      </c>
      <c r="J179" s="34" t="s">
        <v>13</v>
      </c>
      <c r="K179" s="9"/>
      <c r="L179" s="45">
        <v>93.1</v>
      </c>
      <c r="M179" s="45">
        <v>93.1</v>
      </c>
    </row>
    <row r="180">
      <c r="A180" s="34" t="s">
        <v>70</v>
      </c>
      <c r="B180" s="34" t="s">
        <v>377</v>
      </c>
      <c r="C180" s="34">
        <v>33.0</v>
      </c>
      <c r="D180" s="34" t="s">
        <v>560</v>
      </c>
      <c r="E180" s="34" t="s">
        <v>578</v>
      </c>
      <c r="F180" s="34" t="s">
        <v>579</v>
      </c>
      <c r="G180" s="34">
        <v>33162.0</v>
      </c>
      <c r="H180" s="34" t="s">
        <v>580</v>
      </c>
      <c r="I180" s="34" t="s">
        <v>18</v>
      </c>
      <c r="J180" s="34" t="s">
        <v>13</v>
      </c>
      <c r="K180" s="9"/>
      <c r="L180" s="45">
        <v>91.7</v>
      </c>
      <c r="M180" s="45">
        <v>91.7</v>
      </c>
    </row>
    <row r="181">
      <c r="A181" s="34" t="s">
        <v>70</v>
      </c>
      <c r="B181" s="34" t="s">
        <v>377</v>
      </c>
      <c r="C181" s="34">
        <v>33.0</v>
      </c>
      <c r="D181" s="34" t="s">
        <v>560</v>
      </c>
      <c r="E181" s="34" t="s">
        <v>581</v>
      </c>
      <c r="F181" s="34" t="s">
        <v>582</v>
      </c>
      <c r="G181" s="34">
        <v>33352.0</v>
      </c>
      <c r="H181" s="34" t="s">
        <v>583</v>
      </c>
      <c r="I181" s="34" t="s">
        <v>18</v>
      </c>
      <c r="J181" s="34" t="s">
        <v>15</v>
      </c>
      <c r="K181" s="45">
        <v>111.7</v>
      </c>
      <c r="L181" s="9"/>
      <c r="M181" s="45">
        <v>111.7</v>
      </c>
    </row>
    <row r="182">
      <c r="A182" s="34" t="s">
        <v>70</v>
      </c>
      <c r="B182" s="34" t="s">
        <v>377</v>
      </c>
      <c r="C182" s="34">
        <v>33.0</v>
      </c>
      <c r="D182" s="34" t="s">
        <v>560</v>
      </c>
      <c r="E182" s="34" t="s">
        <v>584</v>
      </c>
      <c r="F182" s="34" t="s">
        <v>585</v>
      </c>
      <c r="G182" s="34">
        <v>33522.0</v>
      </c>
      <c r="H182" s="34" t="s">
        <v>586</v>
      </c>
      <c r="I182" s="34" t="s">
        <v>18</v>
      </c>
      <c r="J182" s="34" t="s">
        <v>14</v>
      </c>
      <c r="K182" s="45">
        <v>117.8</v>
      </c>
      <c r="L182" s="45">
        <v>92.3</v>
      </c>
      <c r="M182" s="45">
        <v>112.1</v>
      </c>
    </row>
    <row r="183">
      <c r="A183" s="34" t="s">
        <v>70</v>
      </c>
      <c r="B183" s="34" t="s">
        <v>377</v>
      </c>
      <c r="C183" s="34">
        <v>33.0</v>
      </c>
      <c r="D183" s="34" t="s">
        <v>560</v>
      </c>
      <c r="E183" s="34" t="s">
        <v>587</v>
      </c>
      <c r="F183" s="34" t="s">
        <v>588</v>
      </c>
      <c r="G183" s="34">
        <v>33063.0</v>
      </c>
      <c r="H183" s="34" t="s">
        <v>377</v>
      </c>
      <c r="I183" s="34" t="s">
        <v>17</v>
      </c>
      <c r="J183" s="34" t="s">
        <v>15</v>
      </c>
      <c r="K183" s="45">
        <v>140.9</v>
      </c>
      <c r="L183" s="9"/>
      <c r="M183" s="45">
        <v>140.9</v>
      </c>
    </row>
    <row r="184">
      <c r="A184" s="34" t="s">
        <v>70</v>
      </c>
      <c r="B184" s="34" t="s">
        <v>377</v>
      </c>
      <c r="C184" s="34">
        <v>33.0</v>
      </c>
      <c r="D184" s="34" t="s">
        <v>560</v>
      </c>
      <c r="E184" s="34" t="s">
        <v>589</v>
      </c>
      <c r="F184" s="34" t="s">
        <v>590</v>
      </c>
      <c r="G184" s="34">
        <v>33063.0</v>
      </c>
      <c r="H184" s="34" t="s">
        <v>377</v>
      </c>
      <c r="I184" s="34" t="s">
        <v>17</v>
      </c>
      <c r="J184" s="34" t="s">
        <v>15</v>
      </c>
      <c r="K184" s="45">
        <v>144.7</v>
      </c>
      <c r="L184" s="9"/>
      <c r="M184" s="45">
        <v>144.7</v>
      </c>
    </row>
    <row r="185">
      <c r="A185" s="34" t="s">
        <v>70</v>
      </c>
      <c r="B185" s="34" t="s">
        <v>377</v>
      </c>
      <c r="C185" s="34">
        <v>33.0</v>
      </c>
      <c r="D185" s="34" t="s">
        <v>560</v>
      </c>
      <c r="E185" s="34" t="s">
        <v>591</v>
      </c>
      <c r="F185" s="34" t="s">
        <v>592</v>
      </c>
      <c r="G185" s="34">
        <v>33243.0</v>
      </c>
      <c r="H185" s="34" t="s">
        <v>593</v>
      </c>
      <c r="I185" s="34" t="s">
        <v>17</v>
      </c>
      <c r="J185" s="34" t="s">
        <v>15</v>
      </c>
      <c r="K185" s="45">
        <v>114.9</v>
      </c>
      <c r="L185" s="9"/>
      <c r="M185" s="45">
        <v>114.9</v>
      </c>
    </row>
    <row r="186">
      <c r="A186" s="34" t="s">
        <v>70</v>
      </c>
      <c r="B186" s="34" t="s">
        <v>377</v>
      </c>
      <c r="C186" s="34">
        <v>33.0</v>
      </c>
      <c r="D186" s="34" t="s">
        <v>560</v>
      </c>
      <c r="E186" s="34" t="s">
        <v>594</v>
      </c>
      <c r="F186" s="34" t="s">
        <v>595</v>
      </c>
      <c r="G186" s="34">
        <v>33447.0</v>
      </c>
      <c r="H186" s="34" t="s">
        <v>596</v>
      </c>
      <c r="I186" s="34" t="s">
        <v>17</v>
      </c>
      <c r="J186" s="34" t="s">
        <v>13</v>
      </c>
      <c r="K186" s="9"/>
      <c r="L186" s="45">
        <v>83.0</v>
      </c>
      <c r="M186" s="45">
        <v>83.0</v>
      </c>
    </row>
    <row r="187">
      <c r="A187" s="34" t="s">
        <v>70</v>
      </c>
      <c r="B187" s="34" t="s">
        <v>377</v>
      </c>
      <c r="C187" s="34">
        <v>33.0</v>
      </c>
      <c r="D187" s="34" t="s">
        <v>560</v>
      </c>
      <c r="E187" s="34" t="s">
        <v>597</v>
      </c>
      <c r="F187" s="34" t="s">
        <v>598</v>
      </c>
      <c r="G187" s="34">
        <v>33063.0</v>
      </c>
      <c r="H187" s="34" t="s">
        <v>377</v>
      </c>
      <c r="I187" s="34" t="s">
        <v>17</v>
      </c>
      <c r="J187" s="34" t="s">
        <v>15</v>
      </c>
      <c r="K187" s="45">
        <v>118.5</v>
      </c>
      <c r="L187" s="9"/>
      <c r="M187" s="45">
        <v>118.5</v>
      </c>
    </row>
    <row r="188">
      <c r="A188" s="34" t="s">
        <v>70</v>
      </c>
      <c r="B188" s="34" t="s">
        <v>377</v>
      </c>
      <c r="C188" s="34">
        <v>33.0</v>
      </c>
      <c r="D188" s="34" t="s">
        <v>560</v>
      </c>
      <c r="E188" s="34" t="s">
        <v>599</v>
      </c>
      <c r="F188" s="34" t="s">
        <v>600</v>
      </c>
      <c r="G188" s="34">
        <v>33009.0</v>
      </c>
      <c r="H188" s="34" t="s">
        <v>563</v>
      </c>
      <c r="I188" s="34" t="s">
        <v>18</v>
      </c>
      <c r="J188" s="34" t="s">
        <v>13</v>
      </c>
      <c r="K188" s="9"/>
      <c r="L188" s="45">
        <v>97.0</v>
      </c>
      <c r="M188" s="45">
        <v>97.0</v>
      </c>
    </row>
    <row r="189">
      <c r="A189" s="34" t="s">
        <v>70</v>
      </c>
      <c r="B189" s="34" t="s">
        <v>377</v>
      </c>
      <c r="C189" s="34">
        <v>33.0</v>
      </c>
      <c r="D189" s="34" t="s">
        <v>560</v>
      </c>
      <c r="E189" s="34" t="s">
        <v>601</v>
      </c>
      <c r="F189" s="34" t="s">
        <v>602</v>
      </c>
      <c r="G189" s="34">
        <v>33063.0</v>
      </c>
      <c r="H189" s="34" t="s">
        <v>377</v>
      </c>
      <c r="I189" s="34" t="s">
        <v>18</v>
      </c>
      <c r="J189" s="34" t="s">
        <v>13</v>
      </c>
      <c r="K189" s="9"/>
      <c r="L189" s="45">
        <v>93.0</v>
      </c>
      <c r="M189" s="45">
        <v>93.0</v>
      </c>
    </row>
    <row r="190">
      <c r="A190" s="34" t="s">
        <v>70</v>
      </c>
      <c r="B190" s="34" t="s">
        <v>377</v>
      </c>
      <c r="C190" s="34">
        <v>33.0</v>
      </c>
      <c r="D190" s="34" t="s">
        <v>560</v>
      </c>
      <c r="E190" s="34" t="s">
        <v>603</v>
      </c>
      <c r="F190" s="34" t="s">
        <v>604</v>
      </c>
      <c r="G190" s="34">
        <v>33318.0</v>
      </c>
      <c r="H190" s="34" t="s">
        <v>605</v>
      </c>
      <c r="I190" s="34" t="s">
        <v>18</v>
      </c>
      <c r="J190" s="34" t="s">
        <v>15</v>
      </c>
      <c r="K190" s="45">
        <v>129.4</v>
      </c>
      <c r="L190" s="9"/>
      <c r="M190" s="45">
        <v>129.4</v>
      </c>
    </row>
    <row r="191">
      <c r="A191" s="34" t="s">
        <v>70</v>
      </c>
      <c r="B191" s="34" t="s">
        <v>377</v>
      </c>
      <c r="C191" s="34">
        <v>33.0</v>
      </c>
      <c r="D191" s="34" t="s">
        <v>560</v>
      </c>
      <c r="E191" s="34" t="s">
        <v>606</v>
      </c>
      <c r="F191" s="34" t="s">
        <v>607</v>
      </c>
      <c r="G191" s="34">
        <v>33314.0</v>
      </c>
      <c r="H191" s="34" t="s">
        <v>608</v>
      </c>
      <c r="I191" s="34" t="s">
        <v>17</v>
      </c>
      <c r="J191" s="34" t="s">
        <v>15</v>
      </c>
      <c r="K191" s="45">
        <v>97.7</v>
      </c>
      <c r="L191" s="9"/>
      <c r="M191" s="45">
        <v>97.7</v>
      </c>
    </row>
    <row r="192">
      <c r="A192" s="34" t="s">
        <v>70</v>
      </c>
      <c r="B192" s="34" t="s">
        <v>483</v>
      </c>
      <c r="C192" s="34">
        <v>34.0</v>
      </c>
      <c r="D192" s="34" t="s">
        <v>609</v>
      </c>
      <c r="E192" s="34" t="s">
        <v>610</v>
      </c>
      <c r="F192" s="34" t="s">
        <v>611</v>
      </c>
      <c r="G192" s="34">
        <v>34079.0</v>
      </c>
      <c r="H192" s="34" t="s">
        <v>612</v>
      </c>
      <c r="I192" s="34" t="s">
        <v>18</v>
      </c>
      <c r="J192" s="34" t="s">
        <v>15</v>
      </c>
      <c r="K192" s="45">
        <v>115.3</v>
      </c>
      <c r="L192" s="9"/>
      <c r="M192" s="45">
        <v>115.3</v>
      </c>
    </row>
    <row r="193">
      <c r="A193" s="34" t="s">
        <v>70</v>
      </c>
      <c r="B193" s="34" t="s">
        <v>483</v>
      </c>
      <c r="C193" s="34">
        <v>34.0</v>
      </c>
      <c r="D193" s="34" t="s">
        <v>609</v>
      </c>
      <c r="E193" s="34" t="s">
        <v>613</v>
      </c>
      <c r="F193" s="34" t="s">
        <v>614</v>
      </c>
      <c r="G193" s="34">
        <v>34301.0</v>
      </c>
      <c r="H193" s="34" t="s">
        <v>615</v>
      </c>
      <c r="I193" s="34" t="s">
        <v>18</v>
      </c>
      <c r="J193" s="34" t="s">
        <v>15</v>
      </c>
      <c r="K193" s="45">
        <v>105.8</v>
      </c>
      <c r="L193" s="9"/>
      <c r="M193" s="45">
        <v>105.8</v>
      </c>
    </row>
    <row r="194">
      <c r="A194" s="34" t="s">
        <v>70</v>
      </c>
      <c r="B194" s="34" t="s">
        <v>483</v>
      </c>
      <c r="C194" s="34">
        <v>34.0</v>
      </c>
      <c r="D194" s="34" t="s">
        <v>609</v>
      </c>
      <c r="E194" s="34" t="s">
        <v>616</v>
      </c>
      <c r="F194" s="34" t="s">
        <v>617</v>
      </c>
      <c r="G194" s="34">
        <v>34172.0</v>
      </c>
      <c r="H194" s="34" t="s">
        <v>483</v>
      </c>
      <c r="I194" s="34" t="s">
        <v>17</v>
      </c>
      <c r="J194" s="34" t="s">
        <v>15</v>
      </c>
      <c r="K194" s="45">
        <v>134.2</v>
      </c>
      <c r="L194" s="9"/>
      <c r="M194" s="45">
        <v>134.2</v>
      </c>
    </row>
    <row r="195">
      <c r="A195" s="34" t="s">
        <v>70</v>
      </c>
      <c r="B195" s="34" t="s">
        <v>483</v>
      </c>
      <c r="C195" s="34">
        <v>34.0</v>
      </c>
      <c r="D195" s="34" t="s">
        <v>609</v>
      </c>
      <c r="E195" s="34" t="s">
        <v>618</v>
      </c>
      <c r="F195" s="34" t="s">
        <v>619</v>
      </c>
      <c r="G195" s="34">
        <v>34172.0</v>
      </c>
      <c r="H195" s="34" t="s">
        <v>483</v>
      </c>
      <c r="I195" s="34" t="s">
        <v>18</v>
      </c>
      <c r="J195" s="34" t="s">
        <v>13</v>
      </c>
      <c r="K195" s="9"/>
      <c r="L195" s="45">
        <v>81.9</v>
      </c>
      <c r="M195" s="45">
        <v>81.9</v>
      </c>
    </row>
    <row r="196">
      <c r="A196" s="34" t="s">
        <v>70</v>
      </c>
      <c r="B196" s="34" t="s">
        <v>483</v>
      </c>
      <c r="C196" s="34">
        <v>34.0</v>
      </c>
      <c r="D196" s="34" t="s">
        <v>609</v>
      </c>
      <c r="E196" s="34" t="s">
        <v>620</v>
      </c>
      <c r="F196" s="34" t="s">
        <v>621</v>
      </c>
      <c r="G196" s="34">
        <v>34172.0</v>
      </c>
      <c r="H196" s="34" t="s">
        <v>483</v>
      </c>
      <c r="I196" s="34" t="s">
        <v>18</v>
      </c>
      <c r="J196" s="34" t="s">
        <v>15</v>
      </c>
      <c r="K196" s="45">
        <v>115.3</v>
      </c>
      <c r="L196" s="9"/>
      <c r="M196" s="45">
        <v>115.3</v>
      </c>
    </row>
    <row r="197">
      <c r="A197" s="34" t="s">
        <v>70</v>
      </c>
      <c r="B197" s="34" t="s">
        <v>354</v>
      </c>
      <c r="C197" s="34">
        <v>35.0</v>
      </c>
      <c r="D197" s="34" t="s">
        <v>622</v>
      </c>
      <c r="E197" s="34" t="s">
        <v>623</v>
      </c>
      <c r="F197" s="34" t="s">
        <v>624</v>
      </c>
      <c r="G197" s="34">
        <v>35238.0</v>
      </c>
      <c r="H197" s="34" t="s">
        <v>354</v>
      </c>
      <c r="I197" s="34" t="s">
        <v>18</v>
      </c>
      <c r="J197" s="34" t="s">
        <v>13</v>
      </c>
      <c r="K197" s="9"/>
      <c r="L197" s="45">
        <v>81.5</v>
      </c>
      <c r="M197" s="45">
        <v>81.5</v>
      </c>
    </row>
    <row r="198">
      <c r="A198" s="34" t="s">
        <v>70</v>
      </c>
      <c r="B198" s="34" t="s">
        <v>354</v>
      </c>
      <c r="C198" s="34">
        <v>35.0</v>
      </c>
      <c r="D198" s="34" t="s">
        <v>622</v>
      </c>
      <c r="E198" s="34" t="s">
        <v>625</v>
      </c>
      <c r="F198" s="34" t="s">
        <v>626</v>
      </c>
      <c r="G198" s="34">
        <v>35085.0</v>
      </c>
      <c r="H198" s="34" t="s">
        <v>627</v>
      </c>
      <c r="I198" s="34" t="s">
        <v>18</v>
      </c>
      <c r="J198" s="34" t="s">
        <v>15</v>
      </c>
      <c r="K198" s="45">
        <v>117.5</v>
      </c>
      <c r="L198" s="9"/>
      <c r="M198" s="45">
        <v>117.5</v>
      </c>
    </row>
    <row r="199">
      <c r="A199" s="34" t="s">
        <v>70</v>
      </c>
      <c r="B199" s="34" t="s">
        <v>313</v>
      </c>
      <c r="C199" s="34">
        <v>36.0</v>
      </c>
      <c r="D199" s="34" t="s">
        <v>628</v>
      </c>
      <c r="E199" s="34" t="s">
        <v>629</v>
      </c>
      <c r="F199" s="34" t="s">
        <v>630</v>
      </c>
      <c r="G199" s="34">
        <v>36006.0</v>
      </c>
      <c r="H199" s="34" t="s">
        <v>631</v>
      </c>
      <c r="I199" s="34" t="s">
        <v>18</v>
      </c>
      <c r="J199" s="34" t="s">
        <v>15</v>
      </c>
      <c r="K199" s="45">
        <v>111.5</v>
      </c>
      <c r="L199" s="9"/>
      <c r="M199" s="45">
        <v>111.5</v>
      </c>
    </row>
    <row r="200">
      <c r="A200" s="34" t="s">
        <v>70</v>
      </c>
      <c r="B200" s="34" t="s">
        <v>313</v>
      </c>
      <c r="C200" s="34">
        <v>36.0</v>
      </c>
      <c r="D200" s="34" t="s">
        <v>628</v>
      </c>
      <c r="E200" s="34" t="s">
        <v>632</v>
      </c>
      <c r="F200" s="34" t="s">
        <v>633</v>
      </c>
      <c r="G200" s="34">
        <v>36044.0</v>
      </c>
      <c r="H200" s="34" t="s">
        <v>634</v>
      </c>
      <c r="I200" s="34" t="s">
        <v>18</v>
      </c>
      <c r="J200" s="34" t="s">
        <v>15</v>
      </c>
      <c r="K200" s="45">
        <v>116.3</v>
      </c>
      <c r="L200" s="9"/>
      <c r="M200" s="45">
        <v>116.3</v>
      </c>
    </row>
    <row r="201">
      <c r="A201" s="34" t="s">
        <v>70</v>
      </c>
      <c r="B201" s="34" t="s">
        <v>313</v>
      </c>
      <c r="C201" s="34">
        <v>36.0</v>
      </c>
      <c r="D201" s="34" t="s">
        <v>628</v>
      </c>
      <c r="E201" s="34" t="s">
        <v>635</v>
      </c>
      <c r="F201" s="34" t="s">
        <v>636</v>
      </c>
      <c r="G201" s="34">
        <v>36044.0</v>
      </c>
      <c r="H201" s="34" t="s">
        <v>634</v>
      </c>
      <c r="I201" s="34" t="s">
        <v>18</v>
      </c>
      <c r="J201" s="34" t="s">
        <v>13</v>
      </c>
      <c r="K201" s="9"/>
      <c r="L201" s="45">
        <v>79.9</v>
      </c>
      <c r="M201" s="45">
        <v>79.9</v>
      </c>
    </row>
    <row r="202">
      <c r="A202" s="34" t="s">
        <v>70</v>
      </c>
      <c r="B202" s="34" t="s">
        <v>313</v>
      </c>
      <c r="C202" s="34">
        <v>37.0</v>
      </c>
      <c r="D202" s="34" t="s">
        <v>637</v>
      </c>
      <c r="E202" s="34" t="s">
        <v>638</v>
      </c>
      <c r="F202" s="34" t="s">
        <v>639</v>
      </c>
      <c r="G202" s="34">
        <v>37261.0</v>
      </c>
      <c r="H202" s="34" t="s">
        <v>640</v>
      </c>
      <c r="I202" s="34" t="s">
        <v>18</v>
      </c>
      <c r="J202" s="34" t="s">
        <v>13</v>
      </c>
      <c r="K202" s="9"/>
      <c r="L202" s="45">
        <v>90.0</v>
      </c>
      <c r="M202" s="45">
        <v>90.0</v>
      </c>
    </row>
    <row r="203">
      <c r="A203" s="34" t="s">
        <v>70</v>
      </c>
      <c r="B203" s="34" t="s">
        <v>313</v>
      </c>
      <c r="C203" s="34">
        <v>37.0</v>
      </c>
      <c r="D203" s="34" t="s">
        <v>637</v>
      </c>
      <c r="E203" s="34" t="s">
        <v>641</v>
      </c>
      <c r="F203" s="34" t="s">
        <v>642</v>
      </c>
      <c r="G203" s="34">
        <v>37261.0</v>
      </c>
      <c r="H203" s="34" t="s">
        <v>640</v>
      </c>
      <c r="I203" s="34" t="s">
        <v>17</v>
      </c>
      <c r="J203" s="34" t="s">
        <v>15</v>
      </c>
      <c r="K203" s="45">
        <v>128.0</v>
      </c>
      <c r="L203" s="9"/>
      <c r="M203" s="45">
        <v>128.0</v>
      </c>
    </row>
    <row r="204">
      <c r="A204" s="34" t="s">
        <v>70</v>
      </c>
      <c r="B204" s="34" t="s">
        <v>313</v>
      </c>
      <c r="C204" s="34">
        <v>37.0</v>
      </c>
      <c r="D204" s="34" t="s">
        <v>637</v>
      </c>
      <c r="E204" s="34" t="s">
        <v>643</v>
      </c>
      <c r="F204" s="34" t="s">
        <v>644</v>
      </c>
      <c r="G204" s="34">
        <v>37122.0</v>
      </c>
      <c r="H204" s="34" t="s">
        <v>645</v>
      </c>
      <c r="I204" s="34" t="s">
        <v>17</v>
      </c>
      <c r="J204" s="34" t="s">
        <v>14</v>
      </c>
      <c r="K204" s="45">
        <v>121.4</v>
      </c>
      <c r="L204" s="45">
        <v>95.1</v>
      </c>
      <c r="M204" s="45">
        <v>114.2</v>
      </c>
    </row>
    <row r="205">
      <c r="A205" s="34" t="s">
        <v>70</v>
      </c>
      <c r="B205" s="34" t="s">
        <v>313</v>
      </c>
      <c r="C205" s="34">
        <v>37.0</v>
      </c>
      <c r="D205" s="34" t="s">
        <v>637</v>
      </c>
      <c r="E205" s="34" t="s">
        <v>646</v>
      </c>
      <c r="F205" s="34" t="s">
        <v>647</v>
      </c>
      <c r="G205" s="34">
        <v>37261.0</v>
      </c>
      <c r="H205" s="34" t="s">
        <v>640</v>
      </c>
      <c r="I205" s="34" t="s">
        <v>17</v>
      </c>
      <c r="J205" s="34" t="s">
        <v>13</v>
      </c>
      <c r="K205" s="9"/>
      <c r="L205" s="45">
        <v>100.6</v>
      </c>
      <c r="M205" s="45">
        <v>100.6</v>
      </c>
    </row>
    <row r="206">
      <c r="A206" s="34" t="s">
        <v>70</v>
      </c>
      <c r="B206" s="34" t="s">
        <v>313</v>
      </c>
      <c r="C206" s="34">
        <v>37.0</v>
      </c>
      <c r="D206" s="34" t="s">
        <v>637</v>
      </c>
      <c r="E206" s="34" t="s">
        <v>648</v>
      </c>
      <c r="F206" s="34" t="s">
        <v>649</v>
      </c>
      <c r="G206" s="34">
        <v>37261.0</v>
      </c>
      <c r="H206" s="34" t="s">
        <v>640</v>
      </c>
      <c r="I206" s="34" t="s">
        <v>18</v>
      </c>
      <c r="J206" s="34" t="s">
        <v>13</v>
      </c>
      <c r="K206" s="9"/>
      <c r="L206" s="45">
        <v>93.0</v>
      </c>
      <c r="M206" s="45">
        <v>93.0</v>
      </c>
    </row>
    <row r="207">
      <c r="A207" s="34" t="s">
        <v>70</v>
      </c>
      <c r="B207" s="34" t="s">
        <v>313</v>
      </c>
      <c r="C207" s="34">
        <v>37.0</v>
      </c>
      <c r="D207" s="34" t="s">
        <v>637</v>
      </c>
      <c r="E207" s="34" t="s">
        <v>650</v>
      </c>
      <c r="F207" s="34" t="s">
        <v>651</v>
      </c>
      <c r="G207" s="34">
        <v>37122.0</v>
      </c>
      <c r="H207" s="34" t="s">
        <v>645</v>
      </c>
      <c r="I207" s="34" t="s">
        <v>18</v>
      </c>
      <c r="J207" s="34" t="s">
        <v>13</v>
      </c>
      <c r="K207" s="9"/>
      <c r="L207" s="45">
        <v>102.3</v>
      </c>
      <c r="M207" s="45">
        <v>102.3</v>
      </c>
    </row>
    <row r="208">
      <c r="A208" s="34" t="s">
        <v>70</v>
      </c>
      <c r="B208" s="34" t="s">
        <v>313</v>
      </c>
      <c r="C208" s="34">
        <v>37.0</v>
      </c>
      <c r="D208" s="34" t="s">
        <v>637</v>
      </c>
      <c r="E208" s="34" t="s">
        <v>652</v>
      </c>
      <c r="F208" s="34" t="s">
        <v>653</v>
      </c>
      <c r="G208" s="34">
        <v>37261.0</v>
      </c>
      <c r="H208" s="34" t="s">
        <v>640</v>
      </c>
      <c r="I208" s="34" t="s">
        <v>18</v>
      </c>
      <c r="J208" s="34" t="s">
        <v>13</v>
      </c>
      <c r="K208" s="9"/>
      <c r="L208" s="45">
        <v>93.8</v>
      </c>
      <c r="M208" s="45">
        <v>93.8</v>
      </c>
    </row>
    <row r="209">
      <c r="A209" s="34" t="s">
        <v>70</v>
      </c>
      <c r="B209" s="34" t="s">
        <v>313</v>
      </c>
      <c r="C209" s="34">
        <v>37.0</v>
      </c>
      <c r="D209" s="34" t="s">
        <v>637</v>
      </c>
      <c r="E209" s="34" t="s">
        <v>654</v>
      </c>
      <c r="F209" s="34" t="s">
        <v>655</v>
      </c>
      <c r="G209" s="34">
        <v>37072.0</v>
      </c>
      <c r="H209" s="34" t="s">
        <v>656</v>
      </c>
      <c r="I209" s="34" t="s">
        <v>18</v>
      </c>
      <c r="J209" s="34" t="s">
        <v>13</v>
      </c>
      <c r="K209" s="9"/>
      <c r="L209" s="45">
        <v>90.1</v>
      </c>
      <c r="M209" s="45">
        <v>90.1</v>
      </c>
    </row>
    <row r="210">
      <c r="A210" s="34" t="s">
        <v>70</v>
      </c>
      <c r="B210" s="34" t="s">
        <v>313</v>
      </c>
      <c r="C210" s="34">
        <v>37.0</v>
      </c>
      <c r="D210" s="34" t="s">
        <v>637</v>
      </c>
      <c r="E210" s="34" t="s">
        <v>657</v>
      </c>
      <c r="F210" s="34" t="s">
        <v>658</v>
      </c>
      <c r="G210" s="34">
        <v>37003.0</v>
      </c>
      <c r="H210" s="34" t="s">
        <v>659</v>
      </c>
      <c r="I210" s="34" t="s">
        <v>18</v>
      </c>
      <c r="J210" s="34" t="s">
        <v>13</v>
      </c>
      <c r="K210" s="9"/>
      <c r="L210" s="45">
        <v>88.9</v>
      </c>
      <c r="M210" s="45">
        <v>88.9</v>
      </c>
    </row>
    <row r="211">
      <c r="A211" s="34" t="s">
        <v>70</v>
      </c>
      <c r="B211" s="34" t="s">
        <v>313</v>
      </c>
      <c r="C211" s="34">
        <v>37.0</v>
      </c>
      <c r="D211" s="34" t="s">
        <v>637</v>
      </c>
      <c r="E211" s="34" t="s">
        <v>660</v>
      </c>
      <c r="F211" s="34" t="s">
        <v>661</v>
      </c>
      <c r="G211" s="34">
        <v>37063.0</v>
      </c>
      <c r="H211" s="34" t="s">
        <v>662</v>
      </c>
      <c r="I211" s="34" t="s">
        <v>18</v>
      </c>
      <c r="J211" s="34" t="s">
        <v>13</v>
      </c>
      <c r="K211" s="9"/>
      <c r="L211" s="45">
        <v>83.4</v>
      </c>
      <c r="M211" s="45">
        <v>83.4</v>
      </c>
    </row>
    <row r="212">
      <c r="A212" s="34" t="s">
        <v>70</v>
      </c>
      <c r="B212" s="34" t="s">
        <v>161</v>
      </c>
      <c r="C212" s="34">
        <v>38.0</v>
      </c>
      <c r="D212" s="34" t="s">
        <v>663</v>
      </c>
      <c r="E212" s="34" t="s">
        <v>664</v>
      </c>
      <c r="F212" s="34" t="s">
        <v>665</v>
      </c>
      <c r="G212" s="34">
        <v>38130.0</v>
      </c>
      <c r="H212" s="34" t="s">
        <v>666</v>
      </c>
      <c r="I212" s="34" t="s">
        <v>18</v>
      </c>
      <c r="J212" s="34" t="s">
        <v>14</v>
      </c>
      <c r="K212" s="45">
        <v>107.6</v>
      </c>
      <c r="L212" s="45">
        <v>87.3</v>
      </c>
      <c r="M212" s="45">
        <v>102.0</v>
      </c>
    </row>
    <row r="213">
      <c r="A213" s="34" t="s">
        <v>70</v>
      </c>
      <c r="B213" s="34" t="s">
        <v>161</v>
      </c>
      <c r="C213" s="34">
        <v>38.0</v>
      </c>
      <c r="D213" s="34" t="s">
        <v>663</v>
      </c>
      <c r="E213" s="34" t="s">
        <v>667</v>
      </c>
      <c r="F213" s="34" t="s">
        <v>668</v>
      </c>
      <c r="G213" s="34">
        <v>38185.0</v>
      </c>
      <c r="H213" s="34" t="s">
        <v>161</v>
      </c>
      <c r="I213" s="34" t="s">
        <v>18</v>
      </c>
      <c r="J213" s="34" t="s">
        <v>14</v>
      </c>
      <c r="K213" s="45">
        <v>92.6</v>
      </c>
      <c r="L213" s="45">
        <v>80.9</v>
      </c>
      <c r="M213" s="45">
        <v>87.6</v>
      </c>
    </row>
    <row r="214">
      <c r="A214" s="34" t="s">
        <v>70</v>
      </c>
      <c r="B214" s="34" t="s">
        <v>161</v>
      </c>
      <c r="C214" s="34">
        <v>38.0</v>
      </c>
      <c r="D214" s="34" t="s">
        <v>663</v>
      </c>
      <c r="E214" s="34" t="s">
        <v>669</v>
      </c>
      <c r="F214" s="34" t="s">
        <v>670</v>
      </c>
      <c r="G214" s="34">
        <v>38416.0</v>
      </c>
      <c r="H214" s="34" t="s">
        <v>671</v>
      </c>
      <c r="I214" s="34" t="s">
        <v>18</v>
      </c>
      <c r="J214" s="34" t="s">
        <v>14</v>
      </c>
      <c r="K214" s="45">
        <v>116.4</v>
      </c>
      <c r="L214" s="45">
        <v>87.2</v>
      </c>
      <c r="M214" s="45">
        <v>109.4</v>
      </c>
    </row>
    <row r="215">
      <c r="A215" s="34" t="s">
        <v>70</v>
      </c>
      <c r="B215" s="34" t="s">
        <v>161</v>
      </c>
      <c r="C215" s="34">
        <v>38.0</v>
      </c>
      <c r="D215" s="34" t="s">
        <v>663</v>
      </c>
      <c r="E215" s="34" t="s">
        <v>672</v>
      </c>
      <c r="F215" s="34" t="s">
        <v>673</v>
      </c>
      <c r="G215" s="34">
        <v>38562.0</v>
      </c>
      <c r="H215" s="34" t="s">
        <v>674</v>
      </c>
      <c r="I215" s="34" t="s">
        <v>18</v>
      </c>
      <c r="J215" s="34" t="s">
        <v>14</v>
      </c>
      <c r="K215" s="45">
        <v>124.3</v>
      </c>
      <c r="L215" s="45">
        <v>98.1</v>
      </c>
      <c r="M215" s="45">
        <v>117.0</v>
      </c>
    </row>
    <row r="216">
      <c r="A216" s="34" t="s">
        <v>70</v>
      </c>
      <c r="B216" s="34" t="s">
        <v>161</v>
      </c>
      <c r="C216" s="34">
        <v>38.0</v>
      </c>
      <c r="D216" s="34" t="s">
        <v>663</v>
      </c>
      <c r="E216" s="34" t="s">
        <v>675</v>
      </c>
      <c r="F216" s="34" t="s">
        <v>676</v>
      </c>
      <c r="G216" s="34">
        <v>38548.0</v>
      </c>
      <c r="H216" s="34" t="s">
        <v>677</v>
      </c>
      <c r="I216" s="34" t="s">
        <v>18</v>
      </c>
      <c r="J216" s="34" t="s">
        <v>15</v>
      </c>
      <c r="K216" s="45">
        <v>135.7</v>
      </c>
      <c r="L216" s="9"/>
      <c r="M216" s="45">
        <v>135.7</v>
      </c>
    </row>
    <row r="217">
      <c r="A217" s="34" t="s">
        <v>70</v>
      </c>
      <c r="B217" s="34" t="s">
        <v>161</v>
      </c>
      <c r="C217" s="34">
        <v>38.0</v>
      </c>
      <c r="D217" s="34" t="s">
        <v>663</v>
      </c>
      <c r="E217" s="34" t="s">
        <v>678</v>
      </c>
      <c r="F217" s="34" t="s">
        <v>679</v>
      </c>
      <c r="G217" s="34">
        <v>38316.0</v>
      </c>
      <c r="H217" s="34" t="s">
        <v>680</v>
      </c>
      <c r="I217" s="34" t="s">
        <v>18</v>
      </c>
      <c r="J217" s="34" t="s">
        <v>13</v>
      </c>
      <c r="K217" s="9"/>
      <c r="L217" s="45">
        <v>83.8</v>
      </c>
      <c r="M217" s="45">
        <v>83.8</v>
      </c>
    </row>
    <row r="218">
      <c r="A218" s="34" t="s">
        <v>70</v>
      </c>
      <c r="B218" s="34" t="s">
        <v>161</v>
      </c>
      <c r="C218" s="34">
        <v>38.0</v>
      </c>
      <c r="D218" s="34" t="s">
        <v>663</v>
      </c>
      <c r="E218" s="34" t="s">
        <v>681</v>
      </c>
      <c r="F218" s="34" t="s">
        <v>682</v>
      </c>
      <c r="G218" s="34">
        <v>38130.0</v>
      </c>
      <c r="H218" s="34" t="s">
        <v>666</v>
      </c>
      <c r="I218" s="34" t="s">
        <v>17</v>
      </c>
      <c r="J218" s="34" t="s">
        <v>15</v>
      </c>
      <c r="K218" s="45">
        <v>117.8</v>
      </c>
      <c r="L218" s="9"/>
      <c r="M218" s="45">
        <v>117.8</v>
      </c>
    </row>
    <row r="219">
      <c r="A219" s="34" t="s">
        <v>70</v>
      </c>
      <c r="B219" s="34" t="s">
        <v>161</v>
      </c>
      <c r="C219" s="34">
        <v>38.0</v>
      </c>
      <c r="D219" s="34" t="s">
        <v>663</v>
      </c>
      <c r="E219" s="34" t="s">
        <v>683</v>
      </c>
      <c r="F219" s="34" t="s">
        <v>684</v>
      </c>
      <c r="G219" s="34">
        <v>38185.0</v>
      </c>
      <c r="H219" s="34" t="s">
        <v>161</v>
      </c>
      <c r="I219" s="34" t="s">
        <v>17</v>
      </c>
      <c r="J219" s="34" t="s">
        <v>15</v>
      </c>
      <c r="K219" s="45">
        <v>128.6</v>
      </c>
      <c r="L219" s="9"/>
      <c r="M219" s="45">
        <v>128.6</v>
      </c>
    </row>
    <row r="220">
      <c r="A220" s="34" t="s">
        <v>70</v>
      </c>
      <c r="B220" s="34" t="s">
        <v>161</v>
      </c>
      <c r="C220" s="34">
        <v>38.0</v>
      </c>
      <c r="D220" s="34" t="s">
        <v>663</v>
      </c>
      <c r="E220" s="34" t="s">
        <v>685</v>
      </c>
      <c r="F220" s="34" t="s">
        <v>686</v>
      </c>
      <c r="G220" s="34">
        <v>38421.0</v>
      </c>
      <c r="H220" s="34" t="s">
        <v>687</v>
      </c>
      <c r="I220" s="34" t="s">
        <v>17</v>
      </c>
      <c r="J220" s="34" t="s">
        <v>14</v>
      </c>
      <c r="K220" s="45">
        <v>112.7</v>
      </c>
      <c r="L220" s="45">
        <v>69.8</v>
      </c>
      <c r="M220" s="45">
        <v>97.6</v>
      </c>
    </row>
    <row r="221">
      <c r="A221" s="34" t="s">
        <v>70</v>
      </c>
      <c r="B221" s="34" t="s">
        <v>161</v>
      </c>
      <c r="C221" s="34">
        <v>38.0</v>
      </c>
      <c r="D221" s="34" t="s">
        <v>663</v>
      </c>
      <c r="E221" s="34" t="s">
        <v>688</v>
      </c>
      <c r="F221" s="34" t="s">
        <v>689</v>
      </c>
      <c r="G221" s="34">
        <v>38421.0</v>
      </c>
      <c r="H221" s="34" t="s">
        <v>687</v>
      </c>
      <c r="I221" s="34" t="s">
        <v>18</v>
      </c>
      <c r="J221" s="34" t="s">
        <v>14</v>
      </c>
      <c r="K221" s="45">
        <v>125.2</v>
      </c>
      <c r="L221" s="45">
        <v>91.4</v>
      </c>
      <c r="M221" s="45">
        <v>119.1</v>
      </c>
    </row>
    <row r="222">
      <c r="A222" s="34" t="s">
        <v>70</v>
      </c>
      <c r="B222" s="34" t="s">
        <v>161</v>
      </c>
      <c r="C222" s="34">
        <v>38.0</v>
      </c>
      <c r="D222" s="34" t="s">
        <v>663</v>
      </c>
      <c r="E222" s="34" t="s">
        <v>690</v>
      </c>
      <c r="F222" s="34" t="s">
        <v>691</v>
      </c>
      <c r="G222" s="34">
        <v>38485.0</v>
      </c>
      <c r="H222" s="34" t="s">
        <v>692</v>
      </c>
      <c r="I222" s="34" t="s">
        <v>18</v>
      </c>
      <c r="J222" s="34" t="s">
        <v>15</v>
      </c>
      <c r="K222" s="45">
        <v>119.1</v>
      </c>
      <c r="L222" s="9"/>
      <c r="M222" s="45">
        <v>119.1</v>
      </c>
    </row>
    <row r="223">
      <c r="A223" s="34" t="s">
        <v>70</v>
      </c>
      <c r="B223" s="34" t="s">
        <v>161</v>
      </c>
      <c r="C223" s="34">
        <v>38.0</v>
      </c>
      <c r="D223" s="34" t="s">
        <v>663</v>
      </c>
      <c r="E223" s="34" t="s">
        <v>693</v>
      </c>
      <c r="F223" s="34" t="s">
        <v>694</v>
      </c>
      <c r="G223" s="34">
        <v>38544.0</v>
      </c>
      <c r="H223" s="34" t="s">
        <v>695</v>
      </c>
      <c r="I223" s="34" t="s">
        <v>17</v>
      </c>
      <c r="J223" s="34" t="s">
        <v>15</v>
      </c>
      <c r="K223" s="45">
        <v>125.2</v>
      </c>
      <c r="L223" s="9"/>
      <c r="M223" s="45">
        <v>125.2</v>
      </c>
    </row>
    <row r="224">
      <c r="A224" s="34" t="s">
        <v>70</v>
      </c>
      <c r="B224" s="34" t="s">
        <v>161</v>
      </c>
      <c r="C224" s="34">
        <v>38.0</v>
      </c>
      <c r="D224" s="34" t="s">
        <v>663</v>
      </c>
      <c r="E224" s="34" t="s">
        <v>696</v>
      </c>
      <c r="F224" s="34" t="s">
        <v>697</v>
      </c>
      <c r="G224" s="34">
        <v>38193.0</v>
      </c>
      <c r="H224" s="34" t="s">
        <v>698</v>
      </c>
      <c r="I224" s="34" t="s">
        <v>18</v>
      </c>
      <c r="J224" s="34" t="s">
        <v>14</v>
      </c>
      <c r="K224" s="45">
        <v>107.7</v>
      </c>
      <c r="L224" s="45">
        <v>81.4</v>
      </c>
      <c r="M224" s="45">
        <v>104.7</v>
      </c>
    </row>
    <row r="225">
      <c r="A225" s="34" t="s">
        <v>70</v>
      </c>
      <c r="B225" s="34" t="s">
        <v>161</v>
      </c>
      <c r="C225" s="34">
        <v>38.0</v>
      </c>
      <c r="D225" s="34" t="s">
        <v>663</v>
      </c>
      <c r="E225" s="34" t="s">
        <v>699</v>
      </c>
      <c r="F225" s="34" t="s">
        <v>700</v>
      </c>
      <c r="G225" s="34">
        <v>38261.0</v>
      </c>
      <c r="H225" s="34" t="s">
        <v>701</v>
      </c>
      <c r="I225" s="34" t="s">
        <v>18</v>
      </c>
      <c r="J225" s="34" t="s">
        <v>15</v>
      </c>
      <c r="K225" s="45">
        <v>114.5</v>
      </c>
      <c r="L225" s="9"/>
      <c r="M225" s="45">
        <v>114.5</v>
      </c>
    </row>
    <row r="226">
      <c r="A226" s="34" t="s">
        <v>70</v>
      </c>
      <c r="B226" s="34" t="s">
        <v>161</v>
      </c>
      <c r="C226" s="34">
        <v>38.0</v>
      </c>
      <c r="D226" s="34" t="s">
        <v>663</v>
      </c>
      <c r="E226" s="34" t="s">
        <v>702</v>
      </c>
      <c r="F226" s="34" t="s">
        <v>703</v>
      </c>
      <c r="G226" s="34">
        <v>38516.0</v>
      </c>
      <c r="H226" s="34" t="s">
        <v>704</v>
      </c>
      <c r="I226" s="34" t="s">
        <v>17</v>
      </c>
      <c r="J226" s="34" t="s">
        <v>14</v>
      </c>
      <c r="K226" s="45">
        <v>138.7</v>
      </c>
      <c r="L226" s="45">
        <v>102.3</v>
      </c>
      <c r="M226" s="45">
        <v>131.4</v>
      </c>
    </row>
    <row r="227">
      <c r="A227" s="34" t="s">
        <v>70</v>
      </c>
      <c r="B227" s="34" t="s">
        <v>161</v>
      </c>
      <c r="C227" s="34">
        <v>38.0</v>
      </c>
      <c r="D227" s="34" t="s">
        <v>663</v>
      </c>
      <c r="E227" s="34" t="s">
        <v>705</v>
      </c>
      <c r="F227" s="34" t="s">
        <v>706</v>
      </c>
      <c r="G227" s="34">
        <v>38547.0</v>
      </c>
      <c r="H227" s="34" t="s">
        <v>707</v>
      </c>
      <c r="I227" s="34" t="s">
        <v>18</v>
      </c>
      <c r="J227" s="34" t="s">
        <v>15</v>
      </c>
      <c r="K227" s="45">
        <v>136.3</v>
      </c>
      <c r="L227" s="9"/>
      <c r="M227" s="45">
        <v>136.3</v>
      </c>
    </row>
    <row r="228">
      <c r="A228" s="34" t="s">
        <v>70</v>
      </c>
      <c r="B228" s="34" t="s">
        <v>393</v>
      </c>
      <c r="C228" s="34">
        <v>39.0</v>
      </c>
      <c r="D228" s="34" t="s">
        <v>708</v>
      </c>
      <c r="E228" s="34" t="s">
        <v>709</v>
      </c>
      <c r="F228" s="34" t="s">
        <v>210</v>
      </c>
      <c r="G228" s="34">
        <v>39097.0</v>
      </c>
      <c r="H228" s="34" t="s">
        <v>710</v>
      </c>
      <c r="I228" s="34" t="s">
        <v>17</v>
      </c>
      <c r="J228" s="34" t="s">
        <v>15</v>
      </c>
      <c r="K228" s="45">
        <v>97.7</v>
      </c>
      <c r="L228" s="9"/>
      <c r="M228" s="45">
        <v>97.7</v>
      </c>
    </row>
    <row r="229">
      <c r="A229" s="34" t="s">
        <v>70</v>
      </c>
      <c r="B229" s="34" t="s">
        <v>393</v>
      </c>
      <c r="C229" s="34">
        <v>39.0</v>
      </c>
      <c r="D229" s="34" t="s">
        <v>708</v>
      </c>
      <c r="E229" s="34" t="s">
        <v>711</v>
      </c>
      <c r="F229" s="34" t="s">
        <v>712</v>
      </c>
      <c r="G229" s="34">
        <v>39475.0</v>
      </c>
      <c r="H229" s="34" t="s">
        <v>713</v>
      </c>
      <c r="I229" s="34" t="s">
        <v>18</v>
      </c>
      <c r="J229" s="34" t="s">
        <v>13</v>
      </c>
      <c r="K229" s="9"/>
      <c r="L229" s="45">
        <v>90.0</v>
      </c>
      <c r="M229" s="45">
        <v>90.0</v>
      </c>
    </row>
    <row r="230">
      <c r="A230" s="34" t="s">
        <v>70</v>
      </c>
      <c r="B230" s="34" t="s">
        <v>393</v>
      </c>
      <c r="C230" s="34">
        <v>39.0</v>
      </c>
      <c r="D230" s="34" t="s">
        <v>708</v>
      </c>
      <c r="E230" s="34" t="s">
        <v>714</v>
      </c>
      <c r="F230" s="34" t="s">
        <v>715</v>
      </c>
      <c r="G230" s="34">
        <v>39370.0</v>
      </c>
      <c r="H230" s="34" t="s">
        <v>716</v>
      </c>
      <c r="I230" s="34" t="s">
        <v>17</v>
      </c>
      <c r="J230" s="34" t="s">
        <v>13</v>
      </c>
      <c r="K230" s="9"/>
      <c r="L230" s="45">
        <v>121.9</v>
      </c>
      <c r="M230" s="45">
        <v>121.9</v>
      </c>
    </row>
    <row r="231">
      <c r="A231" s="34" t="s">
        <v>70</v>
      </c>
      <c r="B231" s="34" t="s">
        <v>377</v>
      </c>
      <c r="C231" s="34">
        <v>40.0</v>
      </c>
      <c r="D231" s="34" t="s">
        <v>717</v>
      </c>
      <c r="E231" s="34" t="s">
        <v>718</v>
      </c>
      <c r="F231" s="34" t="s">
        <v>719</v>
      </c>
      <c r="G231" s="34">
        <v>40088.0</v>
      </c>
      <c r="H231" s="34" t="s">
        <v>720</v>
      </c>
      <c r="I231" s="34" t="s">
        <v>18</v>
      </c>
      <c r="J231" s="34" t="s">
        <v>14</v>
      </c>
      <c r="K231" s="45">
        <v>115.9</v>
      </c>
      <c r="L231" s="45">
        <v>93.6</v>
      </c>
      <c r="M231" s="45">
        <v>112.7</v>
      </c>
    </row>
    <row r="232">
      <c r="A232" s="34" t="s">
        <v>70</v>
      </c>
      <c r="B232" s="34" t="s">
        <v>377</v>
      </c>
      <c r="C232" s="34">
        <v>40.0</v>
      </c>
      <c r="D232" s="34" t="s">
        <v>717</v>
      </c>
      <c r="E232" s="34" t="s">
        <v>721</v>
      </c>
      <c r="F232" s="34" t="s">
        <v>722</v>
      </c>
      <c r="G232" s="34">
        <v>40217.0</v>
      </c>
      <c r="H232" s="34" t="s">
        <v>723</v>
      </c>
      <c r="I232" s="34" t="s">
        <v>18</v>
      </c>
      <c r="J232" s="34" t="s">
        <v>15</v>
      </c>
      <c r="K232" s="45">
        <v>109.5</v>
      </c>
      <c r="L232" s="9"/>
      <c r="M232" s="45">
        <v>109.5</v>
      </c>
    </row>
    <row r="233">
      <c r="A233" s="34" t="s">
        <v>70</v>
      </c>
      <c r="B233" s="34" t="s">
        <v>377</v>
      </c>
      <c r="C233" s="34">
        <v>40.0</v>
      </c>
      <c r="D233" s="34" t="s">
        <v>717</v>
      </c>
      <c r="E233" s="34" t="s">
        <v>724</v>
      </c>
      <c r="F233" s="34" t="s">
        <v>725</v>
      </c>
      <c r="G233" s="34">
        <v>40281.0</v>
      </c>
      <c r="H233" s="34" t="s">
        <v>726</v>
      </c>
      <c r="I233" s="34" t="s">
        <v>17</v>
      </c>
      <c r="J233" s="34" t="s">
        <v>15</v>
      </c>
      <c r="K233" s="45">
        <v>109.6</v>
      </c>
      <c r="L233" s="9"/>
      <c r="M233" s="45">
        <v>109.6</v>
      </c>
    </row>
    <row r="234">
      <c r="A234" s="34" t="s">
        <v>70</v>
      </c>
      <c r="B234" s="34" t="s">
        <v>377</v>
      </c>
      <c r="C234" s="34">
        <v>40.0</v>
      </c>
      <c r="D234" s="34" t="s">
        <v>717</v>
      </c>
      <c r="E234" s="34" t="s">
        <v>727</v>
      </c>
      <c r="F234" s="34" t="s">
        <v>218</v>
      </c>
      <c r="G234" s="34">
        <v>40102.0</v>
      </c>
      <c r="H234" s="34" t="s">
        <v>728</v>
      </c>
      <c r="I234" s="34" t="s">
        <v>17</v>
      </c>
      <c r="J234" s="34" t="s">
        <v>13</v>
      </c>
      <c r="K234" s="9"/>
      <c r="L234" s="45">
        <v>96.8</v>
      </c>
      <c r="M234" s="45">
        <v>96.8</v>
      </c>
    </row>
    <row r="235">
      <c r="A235" s="34" t="s">
        <v>70</v>
      </c>
      <c r="B235" s="34" t="s">
        <v>377</v>
      </c>
      <c r="C235" s="34">
        <v>40.0</v>
      </c>
      <c r="D235" s="34" t="s">
        <v>717</v>
      </c>
      <c r="E235" s="34" t="s">
        <v>729</v>
      </c>
      <c r="F235" s="34" t="s">
        <v>730</v>
      </c>
      <c r="G235" s="34">
        <v>40279.0</v>
      </c>
      <c r="H235" s="34" t="s">
        <v>731</v>
      </c>
      <c r="I235" s="34" t="s">
        <v>18</v>
      </c>
      <c r="J235" s="34" t="s">
        <v>14</v>
      </c>
      <c r="K235" s="45">
        <v>112.8</v>
      </c>
      <c r="L235" s="45">
        <v>96.1</v>
      </c>
      <c r="M235" s="45">
        <v>107.1</v>
      </c>
    </row>
    <row r="236">
      <c r="A236" s="34" t="s">
        <v>70</v>
      </c>
      <c r="B236" s="34" t="s">
        <v>313</v>
      </c>
      <c r="C236" s="34">
        <v>41.0</v>
      </c>
      <c r="D236" s="34" t="s">
        <v>732</v>
      </c>
      <c r="E236" s="34" t="s">
        <v>733</v>
      </c>
      <c r="F236" s="34" t="s">
        <v>734</v>
      </c>
      <c r="G236" s="34">
        <v>41194.0</v>
      </c>
      <c r="H236" s="34" t="s">
        <v>735</v>
      </c>
      <c r="I236" s="34" t="s">
        <v>18</v>
      </c>
      <c r="J236" s="34" t="s">
        <v>15</v>
      </c>
      <c r="K236" s="45">
        <v>106.2</v>
      </c>
      <c r="L236" s="9"/>
      <c r="M236" s="45">
        <v>106.2</v>
      </c>
    </row>
    <row r="237">
      <c r="A237" s="34" t="s">
        <v>70</v>
      </c>
      <c r="B237" s="34" t="s">
        <v>313</v>
      </c>
      <c r="C237" s="34">
        <v>41.0</v>
      </c>
      <c r="D237" s="34" t="s">
        <v>732</v>
      </c>
      <c r="E237" s="34" t="s">
        <v>736</v>
      </c>
      <c r="F237" s="34" t="s">
        <v>737</v>
      </c>
      <c r="G237" s="34">
        <v>41269.0</v>
      </c>
      <c r="H237" s="34" t="s">
        <v>738</v>
      </c>
      <c r="I237" s="34" t="s">
        <v>18</v>
      </c>
      <c r="J237" s="34" t="s">
        <v>13</v>
      </c>
      <c r="K237" s="9"/>
      <c r="L237" s="45">
        <v>91.1</v>
      </c>
      <c r="M237" s="45">
        <v>91.1</v>
      </c>
    </row>
    <row r="238">
      <c r="A238" s="34" t="s">
        <v>70</v>
      </c>
      <c r="B238" s="34" t="s">
        <v>313</v>
      </c>
      <c r="C238" s="34">
        <v>41.0</v>
      </c>
      <c r="D238" s="34" t="s">
        <v>732</v>
      </c>
      <c r="E238" s="34" t="s">
        <v>739</v>
      </c>
      <c r="F238" s="34" t="s">
        <v>740</v>
      </c>
      <c r="G238" s="34">
        <v>41018.0</v>
      </c>
      <c r="H238" s="34" t="s">
        <v>741</v>
      </c>
      <c r="I238" s="34" t="s">
        <v>17</v>
      </c>
      <c r="J238" s="34" t="s">
        <v>15</v>
      </c>
      <c r="K238" s="45">
        <v>124.3</v>
      </c>
      <c r="L238" s="9"/>
      <c r="M238" s="45">
        <v>124.3</v>
      </c>
    </row>
    <row r="239">
      <c r="A239" s="34" t="s">
        <v>70</v>
      </c>
      <c r="B239" s="34" t="s">
        <v>71</v>
      </c>
      <c r="C239" s="34">
        <v>42.0</v>
      </c>
      <c r="D239" s="34" t="s">
        <v>742</v>
      </c>
      <c r="E239" s="34" t="s">
        <v>743</v>
      </c>
      <c r="F239" s="34" t="s">
        <v>744</v>
      </c>
      <c r="G239" s="34">
        <v>42187.0</v>
      </c>
      <c r="H239" s="34" t="s">
        <v>745</v>
      </c>
      <c r="I239" s="34" t="s">
        <v>18</v>
      </c>
      <c r="J239" s="34" t="s">
        <v>15</v>
      </c>
      <c r="K239" s="45">
        <v>112.1</v>
      </c>
      <c r="L239" s="9"/>
      <c r="M239" s="45">
        <v>112.1</v>
      </c>
    </row>
    <row r="240">
      <c r="A240" s="34" t="s">
        <v>70</v>
      </c>
      <c r="B240" s="34" t="s">
        <v>71</v>
      </c>
      <c r="C240" s="34">
        <v>42.0</v>
      </c>
      <c r="D240" s="34" t="s">
        <v>742</v>
      </c>
      <c r="E240" s="34" t="s">
        <v>746</v>
      </c>
      <c r="F240" s="34" t="s">
        <v>747</v>
      </c>
      <c r="G240" s="34">
        <v>42218.0</v>
      </c>
      <c r="H240" s="34" t="s">
        <v>748</v>
      </c>
      <c r="I240" s="34" t="s">
        <v>18</v>
      </c>
      <c r="J240" s="34" t="s">
        <v>15</v>
      </c>
      <c r="K240" s="45">
        <v>111.8</v>
      </c>
      <c r="L240" s="9"/>
      <c r="M240" s="45">
        <v>111.8</v>
      </c>
    </row>
    <row r="241">
      <c r="A241" s="34" t="s">
        <v>70</v>
      </c>
      <c r="B241" s="34" t="s">
        <v>71</v>
      </c>
      <c r="C241" s="34">
        <v>42.0</v>
      </c>
      <c r="D241" s="34" t="s">
        <v>742</v>
      </c>
      <c r="E241" s="34" t="s">
        <v>749</v>
      </c>
      <c r="F241" s="34" t="s">
        <v>750</v>
      </c>
      <c r="G241" s="34">
        <v>42218.0</v>
      </c>
      <c r="H241" s="34" t="s">
        <v>748</v>
      </c>
      <c r="I241" s="34" t="s">
        <v>18</v>
      </c>
      <c r="J241" s="34" t="s">
        <v>15</v>
      </c>
      <c r="K241" s="45">
        <v>105.8</v>
      </c>
      <c r="L241" s="9"/>
      <c r="M241" s="45">
        <v>105.8</v>
      </c>
    </row>
    <row r="242">
      <c r="A242" s="34" t="s">
        <v>70</v>
      </c>
      <c r="B242" s="34" t="s">
        <v>71</v>
      </c>
      <c r="C242" s="34">
        <v>42.0</v>
      </c>
      <c r="D242" s="34" t="s">
        <v>742</v>
      </c>
      <c r="E242" s="34" t="s">
        <v>751</v>
      </c>
      <c r="F242" s="34" t="s">
        <v>752</v>
      </c>
      <c r="G242" s="34">
        <v>42218.0</v>
      </c>
      <c r="H242" s="34" t="s">
        <v>748</v>
      </c>
      <c r="I242" s="34" t="s">
        <v>17</v>
      </c>
      <c r="J242" s="34" t="s">
        <v>15</v>
      </c>
      <c r="K242" s="45">
        <v>104.8</v>
      </c>
      <c r="L242" s="9"/>
      <c r="M242" s="45">
        <v>104.8</v>
      </c>
    </row>
    <row r="243">
      <c r="A243" s="34" t="s">
        <v>70</v>
      </c>
      <c r="B243" s="34" t="s">
        <v>71</v>
      </c>
      <c r="C243" s="34">
        <v>42.0</v>
      </c>
      <c r="D243" s="34" t="s">
        <v>742</v>
      </c>
      <c r="E243" s="34" t="s">
        <v>753</v>
      </c>
      <c r="F243" s="34" t="s">
        <v>754</v>
      </c>
      <c r="G243" s="34">
        <v>42187.0</v>
      </c>
      <c r="H243" s="34" t="s">
        <v>745</v>
      </c>
      <c r="I243" s="34" t="s">
        <v>17</v>
      </c>
      <c r="J243" s="34" t="s">
        <v>13</v>
      </c>
      <c r="K243" s="9"/>
      <c r="L243" s="45">
        <v>95.4</v>
      </c>
      <c r="M243" s="45">
        <v>95.4</v>
      </c>
    </row>
    <row r="244">
      <c r="A244" s="34" t="s">
        <v>70</v>
      </c>
      <c r="B244" s="34" t="s">
        <v>71</v>
      </c>
      <c r="C244" s="34">
        <v>42.0</v>
      </c>
      <c r="D244" s="34" t="s">
        <v>742</v>
      </c>
      <c r="E244" s="34" t="s">
        <v>755</v>
      </c>
      <c r="F244" s="34" t="s">
        <v>756</v>
      </c>
      <c r="G244" s="34">
        <v>42187.0</v>
      </c>
      <c r="H244" s="34" t="s">
        <v>745</v>
      </c>
      <c r="I244" s="34" t="s">
        <v>17</v>
      </c>
      <c r="J244" s="34" t="s">
        <v>15</v>
      </c>
      <c r="K244" s="45">
        <v>124.8</v>
      </c>
      <c r="L244" s="9"/>
      <c r="M244" s="45">
        <v>124.8</v>
      </c>
    </row>
    <row r="245">
      <c r="A245" s="34" t="s">
        <v>70</v>
      </c>
      <c r="B245" s="34" t="s">
        <v>71</v>
      </c>
      <c r="C245" s="34">
        <v>42.0</v>
      </c>
      <c r="D245" s="34" t="s">
        <v>742</v>
      </c>
      <c r="E245" s="34" t="s">
        <v>757</v>
      </c>
      <c r="F245" s="34" t="s">
        <v>758</v>
      </c>
      <c r="G245" s="34">
        <v>42071.0</v>
      </c>
      <c r="H245" s="34" t="s">
        <v>759</v>
      </c>
      <c r="I245" s="34" t="s">
        <v>18</v>
      </c>
      <c r="J245" s="34" t="s">
        <v>13</v>
      </c>
      <c r="K245" s="9"/>
      <c r="L245" s="45">
        <v>80.9</v>
      </c>
      <c r="M245" s="45">
        <v>80.9</v>
      </c>
    </row>
    <row r="246">
      <c r="A246" s="34" t="s">
        <v>70</v>
      </c>
      <c r="B246" s="34" t="s">
        <v>71</v>
      </c>
      <c r="C246" s="34">
        <v>42.0</v>
      </c>
      <c r="D246" s="34" t="s">
        <v>742</v>
      </c>
      <c r="E246" s="34" t="s">
        <v>760</v>
      </c>
      <c r="F246" s="34" t="s">
        <v>761</v>
      </c>
      <c r="G246" s="34">
        <v>42218.0</v>
      </c>
      <c r="H246" s="34" t="s">
        <v>748</v>
      </c>
      <c r="I246" s="34" t="s">
        <v>17</v>
      </c>
      <c r="J246" s="34" t="s">
        <v>13</v>
      </c>
      <c r="K246" s="9"/>
      <c r="L246" s="45">
        <v>87.8</v>
      </c>
      <c r="M246" s="45">
        <v>87.8</v>
      </c>
    </row>
    <row r="247">
      <c r="A247" s="34" t="s">
        <v>70</v>
      </c>
      <c r="B247" s="34" t="s">
        <v>71</v>
      </c>
      <c r="C247" s="34">
        <v>42.0</v>
      </c>
      <c r="D247" s="34" t="s">
        <v>742</v>
      </c>
      <c r="E247" s="34" t="s">
        <v>762</v>
      </c>
      <c r="F247" s="34" t="s">
        <v>763</v>
      </c>
      <c r="G247" s="34">
        <v>42218.0</v>
      </c>
      <c r="H247" s="34" t="s">
        <v>748</v>
      </c>
      <c r="I247" s="34" t="s">
        <v>17</v>
      </c>
      <c r="J247" s="34" t="s">
        <v>14</v>
      </c>
      <c r="K247" s="45">
        <v>105.5</v>
      </c>
      <c r="L247" s="45">
        <v>85.3</v>
      </c>
      <c r="M247" s="45">
        <v>92.8</v>
      </c>
    </row>
    <row r="248">
      <c r="A248" s="34" t="s">
        <v>70</v>
      </c>
      <c r="B248" s="34" t="s">
        <v>116</v>
      </c>
      <c r="C248" s="34">
        <v>43.0</v>
      </c>
      <c r="D248" s="34" t="s">
        <v>764</v>
      </c>
      <c r="E248" s="34" t="s">
        <v>765</v>
      </c>
      <c r="F248" s="34" t="s">
        <v>766</v>
      </c>
      <c r="G248" s="34">
        <v>43157.0</v>
      </c>
      <c r="H248" s="34" t="s">
        <v>767</v>
      </c>
      <c r="I248" s="34" t="s">
        <v>18</v>
      </c>
      <c r="J248" s="34" t="s">
        <v>15</v>
      </c>
      <c r="K248" s="45">
        <v>115.7</v>
      </c>
      <c r="L248" s="9"/>
      <c r="M248" s="45">
        <v>115.7</v>
      </c>
    </row>
    <row r="249">
      <c r="A249" s="34" t="s">
        <v>70</v>
      </c>
      <c r="B249" s="34" t="s">
        <v>116</v>
      </c>
      <c r="C249" s="34">
        <v>43.0</v>
      </c>
      <c r="D249" s="34" t="s">
        <v>764</v>
      </c>
      <c r="E249" s="34" t="s">
        <v>768</v>
      </c>
      <c r="F249" s="34" t="s">
        <v>769</v>
      </c>
      <c r="G249" s="34">
        <v>43040.0</v>
      </c>
      <c r="H249" s="34" t="s">
        <v>770</v>
      </c>
      <c r="I249" s="34" t="s">
        <v>17</v>
      </c>
      <c r="J249" s="34" t="s">
        <v>14</v>
      </c>
      <c r="K249" s="45">
        <v>105.4</v>
      </c>
      <c r="L249" s="45">
        <v>98.2</v>
      </c>
      <c r="M249" s="45">
        <v>104.2</v>
      </c>
    </row>
    <row r="250">
      <c r="A250" s="34" t="s">
        <v>70</v>
      </c>
      <c r="B250" s="34" t="s">
        <v>116</v>
      </c>
      <c r="C250" s="34">
        <v>43.0</v>
      </c>
      <c r="D250" s="34" t="s">
        <v>764</v>
      </c>
      <c r="E250" s="34" t="s">
        <v>771</v>
      </c>
      <c r="F250" s="34" t="s">
        <v>772</v>
      </c>
      <c r="G250" s="34">
        <v>43041.0</v>
      </c>
      <c r="H250" s="34" t="s">
        <v>773</v>
      </c>
      <c r="I250" s="34" t="s">
        <v>17</v>
      </c>
      <c r="J250" s="34" t="s">
        <v>15</v>
      </c>
      <c r="K250" s="45">
        <v>117.9</v>
      </c>
      <c r="L250" s="9"/>
      <c r="M250" s="45">
        <v>117.9</v>
      </c>
    </row>
    <row r="251">
      <c r="A251" s="34" t="s">
        <v>70</v>
      </c>
      <c r="B251" s="34" t="s">
        <v>116</v>
      </c>
      <c r="C251" s="34">
        <v>43.0</v>
      </c>
      <c r="D251" s="34" t="s">
        <v>764</v>
      </c>
      <c r="E251" s="34" t="s">
        <v>774</v>
      </c>
      <c r="F251" s="34" t="s">
        <v>775</v>
      </c>
      <c r="G251" s="34">
        <v>43137.0</v>
      </c>
      <c r="H251" s="34" t="s">
        <v>776</v>
      </c>
      <c r="I251" s="34" t="s">
        <v>17</v>
      </c>
      <c r="J251" s="34" t="s">
        <v>13</v>
      </c>
      <c r="K251" s="9"/>
      <c r="L251" s="45">
        <v>92.5</v>
      </c>
      <c r="M251" s="45">
        <v>92.5</v>
      </c>
    </row>
    <row r="252">
      <c r="A252" s="34" t="s">
        <v>70</v>
      </c>
      <c r="B252" s="34" t="s">
        <v>116</v>
      </c>
      <c r="C252" s="34">
        <v>43.0</v>
      </c>
      <c r="D252" s="34" t="s">
        <v>764</v>
      </c>
      <c r="E252" s="34" t="s">
        <v>777</v>
      </c>
      <c r="F252" s="34" t="s">
        <v>778</v>
      </c>
      <c r="G252" s="34">
        <v>43157.0</v>
      </c>
      <c r="H252" s="34" t="s">
        <v>767</v>
      </c>
      <c r="I252" s="34" t="s">
        <v>17</v>
      </c>
      <c r="J252" s="34" t="s">
        <v>15</v>
      </c>
      <c r="K252" s="45">
        <v>114.1</v>
      </c>
      <c r="L252" s="9"/>
      <c r="M252" s="45">
        <v>114.1</v>
      </c>
    </row>
    <row r="253">
      <c r="A253" s="34" t="s">
        <v>70</v>
      </c>
      <c r="B253" s="34" t="s">
        <v>779</v>
      </c>
      <c r="C253" s="34">
        <v>44.0</v>
      </c>
      <c r="D253" s="34" t="s">
        <v>780</v>
      </c>
      <c r="E253" s="34" t="s">
        <v>781</v>
      </c>
      <c r="F253" s="34" t="s">
        <v>782</v>
      </c>
      <c r="G253" s="34">
        <v>44109.0</v>
      </c>
      <c r="H253" s="34" t="s">
        <v>779</v>
      </c>
      <c r="I253" s="34" t="s">
        <v>18</v>
      </c>
      <c r="J253" s="34" t="s">
        <v>15</v>
      </c>
      <c r="K253" s="45">
        <v>133.8</v>
      </c>
      <c r="L253" s="9"/>
      <c r="M253" s="45">
        <v>133.8</v>
      </c>
    </row>
    <row r="254">
      <c r="A254" s="34" t="s">
        <v>70</v>
      </c>
      <c r="B254" s="34" t="s">
        <v>779</v>
      </c>
      <c r="C254" s="34">
        <v>44.0</v>
      </c>
      <c r="D254" s="34" t="s">
        <v>780</v>
      </c>
      <c r="E254" s="34" t="s">
        <v>783</v>
      </c>
      <c r="F254" s="34" t="s">
        <v>784</v>
      </c>
      <c r="G254" s="34">
        <v>44116.0</v>
      </c>
      <c r="H254" s="34" t="s">
        <v>785</v>
      </c>
      <c r="I254" s="34" t="s">
        <v>18</v>
      </c>
      <c r="J254" s="34" t="s">
        <v>13</v>
      </c>
      <c r="K254" s="9"/>
      <c r="L254" s="45">
        <v>88.6</v>
      </c>
      <c r="M254" s="45">
        <v>88.6</v>
      </c>
    </row>
    <row r="255">
      <c r="A255" s="34" t="s">
        <v>70</v>
      </c>
      <c r="B255" s="34" t="s">
        <v>779</v>
      </c>
      <c r="C255" s="34">
        <v>44.0</v>
      </c>
      <c r="D255" s="34" t="s">
        <v>780</v>
      </c>
      <c r="E255" s="34" t="s">
        <v>786</v>
      </c>
      <c r="F255" s="34" t="s">
        <v>787</v>
      </c>
      <c r="G255" s="34">
        <v>44109.0</v>
      </c>
      <c r="H255" s="34" t="s">
        <v>779</v>
      </c>
      <c r="I255" s="34" t="s">
        <v>17</v>
      </c>
      <c r="J255" s="34" t="s">
        <v>15</v>
      </c>
      <c r="K255" s="45">
        <v>141.1</v>
      </c>
      <c r="L255" s="9"/>
      <c r="M255" s="45">
        <v>141.1</v>
      </c>
    </row>
    <row r="256">
      <c r="A256" s="34" t="s">
        <v>70</v>
      </c>
      <c r="B256" s="34" t="s">
        <v>779</v>
      </c>
      <c r="C256" s="34">
        <v>44.0</v>
      </c>
      <c r="D256" s="34" t="s">
        <v>780</v>
      </c>
      <c r="E256" s="34" t="s">
        <v>788</v>
      </c>
      <c r="F256" s="34" t="s">
        <v>789</v>
      </c>
      <c r="G256" s="34">
        <v>44162.0</v>
      </c>
      <c r="H256" s="34" t="s">
        <v>790</v>
      </c>
      <c r="I256" s="34" t="s">
        <v>17</v>
      </c>
      <c r="J256" s="34" t="s">
        <v>15</v>
      </c>
      <c r="K256" s="45">
        <v>134.1</v>
      </c>
      <c r="L256" s="9"/>
      <c r="M256" s="45">
        <v>134.1</v>
      </c>
    </row>
    <row r="257">
      <c r="A257" s="34" t="s">
        <v>70</v>
      </c>
      <c r="B257" s="34" t="s">
        <v>779</v>
      </c>
      <c r="C257" s="34">
        <v>44.0</v>
      </c>
      <c r="D257" s="34" t="s">
        <v>780</v>
      </c>
      <c r="E257" s="34" t="s">
        <v>791</v>
      </c>
      <c r="F257" s="34" t="s">
        <v>80</v>
      </c>
      <c r="G257" s="34">
        <v>44087.0</v>
      </c>
      <c r="H257" s="34" t="s">
        <v>792</v>
      </c>
      <c r="I257" s="34" t="s">
        <v>17</v>
      </c>
      <c r="J257" s="34" t="s">
        <v>15</v>
      </c>
      <c r="K257" s="45">
        <v>119.4</v>
      </c>
      <c r="L257" s="9"/>
      <c r="M257" s="45">
        <v>119.4</v>
      </c>
    </row>
    <row r="258">
      <c r="A258" s="34" t="s">
        <v>70</v>
      </c>
      <c r="B258" s="34" t="s">
        <v>779</v>
      </c>
      <c r="C258" s="34">
        <v>44.0</v>
      </c>
      <c r="D258" s="34" t="s">
        <v>780</v>
      </c>
      <c r="E258" s="34" t="s">
        <v>793</v>
      </c>
      <c r="F258" s="34" t="s">
        <v>794</v>
      </c>
      <c r="G258" s="34">
        <v>44036.0</v>
      </c>
      <c r="H258" s="34" t="s">
        <v>795</v>
      </c>
      <c r="I258" s="34" t="s">
        <v>17</v>
      </c>
      <c r="J258" s="34" t="s">
        <v>13</v>
      </c>
      <c r="K258" s="9"/>
      <c r="L258" s="45">
        <v>96.0</v>
      </c>
      <c r="M258" s="45">
        <v>96.0</v>
      </c>
    </row>
    <row r="259">
      <c r="A259" s="34" t="s">
        <v>70</v>
      </c>
      <c r="B259" s="34" t="s">
        <v>779</v>
      </c>
      <c r="C259" s="34">
        <v>44.0</v>
      </c>
      <c r="D259" s="34" t="s">
        <v>780</v>
      </c>
      <c r="E259" s="34" t="s">
        <v>796</v>
      </c>
      <c r="F259" s="34" t="s">
        <v>797</v>
      </c>
      <c r="G259" s="34">
        <v>44190.0</v>
      </c>
      <c r="H259" s="34" t="s">
        <v>798</v>
      </c>
      <c r="I259" s="34" t="s">
        <v>17</v>
      </c>
      <c r="J259" s="34" t="s">
        <v>14</v>
      </c>
      <c r="K259" s="45">
        <v>111.2</v>
      </c>
      <c r="L259" s="45">
        <v>93.9</v>
      </c>
      <c r="M259" s="45">
        <v>103.4</v>
      </c>
    </row>
    <row r="260">
      <c r="A260" s="34" t="s">
        <v>70</v>
      </c>
      <c r="B260" s="34" t="s">
        <v>779</v>
      </c>
      <c r="C260" s="34">
        <v>44.0</v>
      </c>
      <c r="D260" s="34" t="s">
        <v>780</v>
      </c>
      <c r="E260" s="34" t="s">
        <v>799</v>
      </c>
      <c r="F260" s="34" t="s">
        <v>800</v>
      </c>
      <c r="G260" s="34">
        <v>44184.0</v>
      </c>
      <c r="H260" s="34" t="s">
        <v>801</v>
      </c>
      <c r="I260" s="34" t="s">
        <v>17</v>
      </c>
      <c r="J260" s="34" t="s">
        <v>13</v>
      </c>
      <c r="K260" s="9"/>
      <c r="L260" s="45">
        <v>99.3</v>
      </c>
      <c r="M260" s="45">
        <v>99.3</v>
      </c>
    </row>
    <row r="261">
      <c r="A261" s="34" t="s">
        <v>70</v>
      </c>
      <c r="B261" s="34" t="s">
        <v>779</v>
      </c>
      <c r="C261" s="34">
        <v>44.0</v>
      </c>
      <c r="D261" s="34" t="s">
        <v>780</v>
      </c>
      <c r="E261" s="34" t="s">
        <v>802</v>
      </c>
      <c r="F261" s="34" t="s">
        <v>803</v>
      </c>
      <c r="G261" s="34">
        <v>44047.0</v>
      </c>
      <c r="H261" s="34" t="s">
        <v>804</v>
      </c>
      <c r="I261" s="34" t="s">
        <v>18</v>
      </c>
      <c r="J261" s="34" t="s">
        <v>13</v>
      </c>
      <c r="K261" s="9"/>
      <c r="L261" s="45">
        <v>83.2</v>
      </c>
      <c r="M261" s="45">
        <v>83.2</v>
      </c>
    </row>
    <row r="262">
      <c r="A262" s="34" t="s">
        <v>70</v>
      </c>
      <c r="B262" s="34" t="s">
        <v>779</v>
      </c>
      <c r="C262" s="34">
        <v>44.0</v>
      </c>
      <c r="D262" s="34" t="s">
        <v>780</v>
      </c>
      <c r="E262" s="34" t="s">
        <v>805</v>
      </c>
      <c r="F262" s="34" t="s">
        <v>806</v>
      </c>
      <c r="G262" s="34">
        <v>44129.0</v>
      </c>
      <c r="H262" s="34" t="s">
        <v>807</v>
      </c>
      <c r="I262" s="34" t="s">
        <v>18</v>
      </c>
      <c r="J262" s="34" t="s">
        <v>13</v>
      </c>
      <c r="K262" s="9"/>
      <c r="L262" s="45">
        <v>95.2</v>
      </c>
      <c r="M262" s="45">
        <v>95.2</v>
      </c>
    </row>
    <row r="263">
      <c r="A263" s="34" t="s">
        <v>70</v>
      </c>
      <c r="B263" s="34" t="s">
        <v>779</v>
      </c>
      <c r="C263" s="34">
        <v>44.0</v>
      </c>
      <c r="D263" s="34" t="s">
        <v>780</v>
      </c>
      <c r="E263" s="34" t="s">
        <v>808</v>
      </c>
      <c r="F263" s="34" t="s">
        <v>809</v>
      </c>
      <c r="G263" s="34">
        <v>44109.0</v>
      </c>
      <c r="H263" s="34" t="s">
        <v>779</v>
      </c>
      <c r="I263" s="34" t="s">
        <v>18</v>
      </c>
      <c r="J263" s="34" t="s">
        <v>15</v>
      </c>
      <c r="K263" s="45">
        <v>97.1</v>
      </c>
      <c r="L263" s="9"/>
      <c r="M263" s="45">
        <v>97.1</v>
      </c>
    </row>
    <row r="264">
      <c r="A264" s="34" t="s">
        <v>70</v>
      </c>
      <c r="B264" s="34" t="s">
        <v>779</v>
      </c>
      <c r="C264" s="34">
        <v>44.0</v>
      </c>
      <c r="D264" s="34" t="s">
        <v>780</v>
      </c>
      <c r="E264" s="34" t="s">
        <v>810</v>
      </c>
      <c r="F264" s="34" t="s">
        <v>811</v>
      </c>
      <c r="G264" s="34">
        <v>44009.0</v>
      </c>
      <c r="H264" s="34" t="s">
        <v>812</v>
      </c>
      <c r="I264" s="34" t="s">
        <v>18</v>
      </c>
      <c r="J264" s="34" t="s">
        <v>15</v>
      </c>
      <c r="K264" s="45">
        <v>134.6</v>
      </c>
      <c r="L264" s="9"/>
      <c r="M264" s="45">
        <v>134.6</v>
      </c>
    </row>
    <row r="265">
      <c r="A265" s="34" t="s">
        <v>70</v>
      </c>
      <c r="B265" s="34" t="s">
        <v>779</v>
      </c>
      <c r="C265" s="34">
        <v>44.0</v>
      </c>
      <c r="D265" s="34" t="s">
        <v>780</v>
      </c>
      <c r="E265" s="34" t="s">
        <v>813</v>
      </c>
      <c r="F265" s="34" t="s">
        <v>814</v>
      </c>
      <c r="G265" s="34">
        <v>44015.0</v>
      </c>
      <c r="H265" s="34" t="s">
        <v>815</v>
      </c>
      <c r="I265" s="34" t="s">
        <v>18</v>
      </c>
      <c r="J265" s="34" t="s">
        <v>15</v>
      </c>
      <c r="K265" s="45">
        <v>119.6</v>
      </c>
      <c r="L265" s="9"/>
      <c r="M265" s="45">
        <v>119.6</v>
      </c>
    </row>
    <row r="266">
      <c r="A266" s="34" t="s">
        <v>70</v>
      </c>
      <c r="B266" s="34" t="s">
        <v>779</v>
      </c>
      <c r="C266" s="34">
        <v>44.0</v>
      </c>
      <c r="D266" s="34" t="s">
        <v>780</v>
      </c>
      <c r="E266" s="34" t="s">
        <v>816</v>
      </c>
      <c r="F266" s="34" t="s">
        <v>817</v>
      </c>
      <c r="G266" s="34">
        <v>44069.0</v>
      </c>
      <c r="H266" s="34" t="s">
        <v>818</v>
      </c>
      <c r="I266" s="34" t="s">
        <v>17</v>
      </c>
      <c r="J266" s="34" t="s">
        <v>15</v>
      </c>
      <c r="K266" s="45">
        <v>125.0</v>
      </c>
      <c r="L266" s="9"/>
      <c r="M266" s="45">
        <v>125.0</v>
      </c>
    </row>
    <row r="267">
      <c r="A267" s="34" t="s">
        <v>70</v>
      </c>
      <c r="B267" s="34" t="s">
        <v>779</v>
      </c>
      <c r="C267" s="34">
        <v>44.0</v>
      </c>
      <c r="D267" s="34" t="s">
        <v>780</v>
      </c>
      <c r="E267" s="34" t="s">
        <v>819</v>
      </c>
      <c r="F267" s="34" t="s">
        <v>820</v>
      </c>
      <c r="G267" s="34">
        <v>44109.0</v>
      </c>
      <c r="H267" s="34" t="s">
        <v>779</v>
      </c>
      <c r="I267" s="34" t="s">
        <v>17</v>
      </c>
      <c r="J267" s="34" t="s">
        <v>15</v>
      </c>
      <c r="K267" s="45">
        <v>125.5</v>
      </c>
      <c r="L267" s="9"/>
      <c r="M267" s="45">
        <v>125.5</v>
      </c>
    </row>
    <row r="268">
      <c r="A268" s="34" t="s">
        <v>70</v>
      </c>
      <c r="B268" s="34" t="s">
        <v>313</v>
      </c>
      <c r="C268" s="34">
        <v>45.0</v>
      </c>
      <c r="D268" s="34" t="s">
        <v>821</v>
      </c>
      <c r="E268" s="34" t="s">
        <v>822</v>
      </c>
      <c r="F268" s="34" t="s">
        <v>823</v>
      </c>
      <c r="G268" s="34">
        <v>45155.0</v>
      </c>
      <c r="H268" s="34" t="s">
        <v>824</v>
      </c>
      <c r="I268" s="34" t="s">
        <v>18</v>
      </c>
      <c r="J268" s="34" t="s">
        <v>15</v>
      </c>
      <c r="K268" s="45">
        <v>104.0</v>
      </c>
      <c r="L268" s="9"/>
      <c r="M268" s="45">
        <v>104.0</v>
      </c>
    </row>
    <row r="269">
      <c r="A269" s="34" t="s">
        <v>70</v>
      </c>
      <c r="B269" s="34" t="s">
        <v>313</v>
      </c>
      <c r="C269" s="34">
        <v>45.0</v>
      </c>
      <c r="D269" s="34" t="s">
        <v>821</v>
      </c>
      <c r="E269" s="34" t="s">
        <v>825</v>
      </c>
      <c r="F269" s="34" t="s">
        <v>826</v>
      </c>
      <c r="G269" s="34">
        <v>45208.0</v>
      </c>
      <c r="H269" s="34" t="s">
        <v>827</v>
      </c>
      <c r="I269" s="34" t="s">
        <v>18</v>
      </c>
      <c r="J269" s="34" t="s">
        <v>13</v>
      </c>
      <c r="K269" s="9"/>
      <c r="L269" s="45">
        <v>80.6</v>
      </c>
      <c r="M269" s="45">
        <v>80.6</v>
      </c>
    </row>
    <row r="270">
      <c r="A270" s="34" t="s">
        <v>70</v>
      </c>
      <c r="B270" s="34" t="s">
        <v>313</v>
      </c>
      <c r="C270" s="34">
        <v>45.0</v>
      </c>
      <c r="D270" s="34" t="s">
        <v>821</v>
      </c>
      <c r="E270" s="34" t="s">
        <v>828</v>
      </c>
      <c r="F270" s="34" t="s">
        <v>829</v>
      </c>
      <c r="G270" s="34">
        <v>45234.0</v>
      </c>
      <c r="H270" s="34" t="s">
        <v>830</v>
      </c>
      <c r="I270" s="34" t="s">
        <v>18</v>
      </c>
      <c r="J270" s="34" t="s">
        <v>14</v>
      </c>
      <c r="K270" s="45">
        <v>105.3</v>
      </c>
      <c r="L270" s="45">
        <v>85.3</v>
      </c>
      <c r="M270" s="45">
        <v>101.8</v>
      </c>
    </row>
    <row r="271">
      <c r="A271" s="34" t="s">
        <v>70</v>
      </c>
      <c r="B271" s="34" t="s">
        <v>313</v>
      </c>
      <c r="C271" s="34">
        <v>45.0</v>
      </c>
      <c r="D271" s="34" t="s">
        <v>821</v>
      </c>
      <c r="E271" s="34" t="s">
        <v>831</v>
      </c>
      <c r="F271" s="34" t="s">
        <v>832</v>
      </c>
      <c r="G271" s="34">
        <v>45155.0</v>
      </c>
      <c r="H271" s="34" t="s">
        <v>824</v>
      </c>
      <c r="I271" s="34" t="s">
        <v>17</v>
      </c>
      <c r="J271" s="34" t="s">
        <v>14</v>
      </c>
      <c r="K271" s="45">
        <v>110.0</v>
      </c>
      <c r="L271" s="45">
        <v>92.9</v>
      </c>
      <c r="M271" s="45">
        <v>107.7</v>
      </c>
    </row>
    <row r="272">
      <c r="A272" s="34" t="s">
        <v>70</v>
      </c>
      <c r="B272" s="34" t="s">
        <v>313</v>
      </c>
      <c r="C272" s="34">
        <v>45.0</v>
      </c>
      <c r="D272" s="34" t="s">
        <v>821</v>
      </c>
      <c r="E272" s="34" t="s">
        <v>833</v>
      </c>
      <c r="F272" s="34" t="s">
        <v>834</v>
      </c>
      <c r="G272" s="34">
        <v>45208.0</v>
      </c>
      <c r="H272" s="34" t="s">
        <v>827</v>
      </c>
      <c r="I272" s="34" t="s">
        <v>17</v>
      </c>
      <c r="J272" s="34" t="s">
        <v>14</v>
      </c>
      <c r="K272" s="45">
        <v>97.0</v>
      </c>
      <c r="L272" s="45">
        <v>95.3</v>
      </c>
      <c r="M272" s="45">
        <v>95.7</v>
      </c>
    </row>
    <row r="273">
      <c r="A273" s="34" t="s">
        <v>70</v>
      </c>
      <c r="B273" s="34" t="s">
        <v>313</v>
      </c>
      <c r="C273" s="34">
        <v>45.0</v>
      </c>
      <c r="D273" s="34" t="s">
        <v>821</v>
      </c>
      <c r="E273" s="34" t="s">
        <v>835</v>
      </c>
      <c r="F273" s="34" t="s">
        <v>836</v>
      </c>
      <c r="G273" s="34">
        <v>45068.0</v>
      </c>
      <c r="H273" s="34" t="s">
        <v>837</v>
      </c>
      <c r="I273" s="34" t="s">
        <v>18</v>
      </c>
      <c r="J273" s="34" t="s">
        <v>14</v>
      </c>
      <c r="K273" s="45">
        <v>93.9</v>
      </c>
      <c r="L273" s="45">
        <v>88.4</v>
      </c>
      <c r="M273" s="45">
        <v>89.3</v>
      </c>
    </row>
    <row r="274">
      <c r="A274" s="34" t="s">
        <v>70</v>
      </c>
      <c r="B274" s="34" t="s">
        <v>182</v>
      </c>
      <c r="C274" s="34">
        <v>46.0</v>
      </c>
      <c r="D274" s="34" t="s">
        <v>838</v>
      </c>
      <c r="E274" s="34" t="s">
        <v>839</v>
      </c>
      <c r="F274" s="34" t="s">
        <v>840</v>
      </c>
      <c r="G274" s="34">
        <v>46102.0</v>
      </c>
      <c r="H274" s="34" t="s">
        <v>841</v>
      </c>
      <c r="I274" s="34" t="s">
        <v>18</v>
      </c>
      <c r="J274" s="34" t="s">
        <v>15</v>
      </c>
      <c r="K274" s="45">
        <v>116.4</v>
      </c>
      <c r="L274" s="9"/>
      <c r="M274" s="45">
        <v>116.4</v>
      </c>
    </row>
    <row r="275">
      <c r="A275" s="34" t="s">
        <v>70</v>
      </c>
      <c r="B275" s="34" t="s">
        <v>182</v>
      </c>
      <c r="C275" s="34">
        <v>46.0</v>
      </c>
      <c r="D275" s="34" t="s">
        <v>838</v>
      </c>
      <c r="E275" s="34" t="s">
        <v>842</v>
      </c>
      <c r="F275" s="34" t="s">
        <v>843</v>
      </c>
      <c r="G275" s="34">
        <v>46251.0</v>
      </c>
      <c r="H275" s="34" t="s">
        <v>844</v>
      </c>
      <c r="I275" s="34" t="s">
        <v>18</v>
      </c>
      <c r="J275" s="34" t="s">
        <v>15</v>
      </c>
      <c r="K275" s="45">
        <v>115.7</v>
      </c>
      <c r="L275" s="9"/>
      <c r="M275" s="45">
        <v>115.7</v>
      </c>
    </row>
    <row r="276">
      <c r="A276" s="34" t="s">
        <v>70</v>
      </c>
      <c r="B276" s="34" t="s">
        <v>182</v>
      </c>
      <c r="C276" s="34">
        <v>46.0</v>
      </c>
      <c r="D276" s="34" t="s">
        <v>838</v>
      </c>
      <c r="E276" s="34" t="s">
        <v>845</v>
      </c>
      <c r="F276" s="34" t="s">
        <v>846</v>
      </c>
      <c r="G276" s="34">
        <v>46102.0</v>
      </c>
      <c r="H276" s="34" t="s">
        <v>841</v>
      </c>
      <c r="I276" s="34" t="s">
        <v>18</v>
      </c>
      <c r="J276" s="34" t="s">
        <v>13</v>
      </c>
      <c r="K276" s="9"/>
      <c r="L276" s="45">
        <v>91.9</v>
      </c>
      <c r="M276" s="45">
        <v>91.9</v>
      </c>
    </row>
    <row r="277">
      <c r="A277" s="34" t="s">
        <v>70</v>
      </c>
      <c r="B277" s="34" t="s">
        <v>182</v>
      </c>
      <c r="C277" s="34">
        <v>46.0</v>
      </c>
      <c r="D277" s="34" t="s">
        <v>838</v>
      </c>
      <c r="E277" s="34" t="s">
        <v>847</v>
      </c>
      <c r="F277" s="34" t="s">
        <v>848</v>
      </c>
      <c r="G277" s="34">
        <v>46102.0</v>
      </c>
      <c r="H277" s="34" t="s">
        <v>841</v>
      </c>
      <c r="I277" s="34" t="s">
        <v>17</v>
      </c>
      <c r="J277" s="34" t="s">
        <v>14</v>
      </c>
      <c r="K277" s="45">
        <v>113.4</v>
      </c>
      <c r="L277" s="45">
        <v>97.4</v>
      </c>
      <c r="M277" s="45">
        <v>108.9</v>
      </c>
    </row>
    <row r="278">
      <c r="A278" s="34" t="s">
        <v>70</v>
      </c>
      <c r="B278" s="34" t="s">
        <v>377</v>
      </c>
      <c r="C278" s="34">
        <v>47.0</v>
      </c>
      <c r="D278" s="34" t="s">
        <v>849</v>
      </c>
      <c r="E278" s="34" t="s">
        <v>850</v>
      </c>
      <c r="F278" s="34" t="s">
        <v>851</v>
      </c>
      <c r="G278" s="34">
        <v>47001.0</v>
      </c>
      <c r="H278" s="34" t="s">
        <v>852</v>
      </c>
      <c r="I278" s="34" t="s">
        <v>18</v>
      </c>
      <c r="J278" s="34" t="s">
        <v>15</v>
      </c>
      <c r="K278" s="45">
        <v>110.8</v>
      </c>
      <c r="L278" s="9"/>
      <c r="M278" s="45">
        <v>110.8</v>
      </c>
    </row>
    <row r="279">
      <c r="A279" s="34" t="s">
        <v>70</v>
      </c>
      <c r="B279" s="34" t="s">
        <v>377</v>
      </c>
      <c r="C279" s="34">
        <v>47.0</v>
      </c>
      <c r="D279" s="34" t="s">
        <v>849</v>
      </c>
      <c r="E279" s="34" t="s">
        <v>853</v>
      </c>
      <c r="F279" s="34" t="s">
        <v>854</v>
      </c>
      <c r="G279" s="34">
        <v>47004.0</v>
      </c>
      <c r="H279" s="34" t="s">
        <v>855</v>
      </c>
      <c r="I279" s="34" t="s">
        <v>18</v>
      </c>
      <c r="J279" s="34" t="s">
        <v>15</v>
      </c>
      <c r="K279" s="45">
        <v>101.4</v>
      </c>
      <c r="L279" s="9"/>
      <c r="M279" s="45">
        <v>101.4</v>
      </c>
    </row>
    <row r="280">
      <c r="A280" s="34" t="s">
        <v>70</v>
      </c>
      <c r="B280" s="34" t="s">
        <v>779</v>
      </c>
      <c r="C280" s="34">
        <v>49.0</v>
      </c>
      <c r="D280" s="34" t="s">
        <v>856</v>
      </c>
      <c r="E280" s="34" t="s">
        <v>857</v>
      </c>
      <c r="F280" s="34" t="s">
        <v>858</v>
      </c>
      <c r="G280" s="34">
        <v>49007.0</v>
      </c>
      <c r="H280" s="34" t="s">
        <v>859</v>
      </c>
      <c r="I280" s="34" t="s">
        <v>18</v>
      </c>
      <c r="J280" s="34" t="s">
        <v>14</v>
      </c>
      <c r="K280" s="45">
        <v>108.3</v>
      </c>
      <c r="L280" s="45">
        <v>85.1</v>
      </c>
      <c r="M280" s="45">
        <v>104.5</v>
      </c>
    </row>
    <row r="281">
      <c r="A281" s="34" t="s">
        <v>70</v>
      </c>
      <c r="B281" s="34" t="s">
        <v>779</v>
      </c>
      <c r="C281" s="34">
        <v>49.0</v>
      </c>
      <c r="D281" s="34" t="s">
        <v>856</v>
      </c>
      <c r="E281" s="34" t="s">
        <v>860</v>
      </c>
      <c r="F281" s="34" t="s">
        <v>861</v>
      </c>
      <c r="G281" s="34">
        <v>49307.0</v>
      </c>
      <c r="H281" s="34" t="s">
        <v>862</v>
      </c>
      <c r="I281" s="34" t="s">
        <v>18</v>
      </c>
      <c r="J281" s="34" t="s">
        <v>13</v>
      </c>
      <c r="K281" s="9"/>
      <c r="L281" s="45">
        <v>90.0</v>
      </c>
      <c r="M281" s="45">
        <v>90.0</v>
      </c>
    </row>
    <row r="282">
      <c r="A282" s="34" t="s">
        <v>70</v>
      </c>
      <c r="B282" s="34" t="s">
        <v>779</v>
      </c>
      <c r="C282" s="34">
        <v>49.0</v>
      </c>
      <c r="D282" s="34" t="s">
        <v>856</v>
      </c>
      <c r="E282" s="34" t="s">
        <v>863</v>
      </c>
      <c r="F282" s="34" t="s">
        <v>864</v>
      </c>
      <c r="G282" s="34">
        <v>49007.0</v>
      </c>
      <c r="H282" s="34" t="s">
        <v>859</v>
      </c>
      <c r="I282" s="34" t="s">
        <v>18</v>
      </c>
      <c r="J282" s="34" t="s">
        <v>13</v>
      </c>
      <c r="K282" s="9"/>
      <c r="L282" s="45">
        <v>78.5</v>
      </c>
      <c r="M282" s="45">
        <v>78.5</v>
      </c>
    </row>
    <row r="283">
      <c r="A283" s="34" t="s">
        <v>70</v>
      </c>
      <c r="B283" s="34" t="s">
        <v>779</v>
      </c>
      <c r="C283" s="34">
        <v>49.0</v>
      </c>
      <c r="D283" s="34" t="s">
        <v>856</v>
      </c>
      <c r="E283" s="34" t="s">
        <v>865</v>
      </c>
      <c r="F283" s="34" t="s">
        <v>866</v>
      </c>
      <c r="G283" s="34">
        <v>49099.0</v>
      </c>
      <c r="H283" s="34" t="s">
        <v>867</v>
      </c>
      <c r="I283" s="34" t="s">
        <v>17</v>
      </c>
      <c r="J283" s="34" t="s">
        <v>13</v>
      </c>
      <c r="K283" s="9"/>
      <c r="L283" s="45">
        <v>102.7</v>
      </c>
      <c r="M283" s="45">
        <v>102.7</v>
      </c>
    </row>
    <row r="284">
      <c r="A284" s="34" t="s">
        <v>70</v>
      </c>
      <c r="B284" s="34" t="s">
        <v>779</v>
      </c>
      <c r="C284" s="34">
        <v>49.0</v>
      </c>
      <c r="D284" s="34" t="s">
        <v>856</v>
      </c>
      <c r="E284" s="34" t="s">
        <v>868</v>
      </c>
      <c r="F284" s="34" t="s">
        <v>869</v>
      </c>
      <c r="G284" s="34">
        <v>49328.0</v>
      </c>
      <c r="H284" s="34" t="s">
        <v>870</v>
      </c>
      <c r="I284" s="34" t="s">
        <v>17</v>
      </c>
      <c r="J284" s="34" t="s">
        <v>13</v>
      </c>
      <c r="K284" s="9"/>
      <c r="L284" s="45">
        <v>91.3</v>
      </c>
      <c r="M284" s="45">
        <v>91.3</v>
      </c>
    </row>
    <row r="285">
      <c r="A285" s="34" t="s">
        <v>70</v>
      </c>
      <c r="B285" s="34" t="s">
        <v>779</v>
      </c>
      <c r="C285" s="34">
        <v>49.0</v>
      </c>
      <c r="D285" s="34" t="s">
        <v>856</v>
      </c>
      <c r="E285" s="34" t="s">
        <v>871</v>
      </c>
      <c r="F285" s="34" t="s">
        <v>872</v>
      </c>
      <c r="G285" s="34">
        <v>49301.0</v>
      </c>
      <c r="H285" s="34" t="s">
        <v>873</v>
      </c>
      <c r="I285" s="34" t="s">
        <v>17</v>
      </c>
      <c r="J285" s="34" t="s">
        <v>15</v>
      </c>
      <c r="K285" s="45">
        <v>117.2</v>
      </c>
      <c r="L285" s="9"/>
      <c r="M285" s="45">
        <v>117.2</v>
      </c>
    </row>
    <row r="286">
      <c r="A286" s="34" t="s">
        <v>70</v>
      </c>
      <c r="B286" s="34" t="s">
        <v>779</v>
      </c>
      <c r="C286" s="34">
        <v>49.0</v>
      </c>
      <c r="D286" s="34" t="s">
        <v>856</v>
      </c>
      <c r="E286" s="34" t="s">
        <v>874</v>
      </c>
      <c r="F286" s="34" t="s">
        <v>875</v>
      </c>
      <c r="G286" s="34">
        <v>49007.0</v>
      </c>
      <c r="H286" s="34" t="s">
        <v>859</v>
      </c>
      <c r="I286" s="34" t="s">
        <v>18</v>
      </c>
      <c r="J286" s="34" t="s">
        <v>15</v>
      </c>
      <c r="K286" s="45">
        <v>124.8</v>
      </c>
      <c r="L286" s="9"/>
      <c r="M286" s="45">
        <v>124.8</v>
      </c>
    </row>
    <row r="287">
      <c r="A287" s="34" t="s">
        <v>70</v>
      </c>
      <c r="B287" s="34" t="s">
        <v>779</v>
      </c>
      <c r="C287" s="34">
        <v>49.0</v>
      </c>
      <c r="D287" s="34" t="s">
        <v>856</v>
      </c>
      <c r="E287" s="34" t="s">
        <v>876</v>
      </c>
      <c r="F287" s="34" t="s">
        <v>877</v>
      </c>
      <c r="G287" s="34">
        <v>49007.0</v>
      </c>
      <c r="H287" s="34" t="s">
        <v>859</v>
      </c>
      <c r="I287" s="34" t="s">
        <v>18</v>
      </c>
      <c r="J287" s="34" t="s">
        <v>15</v>
      </c>
      <c r="K287" s="45">
        <v>122.4</v>
      </c>
      <c r="L287" s="9"/>
      <c r="M287" s="45">
        <v>122.4</v>
      </c>
    </row>
    <row r="288">
      <c r="A288" s="34" t="s">
        <v>70</v>
      </c>
      <c r="B288" s="34" t="s">
        <v>779</v>
      </c>
      <c r="C288" s="34">
        <v>49.0</v>
      </c>
      <c r="D288" s="34" t="s">
        <v>856</v>
      </c>
      <c r="E288" s="34" t="s">
        <v>878</v>
      </c>
      <c r="F288" s="34" t="s">
        <v>879</v>
      </c>
      <c r="G288" s="34">
        <v>49323.0</v>
      </c>
      <c r="H288" s="34" t="s">
        <v>880</v>
      </c>
      <c r="I288" s="34" t="s">
        <v>17</v>
      </c>
      <c r="J288" s="34" t="s">
        <v>14</v>
      </c>
      <c r="K288" s="45">
        <v>115.0</v>
      </c>
      <c r="L288" s="45">
        <v>107.7</v>
      </c>
      <c r="M288" s="45">
        <v>112.6</v>
      </c>
    </row>
    <row r="289">
      <c r="A289" s="34" t="s">
        <v>70</v>
      </c>
      <c r="B289" s="34" t="s">
        <v>269</v>
      </c>
      <c r="C289" s="34">
        <v>50.0</v>
      </c>
      <c r="D289" s="34" t="s">
        <v>881</v>
      </c>
      <c r="E289" s="34" t="s">
        <v>882</v>
      </c>
      <c r="F289" s="34" t="s">
        <v>883</v>
      </c>
      <c r="G289" s="34">
        <v>50129.0</v>
      </c>
      <c r="H289" s="34" t="s">
        <v>884</v>
      </c>
      <c r="I289" s="34" t="s">
        <v>18</v>
      </c>
      <c r="J289" s="34" t="s">
        <v>15</v>
      </c>
      <c r="K289" s="45">
        <v>116.3</v>
      </c>
      <c r="L289" s="9"/>
      <c r="M289" s="45">
        <v>116.3</v>
      </c>
    </row>
    <row r="290">
      <c r="A290" s="34" t="s">
        <v>70</v>
      </c>
      <c r="B290" s="34" t="s">
        <v>269</v>
      </c>
      <c r="C290" s="34">
        <v>50.0</v>
      </c>
      <c r="D290" s="34" t="s">
        <v>881</v>
      </c>
      <c r="E290" s="34" t="s">
        <v>885</v>
      </c>
      <c r="F290" s="34" t="s">
        <v>886</v>
      </c>
      <c r="G290" s="34">
        <v>50502.0</v>
      </c>
      <c r="H290" s="34" t="s">
        <v>887</v>
      </c>
      <c r="I290" s="34" t="s">
        <v>18</v>
      </c>
      <c r="J290" s="34" t="s">
        <v>15</v>
      </c>
      <c r="K290" s="45">
        <v>120.7</v>
      </c>
      <c r="L290" s="9"/>
      <c r="M290" s="45">
        <v>120.7</v>
      </c>
    </row>
    <row r="291">
      <c r="A291" s="34" t="s">
        <v>70</v>
      </c>
      <c r="B291" s="34" t="s">
        <v>269</v>
      </c>
      <c r="C291" s="34">
        <v>50.0</v>
      </c>
      <c r="D291" s="34" t="s">
        <v>881</v>
      </c>
      <c r="E291" s="34" t="s">
        <v>888</v>
      </c>
      <c r="F291" s="34" t="s">
        <v>889</v>
      </c>
      <c r="G291" s="34">
        <v>50147.0</v>
      </c>
      <c r="H291" s="34" t="s">
        <v>890</v>
      </c>
      <c r="I291" s="34" t="s">
        <v>17</v>
      </c>
      <c r="J291" s="34" t="s">
        <v>15</v>
      </c>
      <c r="K291" s="45">
        <v>117.1</v>
      </c>
      <c r="L291" s="9"/>
      <c r="M291" s="45">
        <v>117.1</v>
      </c>
    </row>
    <row r="292">
      <c r="A292" s="34" t="s">
        <v>70</v>
      </c>
      <c r="B292" s="34" t="s">
        <v>269</v>
      </c>
      <c r="C292" s="34">
        <v>50.0</v>
      </c>
      <c r="D292" s="34" t="s">
        <v>881</v>
      </c>
      <c r="E292" s="34" t="s">
        <v>891</v>
      </c>
      <c r="F292" s="34" t="s">
        <v>892</v>
      </c>
      <c r="G292" s="34">
        <v>50218.0</v>
      </c>
      <c r="H292" s="34" t="s">
        <v>893</v>
      </c>
      <c r="I292" s="34" t="s">
        <v>17</v>
      </c>
      <c r="J292" s="34" t="s">
        <v>15</v>
      </c>
      <c r="K292" s="45">
        <v>118.1</v>
      </c>
      <c r="L292" s="9"/>
      <c r="M292" s="45">
        <v>118.1</v>
      </c>
    </row>
    <row r="293">
      <c r="A293" s="34" t="s">
        <v>70</v>
      </c>
      <c r="B293" s="34" t="s">
        <v>269</v>
      </c>
      <c r="C293" s="34">
        <v>50.0</v>
      </c>
      <c r="D293" s="34" t="s">
        <v>881</v>
      </c>
      <c r="E293" s="34" t="s">
        <v>894</v>
      </c>
      <c r="F293" s="34" t="s">
        <v>895</v>
      </c>
      <c r="G293" s="34">
        <v>50129.0</v>
      </c>
      <c r="H293" s="34" t="s">
        <v>884</v>
      </c>
      <c r="I293" s="34" t="s">
        <v>17</v>
      </c>
      <c r="J293" s="34" t="s">
        <v>13</v>
      </c>
      <c r="K293" s="9"/>
      <c r="L293" s="45">
        <v>87.7</v>
      </c>
      <c r="M293" s="45">
        <v>87.7</v>
      </c>
    </row>
    <row r="294">
      <c r="A294" s="34" t="s">
        <v>70</v>
      </c>
      <c r="B294" s="34" t="s">
        <v>269</v>
      </c>
      <c r="C294" s="34">
        <v>50.0</v>
      </c>
      <c r="D294" s="34" t="s">
        <v>881</v>
      </c>
      <c r="E294" s="34" t="s">
        <v>896</v>
      </c>
      <c r="F294" s="34" t="s">
        <v>897</v>
      </c>
      <c r="G294" s="34">
        <v>50025.0</v>
      </c>
      <c r="H294" s="34" t="s">
        <v>898</v>
      </c>
      <c r="I294" s="34" t="s">
        <v>17</v>
      </c>
      <c r="J294" s="34" t="s">
        <v>13</v>
      </c>
      <c r="K294" s="9"/>
      <c r="L294" s="45">
        <v>95.8</v>
      </c>
      <c r="M294" s="45">
        <v>95.8</v>
      </c>
    </row>
    <row r="295">
      <c r="A295" s="34" t="s">
        <v>70</v>
      </c>
      <c r="B295" s="34" t="s">
        <v>269</v>
      </c>
      <c r="C295" s="34">
        <v>50.0</v>
      </c>
      <c r="D295" s="34" t="s">
        <v>881</v>
      </c>
      <c r="E295" s="34" t="s">
        <v>899</v>
      </c>
      <c r="F295" s="34" t="s">
        <v>900</v>
      </c>
      <c r="G295" s="34">
        <v>50129.0</v>
      </c>
      <c r="H295" s="34" t="s">
        <v>884</v>
      </c>
      <c r="I295" s="34" t="s">
        <v>18</v>
      </c>
      <c r="J295" s="34" t="s">
        <v>15</v>
      </c>
      <c r="K295" s="45">
        <v>119.2</v>
      </c>
      <c r="L295" s="9"/>
      <c r="M295" s="45">
        <v>119.2</v>
      </c>
    </row>
    <row r="296">
      <c r="A296" s="34" t="s">
        <v>70</v>
      </c>
      <c r="B296" s="34" t="s">
        <v>269</v>
      </c>
      <c r="C296" s="34">
        <v>50.0</v>
      </c>
      <c r="D296" s="34" t="s">
        <v>881</v>
      </c>
      <c r="E296" s="34" t="s">
        <v>901</v>
      </c>
      <c r="F296" s="34" t="s">
        <v>902</v>
      </c>
      <c r="G296" s="34">
        <v>50099.0</v>
      </c>
      <c r="H296" s="34" t="s">
        <v>903</v>
      </c>
      <c r="I296" s="34" t="s">
        <v>18</v>
      </c>
      <c r="J296" s="34" t="s">
        <v>15</v>
      </c>
      <c r="K296" s="45">
        <v>106.8</v>
      </c>
      <c r="L296" s="9"/>
      <c r="M296" s="45">
        <v>106.8</v>
      </c>
    </row>
    <row r="297">
      <c r="A297" s="34" t="s">
        <v>70</v>
      </c>
      <c r="B297" s="34" t="s">
        <v>169</v>
      </c>
      <c r="C297" s="34">
        <v>51.0</v>
      </c>
      <c r="D297" s="34" t="s">
        <v>904</v>
      </c>
      <c r="E297" s="34" t="s">
        <v>905</v>
      </c>
      <c r="F297" s="34" t="s">
        <v>906</v>
      </c>
      <c r="G297" s="34">
        <v>51454.0</v>
      </c>
      <c r="H297" s="34" t="s">
        <v>169</v>
      </c>
      <c r="I297" s="34" t="s">
        <v>18</v>
      </c>
      <c r="J297" s="34" t="s">
        <v>15</v>
      </c>
      <c r="K297" s="45">
        <v>124.3</v>
      </c>
      <c r="L297" s="9"/>
      <c r="M297" s="45">
        <v>124.3</v>
      </c>
    </row>
    <row r="298">
      <c r="A298" s="34" t="s">
        <v>70</v>
      </c>
      <c r="B298" s="34" t="s">
        <v>169</v>
      </c>
      <c r="C298" s="34">
        <v>51.0</v>
      </c>
      <c r="D298" s="34" t="s">
        <v>904</v>
      </c>
      <c r="E298" s="34" t="s">
        <v>907</v>
      </c>
      <c r="F298" s="34" t="s">
        <v>908</v>
      </c>
      <c r="G298" s="34">
        <v>51454.0</v>
      </c>
      <c r="H298" s="34" t="s">
        <v>169</v>
      </c>
      <c r="I298" s="34" t="s">
        <v>18</v>
      </c>
      <c r="J298" s="34" t="s">
        <v>14</v>
      </c>
      <c r="K298" s="45">
        <v>110.0</v>
      </c>
      <c r="L298" s="45">
        <v>87.9</v>
      </c>
      <c r="M298" s="45">
        <v>109.3</v>
      </c>
    </row>
    <row r="299">
      <c r="A299" s="34" t="s">
        <v>70</v>
      </c>
      <c r="B299" s="34" t="s">
        <v>169</v>
      </c>
      <c r="C299" s="34">
        <v>51.0</v>
      </c>
      <c r="D299" s="34" t="s">
        <v>904</v>
      </c>
      <c r="E299" s="34" t="s">
        <v>909</v>
      </c>
      <c r="F299" s="34" t="s">
        <v>910</v>
      </c>
      <c r="G299" s="34">
        <v>51649.0</v>
      </c>
      <c r="H299" s="34" t="s">
        <v>911</v>
      </c>
      <c r="I299" s="34" t="s">
        <v>18</v>
      </c>
      <c r="J299" s="34" t="s">
        <v>14</v>
      </c>
      <c r="K299" s="45">
        <v>101.4</v>
      </c>
      <c r="L299" s="45">
        <v>79.4</v>
      </c>
      <c r="M299" s="45">
        <v>94.4</v>
      </c>
    </row>
    <row r="300">
      <c r="A300" s="34" t="s">
        <v>70</v>
      </c>
      <c r="B300" s="34" t="s">
        <v>169</v>
      </c>
      <c r="C300" s="34">
        <v>51.0</v>
      </c>
      <c r="D300" s="34" t="s">
        <v>904</v>
      </c>
      <c r="E300" s="34" t="s">
        <v>912</v>
      </c>
      <c r="F300" s="34" t="s">
        <v>913</v>
      </c>
      <c r="G300" s="34">
        <v>51230.0</v>
      </c>
      <c r="H300" s="34" t="s">
        <v>914</v>
      </c>
      <c r="I300" s="34" t="s">
        <v>18</v>
      </c>
      <c r="J300" s="34" t="s">
        <v>14</v>
      </c>
      <c r="K300" s="45">
        <v>110.4</v>
      </c>
      <c r="L300" s="45">
        <v>81.1</v>
      </c>
      <c r="M300" s="45">
        <v>104.1</v>
      </c>
    </row>
    <row r="301">
      <c r="A301" s="34" t="s">
        <v>70</v>
      </c>
      <c r="B301" s="34" t="s">
        <v>169</v>
      </c>
      <c r="C301" s="34">
        <v>51.0</v>
      </c>
      <c r="D301" s="34" t="s">
        <v>904</v>
      </c>
      <c r="E301" s="34" t="s">
        <v>915</v>
      </c>
      <c r="F301" s="34" t="s">
        <v>916</v>
      </c>
      <c r="G301" s="34">
        <v>51454.0</v>
      </c>
      <c r="H301" s="34" t="s">
        <v>169</v>
      </c>
      <c r="I301" s="34" t="s">
        <v>17</v>
      </c>
      <c r="J301" s="34" t="s">
        <v>14</v>
      </c>
      <c r="K301" s="45">
        <v>108.4</v>
      </c>
      <c r="L301" s="45">
        <v>102.3</v>
      </c>
      <c r="M301" s="45">
        <v>105.9</v>
      </c>
    </row>
    <row r="302">
      <c r="A302" s="34" t="s">
        <v>70</v>
      </c>
      <c r="B302" s="34" t="s">
        <v>169</v>
      </c>
      <c r="C302" s="34">
        <v>51.0</v>
      </c>
      <c r="D302" s="34" t="s">
        <v>904</v>
      </c>
      <c r="E302" s="34" t="s">
        <v>917</v>
      </c>
      <c r="F302" s="34" t="s">
        <v>918</v>
      </c>
      <c r="G302" s="34">
        <v>51230.0</v>
      </c>
      <c r="H302" s="34" t="s">
        <v>914</v>
      </c>
      <c r="I302" s="34" t="s">
        <v>17</v>
      </c>
      <c r="J302" s="34" t="s">
        <v>13</v>
      </c>
      <c r="K302" s="9"/>
      <c r="L302" s="45">
        <v>93.7</v>
      </c>
      <c r="M302" s="45">
        <v>93.7</v>
      </c>
    </row>
    <row r="303">
      <c r="A303" s="34" t="s">
        <v>70</v>
      </c>
      <c r="B303" s="34" t="s">
        <v>169</v>
      </c>
      <c r="C303" s="34">
        <v>51.0</v>
      </c>
      <c r="D303" s="34" t="s">
        <v>904</v>
      </c>
      <c r="E303" s="34" t="s">
        <v>919</v>
      </c>
      <c r="F303" s="34" t="s">
        <v>920</v>
      </c>
      <c r="G303" s="34">
        <v>51454.0</v>
      </c>
      <c r="H303" s="34" t="s">
        <v>169</v>
      </c>
      <c r="I303" s="34" t="s">
        <v>18</v>
      </c>
      <c r="J303" s="34" t="s">
        <v>13</v>
      </c>
      <c r="K303" s="9"/>
      <c r="L303" s="45">
        <v>74.3</v>
      </c>
      <c r="M303" s="45">
        <v>74.3</v>
      </c>
    </row>
    <row r="304">
      <c r="A304" s="34" t="s">
        <v>70</v>
      </c>
      <c r="B304" s="34" t="s">
        <v>169</v>
      </c>
      <c r="C304" s="34">
        <v>51.0</v>
      </c>
      <c r="D304" s="34" t="s">
        <v>904</v>
      </c>
      <c r="E304" s="34" t="s">
        <v>921</v>
      </c>
      <c r="F304" s="34" t="s">
        <v>922</v>
      </c>
      <c r="G304" s="34">
        <v>51454.0</v>
      </c>
      <c r="H304" s="34" t="s">
        <v>169</v>
      </c>
      <c r="I304" s="34" t="s">
        <v>18</v>
      </c>
      <c r="J304" s="34" t="s">
        <v>13</v>
      </c>
      <c r="K304" s="9"/>
      <c r="L304" s="45">
        <v>87.5</v>
      </c>
      <c r="M304" s="45">
        <v>87.5</v>
      </c>
    </row>
    <row r="305">
      <c r="A305" s="34" t="s">
        <v>70</v>
      </c>
      <c r="B305" s="34" t="s">
        <v>169</v>
      </c>
      <c r="C305" s="34">
        <v>52.0</v>
      </c>
      <c r="D305" s="34" t="s">
        <v>923</v>
      </c>
      <c r="E305" s="34" t="s">
        <v>924</v>
      </c>
      <c r="F305" s="34" t="s">
        <v>925</v>
      </c>
      <c r="G305" s="34">
        <v>52550.0</v>
      </c>
      <c r="H305" s="34" t="s">
        <v>926</v>
      </c>
      <c r="I305" s="34" t="s">
        <v>18</v>
      </c>
      <c r="J305" s="34" t="s">
        <v>13</v>
      </c>
      <c r="K305" s="9"/>
      <c r="L305" s="45">
        <v>78.3</v>
      </c>
      <c r="M305" s="45">
        <v>78.3</v>
      </c>
    </row>
    <row r="306">
      <c r="A306" s="34" t="s">
        <v>70</v>
      </c>
      <c r="B306" s="34" t="s">
        <v>779</v>
      </c>
      <c r="C306" s="34">
        <v>53.0</v>
      </c>
      <c r="D306" s="34" t="s">
        <v>927</v>
      </c>
      <c r="E306" s="34" t="s">
        <v>928</v>
      </c>
      <c r="F306" s="34" t="s">
        <v>929</v>
      </c>
      <c r="G306" s="34">
        <v>53147.0</v>
      </c>
      <c r="H306" s="34" t="s">
        <v>927</v>
      </c>
      <c r="I306" s="34" t="s">
        <v>17</v>
      </c>
      <c r="J306" s="34" t="s">
        <v>13</v>
      </c>
      <c r="K306" s="9"/>
      <c r="L306" s="45">
        <v>93.3</v>
      </c>
      <c r="M306" s="45">
        <v>93.3</v>
      </c>
    </row>
    <row r="307">
      <c r="A307" s="34" t="s">
        <v>70</v>
      </c>
      <c r="B307" s="34" t="s">
        <v>930</v>
      </c>
      <c r="C307" s="34">
        <v>54.0</v>
      </c>
      <c r="D307" s="34" t="s">
        <v>931</v>
      </c>
      <c r="E307" s="34" t="s">
        <v>932</v>
      </c>
      <c r="F307" s="34" t="s">
        <v>933</v>
      </c>
      <c r="G307" s="34">
        <v>54329.0</v>
      </c>
      <c r="H307" s="34" t="s">
        <v>934</v>
      </c>
      <c r="I307" s="34" t="s">
        <v>18</v>
      </c>
      <c r="J307" s="34" t="s">
        <v>15</v>
      </c>
      <c r="K307" s="45">
        <v>112.1</v>
      </c>
      <c r="L307" s="9"/>
      <c r="M307" s="45">
        <v>112.1</v>
      </c>
    </row>
    <row r="308">
      <c r="A308" s="34" t="s">
        <v>70</v>
      </c>
      <c r="B308" s="34" t="s">
        <v>930</v>
      </c>
      <c r="C308" s="34">
        <v>54.0</v>
      </c>
      <c r="D308" s="34" t="s">
        <v>931</v>
      </c>
      <c r="E308" s="34" t="s">
        <v>935</v>
      </c>
      <c r="F308" s="34" t="s">
        <v>936</v>
      </c>
      <c r="G308" s="34">
        <v>54395.0</v>
      </c>
      <c r="H308" s="34" t="s">
        <v>937</v>
      </c>
      <c r="I308" s="34" t="s">
        <v>18</v>
      </c>
      <c r="J308" s="34" t="s">
        <v>15</v>
      </c>
      <c r="K308" s="45">
        <v>99.0</v>
      </c>
      <c r="L308" s="9"/>
      <c r="M308" s="45">
        <v>99.0</v>
      </c>
    </row>
    <row r="309">
      <c r="A309" s="34" t="s">
        <v>70</v>
      </c>
      <c r="B309" s="34" t="s">
        <v>930</v>
      </c>
      <c r="C309" s="34">
        <v>54.0</v>
      </c>
      <c r="D309" s="34" t="s">
        <v>931</v>
      </c>
      <c r="E309" s="34" t="s">
        <v>938</v>
      </c>
      <c r="F309" s="34" t="s">
        <v>939</v>
      </c>
      <c r="G309" s="34">
        <v>54395.0</v>
      </c>
      <c r="H309" s="34" t="s">
        <v>937</v>
      </c>
      <c r="I309" s="34" t="s">
        <v>18</v>
      </c>
      <c r="J309" s="34" t="s">
        <v>15</v>
      </c>
      <c r="K309" s="45">
        <v>121.8</v>
      </c>
      <c r="L309" s="9"/>
      <c r="M309" s="45">
        <v>121.8</v>
      </c>
    </row>
    <row r="310">
      <c r="A310" s="34" t="s">
        <v>70</v>
      </c>
      <c r="B310" s="34" t="s">
        <v>930</v>
      </c>
      <c r="C310" s="34">
        <v>54.0</v>
      </c>
      <c r="D310" s="34" t="s">
        <v>931</v>
      </c>
      <c r="E310" s="34" t="s">
        <v>940</v>
      </c>
      <c r="F310" s="34" t="s">
        <v>941</v>
      </c>
      <c r="G310" s="34">
        <v>54526.0</v>
      </c>
      <c r="H310" s="34" t="s">
        <v>942</v>
      </c>
      <c r="I310" s="34" t="s">
        <v>18</v>
      </c>
      <c r="J310" s="34" t="s">
        <v>15</v>
      </c>
      <c r="K310" s="45">
        <v>108.4</v>
      </c>
      <c r="L310" s="9"/>
      <c r="M310" s="45">
        <v>108.4</v>
      </c>
    </row>
    <row r="311">
      <c r="A311" s="34" t="s">
        <v>70</v>
      </c>
      <c r="B311" s="34" t="s">
        <v>930</v>
      </c>
      <c r="C311" s="34">
        <v>54.0</v>
      </c>
      <c r="D311" s="34" t="s">
        <v>931</v>
      </c>
      <c r="E311" s="34" t="s">
        <v>943</v>
      </c>
      <c r="F311" s="34" t="s">
        <v>944</v>
      </c>
      <c r="G311" s="34">
        <v>54273.0</v>
      </c>
      <c r="H311" s="34" t="s">
        <v>945</v>
      </c>
      <c r="I311" s="34" t="s">
        <v>18</v>
      </c>
      <c r="J311" s="34" t="s">
        <v>14</v>
      </c>
      <c r="K311" s="45">
        <v>106.9</v>
      </c>
      <c r="L311" s="45">
        <v>89.2</v>
      </c>
      <c r="M311" s="45">
        <v>98.8</v>
      </c>
    </row>
    <row r="312">
      <c r="A312" s="34" t="s">
        <v>70</v>
      </c>
      <c r="B312" s="34" t="s">
        <v>930</v>
      </c>
      <c r="C312" s="34">
        <v>54.0</v>
      </c>
      <c r="D312" s="34" t="s">
        <v>931</v>
      </c>
      <c r="E312" s="34" t="s">
        <v>946</v>
      </c>
      <c r="F312" s="34" t="s">
        <v>947</v>
      </c>
      <c r="G312" s="34">
        <v>54430.0</v>
      </c>
      <c r="H312" s="34" t="s">
        <v>948</v>
      </c>
      <c r="I312" s="34" t="s">
        <v>18</v>
      </c>
      <c r="J312" s="34" t="s">
        <v>13</v>
      </c>
      <c r="K312" s="9"/>
      <c r="L312" s="45">
        <v>75.2</v>
      </c>
      <c r="M312" s="45">
        <v>75.2</v>
      </c>
    </row>
    <row r="313">
      <c r="A313" s="34" t="s">
        <v>70</v>
      </c>
      <c r="B313" s="34" t="s">
        <v>930</v>
      </c>
      <c r="C313" s="34">
        <v>54.0</v>
      </c>
      <c r="D313" s="34" t="s">
        <v>931</v>
      </c>
      <c r="E313" s="34" t="s">
        <v>949</v>
      </c>
      <c r="F313" s="34" t="s">
        <v>950</v>
      </c>
      <c r="G313" s="34">
        <v>54431.0</v>
      </c>
      <c r="H313" s="34" t="s">
        <v>951</v>
      </c>
      <c r="I313" s="34" t="s">
        <v>18</v>
      </c>
      <c r="J313" s="34" t="s">
        <v>14</v>
      </c>
      <c r="K313" s="45">
        <v>113.9</v>
      </c>
      <c r="L313" s="45">
        <v>85.4</v>
      </c>
      <c r="M313" s="45">
        <v>97.5</v>
      </c>
    </row>
    <row r="314">
      <c r="A314" s="34" t="s">
        <v>70</v>
      </c>
      <c r="B314" s="34" t="s">
        <v>930</v>
      </c>
      <c r="C314" s="34">
        <v>54.0</v>
      </c>
      <c r="D314" s="34" t="s">
        <v>931</v>
      </c>
      <c r="E314" s="34" t="s">
        <v>952</v>
      </c>
      <c r="F314" s="34" t="s">
        <v>953</v>
      </c>
      <c r="G314" s="34">
        <v>54099.0</v>
      </c>
      <c r="H314" s="34" t="s">
        <v>954</v>
      </c>
      <c r="I314" s="34" t="s">
        <v>17</v>
      </c>
      <c r="J314" s="34" t="s">
        <v>15</v>
      </c>
      <c r="K314" s="45">
        <v>109.9</v>
      </c>
      <c r="L314" s="9"/>
      <c r="M314" s="45">
        <v>109.9</v>
      </c>
    </row>
    <row r="315">
      <c r="A315" s="34" t="s">
        <v>70</v>
      </c>
      <c r="B315" s="34" t="s">
        <v>930</v>
      </c>
      <c r="C315" s="34">
        <v>54.0</v>
      </c>
      <c r="D315" s="34" t="s">
        <v>931</v>
      </c>
      <c r="E315" s="34" t="s">
        <v>955</v>
      </c>
      <c r="F315" s="34" t="s">
        <v>956</v>
      </c>
      <c r="G315" s="34">
        <v>54329.0</v>
      </c>
      <c r="H315" s="34" t="s">
        <v>934</v>
      </c>
      <c r="I315" s="34" t="s">
        <v>18</v>
      </c>
      <c r="J315" s="34" t="s">
        <v>14</v>
      </c>
      <c r="K315" s="45">
        <v>111.7</v>
      </c>
      <c r="L315" s="45">
        <v>82.2</v>
      </c>
      <c r="M315" s="45">
        <v>97.6</v>
      </c>
    </row>
    <row r="316">
      <c r="A316" s="34" t="s">
        <v>70</v>
      </c>
      <c r="B316" s="34" t="s">
        <v>930</v>
      </c>
      <c r="C316" s="34">
        <v>55.0</v>
      </c>
      <c r="D316" s="34" t="s">
        <v>957</v>
      </c>
      <c r="E316" s="34" t="s">
        <v>958</v>
      </c>
      <c r="F316" s="34" t="s">
        <v>959</v>
      </c>
      <c r="G316" s="34">
        <v>55029.0</v>
      </c>
      <c r="H316" s="34" t="s">
        <v>960</v>
      </c>
      <c r="I316" s="34" t="s">
        <v>18</v>
      </c>
      <c r="J316" s="34" t="s">
        <v>15</v>
      </c>
      <c r="K316" s="45">
        <v>107.4</v>
      </c>
      <c r="L316" s="9"/>
      <c r="M316" s="45">
        <v>107.4</v>
      </c>
    </row>
    <row r="317">
      <c r="A317" s="34" t="s">
        <v>70</v>
      </c>
      <c r="B317" s="34" t="s">
        <v>930</v>
      </c>
      <c r="C317" s="34">
        <v>55.0</v>
      </c>
      <c r="D317" s="34" t="s">
        <v>957</v>
      </c>
      <c r="E317" s="34" t="s">
        <v>961</v>
      </c>
      <c r="F317" s="34" t="s">
        <v>962</v>
      </c>
      <c r="G317" s="34">
        <v>55122.0</v>
      </c>
      <c r="H317" s="34" t="s">
        <v>963</v>
      </c>
      <c r="I317" s="34" t="s">
        <v>18</v>
      </c>
      <c r="J317" s="34" t="s">
        <v>14</v>
      </c>
      <c r="K317" s="45">
        <v>103.5</v>
      </c>
      <c r="L317" s="45">
        <v>78.5</v>
      </c>
      <c r="M317" s="45">
        <v>96.8</v>
      </c>
    </row>
    <row r="318">
      <c r="A318" s="34" t="s">
        <v>70</v>
      </c>
      <c r="B318" s="34" t="s">
        <v>930</v>
      </c>
      <c r="C318" s="34">
        <v>55.0</v>
      </c>
      <c r="D318" s="34" t="s">
        <v>957</v>
      </c>
      <c r="E318" s="34" t="s">
        <v>964</v>
      </c>
      <c r="F318" s="34" t="s">
        <v>965</v>
      </c>
      <c r="G318" s="34">
        <v>55545.0</v>
      </c>
      <c r="H318" s="34" t="s">
        <v>966</v>
      </c>
      <c r="I318" s="34" t="s">
        <v>18</v>
      </c>
      <c r="J318" s="34" t="s">
        <v>14</v>
      </c>
      <c r="K318" s="45">
        <v>106.6</v>
      </c>
      <c r="L318" s="45">
        <v>86.6</v>
      </c>
      <c r="M318" s="45">
        <v>105.1</v>
      </c>
    </row>
    <row r="319">
      <c r="A319" s="34" t="s">
        <v>70</v>
      </c>
      <c r="B319" s="34" t="s">
        <v>930</v>
      </c>
      <c r="C319" s="34">
        <v>55.0</v>
      </c>
      <c r="D319" s="34" t="s">
        <v>957</v>
      </c>
      <c r="E319" s="34" t="s">
        <v>967</v>
      </c>
      <c r="F319" s="34" t="s">
        <v>968</v>
      </c>
      <c r="G319" s="34">
        <v>55502.0</v>
      </c>
      <c r="H319" s="34" t="s">
        <v>969</v>
      </c>
      <c r="I319" s="34" t="s">
        <v>18</v>
      </c>
      <c r="J319" s="34" t="s">
        <v>14</v>
      </c>
      <c r="K319" s="45">
        <v>99.8</v>
      </c>
      <c r="L319" s="45">
        <v>80.2</v>
      </c>
      <c r="M319" s="45">
        <v>94.1</v>
      </c>
    </row>
    <row r="320">
      <c r="A320" s="34" t="s">
        <v>70</v>
      </c>
      <c r="B320" s="34" t="s">
        <v>930</v>
      </c>
      <c r="C320" s="34">
        <v>55.0</v>
      </c>
      <c r="D320" s="34" t="s">
        <v>957</v>
      </c>
      <c r="E320" s="34" t="s">
        <v>970</v>
      </c>
      <c r="F320" s="34" t="s">
        <v>971</v>
      </c>
      <c r="G320" s="34">
        <v>55545.0</v>
      </c>
      <c r="H320" s="34" t="s">
        <v>966</v>
      </c>
      <c r="I320" s="34" t="s">
        <v>18</v>
      </c>
      <c r="J320" s="34" t="s">
        <v>13</v>
      </c>
      <c r="K320" s="9"/>
      <c r="L320" s="45">
        <v>79.9</v>
      </c>
      <c r="M320" s="45">
        <v>79.9</v>
      </c>
    </row>
    <row r="321">
      <c r="A321" s="34" t="s">
        <v>70</v>
      </c>
      <c r="B321" s="34" t="s">
        <v>354</v>
      </c>
      <c r="C321" s="34">
        <v>56.0</v>
      </c>
      <c r="D321" s="34" t="s">
        <v>972</v>
      </c>
      <c r="E321" s="34" t="s">
        <v>973</v>
      </c>
      <c r="F321" s="34" t="s">
        <v>974</v>
      </c>
      <c r="G321" s="34">
        <v>56178.0</v>
      </c>
      <c r="H321" s="34" t="s">
        <v>975</v>
      </c>
      <c r="I321" s="34" t="s">
        <v>18</v>
      </c>
      <c r="J321" s="34" t="s">
        <v>15</v>
      </c>
      <c r="K321" s="45">
        <v>106.5</v>
      </c>
      <c r="L321" s="9"/>
      <c r="M321" s="45">
        <v>106.5</v>
      </c>
    </row>
    <row r="322">
      <c r="A322" s="34" t="s">
        <v>70</v>
      </c>
      <c r="B322" s="34" t="s">
        <v>354</v>
      </c>
      <c r="C322" s="34">
        <v>56.0</v>
      </c>
      <c r="D322" s="34" t="s">
        <v>972</v>
      </c>
      <c r="E322" s="34" t="s">
        <v>976</v>
      </c>
      <c r="F322" s="34" t="s">
        <v>977</v>
      </c>
      <c r="G322" s="34">
        <v>56260.0</v>
      </c>
      <c r="H322" s="34" t="s">
        <v>978</v>
      </c>
      <c r="I322" s="34" t="s">
        <v>18</v>
      </c>
      <c r="J322" s="34" t="s">
        <v>15</v>
      </c>
      <c r="K322" s="45">
        <v>120.6</v>
      </c>
      <c r="L322" s="9"/>
      <c r="M322" s="45">
        <v>120.6</v>
      </c>
    </row>
    <row r="323">
      <c r="A323" s="34" t="s">
        <v>70</v>
      </c>
      <c r="B323" s="34" t="s">
        <v>354</v>
      </c>
      <c r="C323" s="34">
        <v>56.0</v>
      </c>
      <c r="D323" s="34" t="s">
        <v>972</v>
      </c>
      <c r="E323" s="34" t="s">
        <v>979</v>
      </c>
      <c r="F323" s="34" t="s">
        <v>980</v>
      </c>
      <c r="G323" s="34">
        <v>56260.0</v>
      </c>
      <c r="H323" s="34" t="s">
        <v>978</v>
      </c>
      <c r="I323" s="34" t="s">
        <v>17</v>
      </c>
      <c r="J323" s="34" t="s">
        <v>13</v>
      </c>
      <c r="K323" s="9"/>
      <c r="L323" s="45">
        <v>97.8</v>
      </c>
      <c r="M323" s="45">
        <v>97.8</v>
      </c>
    </row>
    <row r="324">
      <c r="A324" s="34" t="s">
        <v>70</v>
      </c>
      <c r="B324" s="34" t="s">
        <v>354</v>
      </c>
      <c r="C324" s="34">
        <v>56.0</v>
      </c>
      <c r="D324" s="34" t="s">
        <v>972</v>
      </c>
      <c r="E324" s="34" t="s">
        <v>981</v>
      </c>
      <c r="F324" s="34" t="s">
        <v>982</v>
      </c>
      <c r="G324" s="34">
        <v>56260.0</v>
      </c>
      <c r="H324" s="34" t="s">
        <v>978</v>
      </c>
      <c r="I324" s="34" t="s">
        <v>18</v>
      </c>
      <c r="J324" s="34" t="s">
        <v>15</v>
      </c>
      <c r="K324" s="45">
        <v>116.9</v>
      </c>
      <c r="L324" s="9"/>
      <c r="M324" s="45">
        <v>116.9</v>
      </c>
    </row>
    <row r="325">
      <c r="A325" s="34" t="s">
        <v>70</v>
      </c>
      <c r="B325" s="34" t="s">
        <v>930</v>
      </c>
      <c r="C325" s="34">
        <v>57.0</v>
      </c>
      <c r="D325" s="34" t="s">
        <v>983</v>
      </c>
      <c r="E325" s="34" t="s">
        <v>984</v>
      </c>
      <c r="F325" s="34" t="s">
        <v>985</v>
      </c>
      <c r="G325" s="34">
        <v>57240.0</v>
      </c>
      <c r="H325" s="34" t="s">
        <v>986</v>
      </c>
      <c r="I325" s="34" t="s">
        <v>18</v>
      </c>
      <c r="J325" s="34" t="s">
        <v>13</v>
      </c>
      <c r="K325" s="9"/>
      <c r="L325" s="45">
        <v>70.8</v>
      </c>
      <c r="M325" s="45">
        <v>70.8</v>
      </c>
    </row>
    <row r="326">
      <c r="A326" s="34" t="s">
        <v>70</v>
      </c>
      <c r="B326" s="34" t="s">
        <v>930</v>
      </c>
      <c r="C326" s="34">
        <v>57.0</v>
      </c>
      <c r="D326" s="34" t="s">
        <v>983</v>
      </c>
      <c r="E326" s="34" t="s">
        <v>987</v>
      </c>
      <c r="F326" s="34" t="s">
        <v>988</v>
      </c>
      <c r="G326" s="34">
        <v>57463.0</v>
      </c>
      <c r="H326" s="34" t="s">
        <v>989</v>
      </c>
      <c r="I326" s="34" t="s">
        <v>18</v>
      </c>
      <c r="J326" s="34" t="s">
        <v>15</v>
      </c>
      <c r="K326" s="45">
        <v>93.8</v>
      </c>
      <c r="L326" s="9"/>
      <c r="M326" s="45">
        <v>93.8</v>
      </c>
    </row>
    <row r="327">
      <c r="A327" s="34" t="s">
        <v>70</v>
      </c>
      <c r="B327" s="34" t="s">
        <v>930</v>
      </c>
      <c r="C327" s="34">
        <v>57.0</v>
      </c>
      <c r="D327" s="34" t="s">
        <v>983</v>
      </c>
      <c r="E327" s="34" t="s">
        <v>990</v>
      </c>
      <c r="F327" s="34" t="s">
        <v>991</v>
      </c>
      <c r="G327" s="34">
        <v>57306.0</v>
      </c>
      <c r="H327" s="34" t="s">
        <v>992</v>
      </c>
      <c r="I327" s="34" t="s">
        <v>18</v>
      </c>
      <c r="J327" s="34" t="s">
        <v>13</v>
      </c>
      <c r="K327" s="9"/>
      <c r="L327" s="45">
        <v>75.4</v>
      </c>
      <c r="M327" s="45">
        <v>75.4</v>
      </c>
    </row>
    <row r="328">
      <c r="A328" s="34" t="s">
        <v>70</v>
      </c>
      <c r="B328" s="34" t="s">
        <v>930</v>
      </c>
      <c r="C328" s="34">
        <v>57.0</v>
      </c>
      <c r="D328" s="34" t="s">
        <v>983</v>
      </c>
      <c r="E328" s="34" t="s">
        <v>993</v>
      </c>
      <c r="F328" s="34" t="s">
        <v>994</v>
      </c>
      <c r="G328" s="34">
        <v>57672.0</v>
      </c>
      <c r="H328" s="34" t="s">
        <v>995</v>
      </c>
      <c r="I328" s="34" t="s">
        <v>18</v>
      </c>
      <c r="J328" s="34" t="s">
        <v>15</v>
      </c>
      <c r="K328" s="45">
        <v>115.6</v>
      </c>
      <c r="L328" s="9"/>
      <c r="M328" s="45">
        <v>115.6</v>
      </c>
    </row>
    <row r="329">
      <c r="A329" s="34" t="s">
        <v>70</v>
      </c>
      <c r="B329" s="34" t="s">
        <v>930</v>
      </c>
      <c r="C329" s="34">
        <v>57.0</v>
      </c>
      <c r="D329" s="34" t="s">
        <v>983</v>
      </c>
      <c r="E329" s="34" t="s">
        <v>996</v>
      </c>
      <c r="F329" s="34" t="s">
        <v>997</v>
      </c>
      <c r="G329" s="34">
        <v>57106.0</v>
      </c>
      <c r="H329" s="34" t="s">
        <v>998</v>
      </c>
      <c r="I329" s="34" t="s">
        <v>17</v>
      </c>
      <c r="J329" s="34" t="s">
        <v>13</v>
      </c>
      <c r="K329" s="9"/>
      <c r="L329" s="45">
        <v>85.5</v>
      </c>
      <c r="M329" s="45">
        <v>85.5</v>
      </c>
    </row>
    <row r="330">
      <c r="A330" s="34" t="s">
        <v>70</v>
      </c>
      <c r="B330" s="34" t="s">
        <v>930</v>
      </c>
      <c r="C330" s="34">
        <v>57.0</v>
      </c>
      <c r="D330" s="34" t="s">
        <v>983</v>
      </c>
      <c r="E330" s="34" t="s">
        <v>999</v>
      </c>
      <c r="F330" s="34" t="s">
        <v>1000</v>
      </c>
      <c r="G330" s="34">
        <v>57160.0</v>
      </c>
      <c r="H330" s="34" t="s">
        <v>1001</v>
      </c>
      <c r="I330" s="34" t="s">
        <v>18</v>
      </c>
      <c r="J330" s="34" t="s">
        <v>14</v>
      </c>
      <c r="K330" s="45">
        <v>98.7</v>
      </c>
      <c r="L330" s="45">
        <v>73.6</v>
      </c>
      <c r="M330" s="45">
        <v>93.1</v>
      </c>
    </row>
    <row r="331">
      <c r="A331" s="34" t="s">
        <v>70</v>
      </c>
      <c r="B331" s="34" t="s">
        <v>930</v>
      </c>
      <c r="C331" s="34">
        <v>57.0</v>
      </c>
      <c r="D331" s="34" t="s">
        <v>983</v>
      </c>
      <c r="E331" s="34" t="s">
        <v>1002</v>
      </c>
      <c r="F331" s="34" t="s">
        <v>1003</v>
      </c>
      <c r="G331" s="34">
        <v>57206.0</v>
      </c>
      <c r="H331" s="34" t="s">
        <v>1004</v>
      </c>
      <c r="I331" s="34" t="s">
        <v>18</v>
      </c>
      <c r="J331" s="34" t="s">
        <v>13</v>
      </c>
      <c r="K331" s="9"/>
      <c r="L331" s="45">
        <v>73.5</v>
      </c>
      <c r="M331" s="45">
        <v>73.5</v>
      </c>
    </row>
    <row r="332">
      <c r="A332" s="34" t="s">
        <v>70</v>
      </c>
      <c r="B332" s="34" t="s">
        <v>930</v>
      </c>
      <c r="C332" s="34">
        <v>57.0</v>
      </c>
      <c r="D332" s="34" t="s">
        <v>983</v>
      </c>
      <c r="E332" s="34" t="s">
        <v>1005</v>
      </c>
      <c r="F332" s="34" t="s">
        <v>1006</v>
      </c>
      <c r="G332" s="34">
        <v>57227.0</v>
      </c>
      <c r="H332" s="34" t="s">
        <v>1007</v>
      </c>
      <c r="I332" s="34" t="s">
        <v>17</v>
      </c>
      <c r="J332" s="34" t="s">
        <v>15</v>
      </c>
      <c r="K332" s="45">
        <v>97.3</v>
      </c>
      <c r="L332" s="9"/>
      <c r="M332" s="45">
        <v>97.3</v>
      </c>
    </row>
    <row r="333">
      <c r="A333" s="34" t="s">
        <v>70</v>
      </c>
      <c r="B333" s="34" t="s">
        <v>930</v>
      </c>
      <c r="C333" s="34">
        <v>57.0</v>
      </c>
      <c r="D333" s="34" t="s">
        <v>983</v>
      </c>
      <c r="E333" s="34" t="s">
        <v>1008</v>
      </c>
      <c r="F333" s="34" t="s">
        <v>1009</v>
      </c>
      <c r="G333" s="34">
        <v>57012.0</v>
      </c>
      <c r="H333" s="34" t="s">
        <v>1010</v>
      </c>
      <c r="I333" s="34" t="s">
        <v>17</v>
      </c>
      <c r="J333" s="34" t="s">
        <v>15</v>
      </c>
      <c r="K333" s="45">
        <v>106.6</v>
      </c>
      <c r="L333" s="9"/>
      <c r="M333" s="45">
        <v>106.6</v>
      </c>
    </row>
    <row r="334">
      <c r="A334" s="34" t="s">
        <v>70</v>
      </c>
      <c r="B334" s="34" t="s">
        <v>333</v>
      </c>
      <c r="C334" s="34">
        <v>58.0</v>
      </c>
      <c r="D334" s="34" t="s">
        <v>1011</v>
      </c>
      <c r="E334" s="34" t="s">
        <v>1012</v>
      </c>
      <c r="F334" s="34" t="s">
        <v>1013</v>
      </c>
      <c r="G334" s="34">
        <v>58079.0</v>
      </c>
      <c r="H334" s="34" t="s">
        <v>1014</v>
      </c>
      <c r="I334" s="34" t="s">
        <v>18</v>
      </c>
      <c r="J334" s="34" t="s">
        <v>14</v>
      </c>
      <c r="K334" s="45">
        <v>106.1</v>
      </c>
      <c r="L334" s="45">
        <v>84.6</v>
      </c>
      <c r="M334" s="45">
        <v>102.3</v>
      </c>
    </row>
    <row r="335">
      <c r="A335" s="34" t="s">
        <v>70</v>
      </c>
      <c r="B335" s="34" t="s">
        <v>333</v>
      </c>
      <c r="C335" s="34">
        <v>58.0</v>
      </c>
      <c r="D335" s="34" t="s">
        <v>1011</v>
      </c>
      <c r="E335" s="34" t="s">
        <v>1015</v>
      </c>
      <c r="F335" s="34" t="s">
        <v>1016</v>
      </c>
      <c r="G335" s="34">
        <v>58117.0</v>
      </c>
      <c r="H335" s="34" t="s">
        <v>1017</v>
      </c>
      <c r="I335" s="34" t="s">
        <v>18</v>
      </c>
      <c r="J335" s="34" t="s">
        <v>13</v>
      </c>
      <c r="K335" s="9"/>
      <c r="L335" s="45">
        <v>90.3</v>
      </c>
      <c r="M335" s="45">
        <v>90.3</v>
      </c>
    </row>
    <row r="336">
      <c r="A336" s="34" t="s">
        <v>70</v>
      </c>
      <c r="B336" s="34" t="s">
        <v>333</v>
      </c>
      <c r="C336" s="34">
        <v>58.0</v>
      </c>
      <c r="D336" s="34" t="s">
        <v>1011</v>
      </c>
      <c r="E336" s="34" t="s">
        <v>1018</v>
      </c>
      <c r="F336" s="34" t="s">
        <v>1019</v>
      </c>
      <c r="G336" s="34">
        <v>58304.0</v>
      </c>
      <c r="H336" s="34" t="s">
        <v>1020</v>
      </c>
      <c r="I336" s="34" t="s">
        <v>18</v>
      </c>
      <c r="J336" s="34" t="s">
        <v>13</v>
      </c>
      <c r="K336" s="9"/>
      <c r="L336" s="45">
        <v>100.1</v>
      </c>
      <c r="M336" s="45">
        <v>100.1</v>
      </c>
    </row>
    <row r="337">
      <c r="A337" s="34" t="s">
        <v>70</v>
      </c>
      <c r="B337" s="34" t="s">
        <v>333</v>
      </c>
      <c r="C337" s="34">
        <v>58.0</v>
      </c>
      <c r="D337" s="34" t="s">
        <v>1011</v>
      </c>
      <c r="E337" s="34" t="s">
        <v>1021</v>
      </c>
      <c r="F337" s="34" t="s">
        <v>1022</v>
      </c>
      <c r="G337" s="34">
        <v>58086.0</v>
      </c>
      <c r="H337" s="34" t="s">
        <v>1023</v>
      </c>
      <c r="I337" s="34" t="s">
        <v>17</v>
      </c>
      <c r="J337" s="34" t="s">
        <v>14</v>
      </c>
      <c r="K337" s="45">
        <v>105.5</v>
      </c>
      <c r="L337" s="45">
        <v>86.9</v>
      </c>
      <c r="M337" s="45">
        <v>95.9</v>
      </c>
    </row>
    <row r="338">
      <c r="A338" s="34" t="s">
        <v>70</v>
      </c>
      <c r="B338" s="34" t="s">
        <v>333</v>
      </c>
      <c r="C338" s="34">
        <v>58.0</v>
      </c>
      <c r="D338" s="34" t="s">
        <v>1011</v>
      </c>
      <c r="E338" s="34" t="s">
        <v>1024</v>
      </c>
      <c r="F338" s="34" t="s">
        <v>1025</v>
      </c>
      <c r="G338" s="34">
        <v>58095.0</v>
      </c>
      <c r="H338" s="34" t="s">
        <v>1026</v>
      </c>
      <c r="I338" s="34" t="s">
        <v>18</v>
      </c>
      <c r="J338" s="34" t="s">
        <v>14</v>
      </c>
      <c r="K338" s="45">
        <v>106.3</v>
      </c>
      <c r="L338" s="45">
        <v>76.3</v>
      </c>
      <c r="M338" s="45">
        <v>101.6</v>
      </c>
    </row>
    <row r="339">
      <c r="A339" s="34" t="s">
        <v>70</v>
      </c>
      <c r="B339" s="34" t="s">
        <v>46</v>
      </c>
      <c r="C339" s="34">
        <v>59.0</v>
      </c>
      <c r="D339" s="34" t="s">
        <v>1027</v>
      </c>
      <c r="E339" s="34" t="s">
        <v>1028</v>
      </c>
      <c r="F339" s="34" t="s">
        <v>1029</v>
      </c>
      <c r="G339" s="34">
        <v>59017.0</v>
      </c>
      <c r="H339" s="34" t="s">
        <v>1030</v>
      </c>
      <c r="I339" s="34" t="s">
        <v>18</v>
      </c>
      <c r="J339" s="34" t="s">
        <v>15</v>
      </c>
      <c r="K339" s="45">
        <v>108.5</v>
      </c>
      <c r="L339" s="9"/>
      <c r="M339" s="45">
        <v>108.5</v>
      </c>
    </row>
    <row r="340">
      <c r="A340" s="34" t="s">
        <v>70</v>
      </c>
      <c r="B340" s="34" t="s">
        <v>46</v>
      </c>
      <c r="C340" s="34">
        <v>59.0</v>
      </c>
      <c r="D340" s="34" t="s">
        <v>1027</v>
      </c>
      <c r="E340" s="34" t="s">
        <v>1031</v>
      </c>
      <c r="F340" s="34" t="s">
        <v>1032</v>
      </c>
      <c r="G340" s="34">
        <v>59053.0</v>
      </c>
      <c r="H340" s="34" t="s">
        <v>1033</v>
      </c>
      <c r="I340" s="34" t="s">
        <v>18</v>
      </c>
      <c r="J340" s="34" t="s">
        <v>15</v>
      </c>
      <c r="K340" s="45">
        <v>116.0</v>
      </c>
      <c r="L340" s="9"/>
      <c r="M340" s="45">
        <v>116.0</v>
      </c>
    </row>
    <row r="341">
      <c r="A341" s="34" t="s">
        <v>70</v>
      </c>
      <c r="B341" s="34" t="s">
        <v>46</v>
      </c>
      <c r="C341" s="34">
        <v>59.0</v>
      </c>
      <c r="D341" s="34" t="s">
        <v>1027</v>
      </c>
      <c r="E341" s="34" t="s">
        <v>1034</v>
      </c>
      <c r="F341" s="34" t="s">
        <v>1035</v>
      </c>
      <c r="G341" s="34">
        <v>59122.0</v>
      </c>
      <c r="H341" s="34" t="s">
        <v>1036</v>
      </c>
      <c r="I341" s="34" t="s">
        <v>18</v>
      </c>
      <c r="J341" s="34" t="s">
        <v>13</v>
      </c>
      <c r="K341" s="9"/>
      <c r="L341" s="45">
        <v>75.5</v>
      </c>
      <c r="M341" s="45">
        <v>75.5</v>
      </c>
    </row>
    <row r="342">
      <c r="A342" s="34" t="s">
        <v>70</v>
      </c>
      <c r="B342" s="34" t="s">
        <v>46</v>
      </c>
      <c r="C342" s="34">
        <v>59.0</v>
      </c>
      <c r="D342" s="34" t="s">
        <v>1027</v>
      </c>
      <c r="E342" s="34" t="s">
        <v>1037</v>
      </c>
      <c r="F342" s="34" t="s">
        <v>1038</v>
      </c>
      <c r="G342" s="34">
        <v>59183.0</v>
      </c>
      <c r="H342" s="34" t="s">
        <v>1039</v>
      </c>
      <c r="I342" s="34" t="s">
        <v>18</v>
      </c>
      <c r="J342" s="34" t="s">
        <v>14</v>
      </c>
      <c r="K342" s="45">
        <v>91.8</v>
      </c>
      <c r="L342" s="45">
        <v>82.0</v>
      </c>
      <c r="M342" s="45">
        <v>91.8</v>
      </c>
    </row>
    <row r="343">
      <c r="A343" s="34" t="s">
        <v>70</v>
      </c>
      <c r="B343" s="34" t="s">
        <v>46</v>
      </c>
      <c r="C343" s="34">
        <v>59.0</v>
      </c>
      <c r="D343" s="34" t="s">
        <v>1027</v>
      </c>
      <c r="E343" s="34" t="s">
        <v>1040</v>
      </c>
      <c r="F343" s="34" t="s">
        <v>1041</v>
      </c>
      <c r="G343" s="34">
        <v>59249.0</v>
      </c>
      <c r="H343" s="34" t="s">
        <v>1042</v>
      </c>
      <c r="I343" s="34" t="s">
        <v>18</v>
      </c>
      <c r="J343" s="34" t="s">
        <v>14</v>
      </c>
      <c r="K343" s="45">
        <v>94.6</v>
      </c>
      <c r="L343" s="45">
        <v>72.2</v>
      </c>
      <c r="M343" s="45">
        <v>86.1</v>
      </c>
    </row>
    <row r="344">
      <c r="A344" s="34" t="s">
        <v>70</v>
      </c>
      <c r="B344" s="34" t="s">
        <v>46</v>
      </c>
      <c r="C344" s="34">
        <v>59.0</v>
      </c>
      <c r="D344" s="34" t="s">
        <v>1027</v>
      </c>
      <c r="E344" s="34" t="s">
        <v>1043</v>
      </c>
      <c r="F344" s="34" t="s">
        <v>1044</v>
      </c>
      <c r="G344" s="34">
        <v>59266.0</v>
      </c>
      <c r="H344" s="34" t="s">
        <v>1045</v>
      </c>
      <c r="I344" s="34" t="s">
        <v>18</v>
      </c>
      <c r="J344" s="34" t="s">
        <v>15</v>
      </c>
      <c r="K344" s="45">
        <v>125.9</v>
      </c>
      <c r="L344" s="9"/>
      <c r="M344" s="45">
        <v>125.9</v>
      </c>
    </row>
    <row r="345">
      <c r="A345" s="34" t="s">
        <v>70</v>
      </c>
      <c r="B345" s="34" t="s">
        <v>46</v>
      </c>
      <c r="C345" s="34">
        <v>59.0</v>
      </c>
      <c r="D345" s="34" t="s">
        <v>1027</v>
      </c>
      <c r="E345" s="34" t="s">
        <v>1046</v>
      </c>
      <c r="F345" s="34" t="s">
        <v>1047</v>
      </c>
      <c r="G345" s="34">
        <v>59350.0</v>
      </c>
      <c r="H345" s="34" t="s">
        <v>46</v>
      </c>
      <c r="I345" s="34" t="s">
        <v>18</v>
      </c>
      <c r="J345" s="34" t="s">
        <v>15</v>
      </c>
      <c r="K345" s="45">
        <v>96.1</v>
      </c>
      <c r="L345" s="9"/>
      <c r="M345" s="45">
        <v>96.1</v>
      </c>
    </row>
    <row r="346">
      <c r="A346" s="34" t="s">
        <v>70</v>
      </c>
      <c r="B346" s="34" t="s">
        <v>46</v>
      </c>
      <c r="C346" s="34">
        <v>59.0</v>
      </c>
      <c r="D346" s="34" t="s">
        <v>1027</v>
      </c>
      <c r="E346" s="34" t="s">
        <v>1048</v>
      </c>
      <c r="F346" s="34" t="s">
        <v>1049</v>
      </c>
      <c r="G346" s="34">
        <v>59360.0</v>
      </c>
      <c r="H346" s="34" t="s">
        <v>1050</v>
      </c>
      <c r="I346" s="34" t="s">
        <v>18</v>
      </c>
      <c r="J346" s="34" t="s">
        <v>13</v>
      </c>
      <c r="K346" s="9"/>
      <c r="L346" s="45">
        <v>69.4</v>
      </c>
      <c r="M346" s="45">
        <v>69.4</v>
      </c>
    </row>
    <row r="347">
      <c r="A347" s="34" t="s">
        <v>70</v>
      </c>
      <c r="B347" s="34" t="s">
        <v>46</v>
      </c>
      <c r="C347" s="34">
        <v>59.0</v>
      </c>
      <c r="D347" s="34" t="s">
        <v>1027</v>
      </c>
      <c r="E347" s="34" t="s">
        <v>1051</v>
      </c>
      <c r="F347" s="34" t="s">
        <v>1052</v>
      </c>
      <c r="G347" s="34">
        <v>59392.0</v>
      </c>
      <c r="H347" s="34" t="s">
        <v>1053</v>
      </c>
      <c r="I347" s="34" t="s">
        <v>18</v>
      </c>
      <c r="J347" s="34" t="s">
        <v>14</v>
      </c>
      <c r="K347" s="45">
        <v>93.2</v>
      </c>
      <c r="L347" s="45">
        <v>74.3</v>
      </c>
      <c r="M347" s="45">
        <v>91.8</v>
      </c>
    </row>
    <row r="348">
      <c r="A348" s="34" t="s">
        <v>70</v>
      </c>
      <c r="B348" s="34" t="s">
        <v>46</v>
      </c>
      <c r="C348" s="34">
        <v>59.0</v>
      </c>
      <c r="D348" s="34" t="s">
        <v>1027</v>
      </c>
      <c r="E348" s="34" t="s">
        <v>1054</v>
      </c>
      <c r="F348" s="34" t="s">
        <v>1055</v>
      </c>
      <c r="G348" s="34">
        <v>59481.0</v>
      </c>
      <c r="H348" s="34" t="s">
        <v>1056</v>
      </c>
      <c r="I348" s="34" t="s">
        <v>18</v>
      </c>
      <c r="J348" s="34" t="s">
        <v>14</v>
      </c>
      <c r="K348" s="45">
        <v>118.7</v>
      </c>
      <c r="L348" s="45">
        <v>79.5</v>
      </c>
      <c r="M348" s="45">
        <v>112.5</v>
      </c>
    </row>
    <row r="349">
      <c r="A349" s="34" t="s">
        <v>70</v>
      </c>
      <c r="B349" s="34" t="s">
        <v>46</v>
      </c>
      <c r="C349" s="34">
        <v>59.0</v>
      </c>
      <c r="D349" s="34" t="s">
        <v>1027</v>
      </c>
      <c r="E349" s="34" t="s">
        <v>1057</v>
      </c>
      <c r="F349" s="34" t="s">
        <v>1058</v>
      </c>
      <c r="G349" s="34">
        <v>59512.0</v>
      </c>
      <c r="H349" s="34" t="s">
        <v>1059</v>
      </c>
      <c r="I349" s="34" t="s">
        <v>18</v>
      </c>
      <c r="J349" s="34" t="s">
        <v>13</v>
      </c>
      <c r="K349" s="9"/>
      <c r="L349" s="45">
        <v>63.4</v>
      </c>
      <c r="M349" s="45">
        <v>63.4</v>
      </c>
    </row>
    <row r="350">
      <c r="A350" s="34" t="s">
        <v>70</v>
      </c>
      <c r="B350" s="34" t="s">
        <v>46</v>
      </c>
      <c r="C350" s="34">
        <v>59.0</v>
      </c>
      <c r="D350" s="34" t="s">
        <v>1027</v>
      </c>
      <c r="E350" s="34" t="s">
        <v>1060</v>
      </c>
      <c r="F350" s="34" t="s">
        <v>1061</v>
      </c>
      <c r="G350" s="34">
        <v>59512.0</v>
      </c>
      <c r="H350" s="34" t="s">
        <v>1059</v>
      </c>
      <c r="I350" s="34" t="s">
        <v>18</v>
      </c>
      <c r="J350" s="34" t="s">
        <v>13</v>
      </c>
      <c r="K350" s="9"/>
      <c r="L350" s="45">
        <v>63.8</v>
      </c>
      <c r="M350" s="45">
        <v>63.8</v>
      </c>
    </row>
    <row r="351">
      <c r="A351" s="34" t="s">
        <v>70</v>
      </c>
      <c r="B351" s="34" t="s">
        <v>46</v>
      </c>
      <c r="C351" s="34">
        <v>59.0</v>
      </c>
      <c r="D351" s="34" t="s">
        <v>1027</v>
      </c>
      <c r="E351" s="34" t="s">
        <v>1062</v>
      </c>
      <c r="F351" s="34" t="s">
        <v>1063</v>
      </c>
      <c r="G351" s="34">
        <v>59526.0</v>
      </c>
      <c r="H351" s="34" t="s">
        <v>1064</v>
      </c>
      <c r="I351" s="34" t="s">
        <v>18</v>
      </c>
      <c r="J351" s="34" t="s">
        <v>14</v>
      </c>
      <c r="K351" s="45">
        <v>111.2</v>
      </c>
      <c r="L351" s="45">
        <v>78.7</v>
      </c>
      <c r="M351" s="45">
        <v>105.3</v>
      </c>
    </row>
    <row r="352">
      <c r="A352" s="34" t="s">
        <v>70</v>
      </c>
      <c r="B352" s="34" t="s">
        <v>46</v>
      </c>
      <c r="C352" s="34">
        <v>59.0</v>
      </c>
      <c r="D352" s="34" t="s">
        <v>1027</v>
      </c>
      <c r="E352" s="34" t="s">
        <v>1065</v>
      </c>
      <c r="F352" s="34" t="s">
        <v>1066</v>
      </c>
      <c r="G352" s="34">
        <v>59599.0</v>
      </c>
      <c r="H352" s="34" t="s">
        <v>1067</v>
      </c>
      <c r="I352" s="34" t="s">
        <v>18</v>
      </c>
      <c r="J352" s="34" t="s">
        <v>15</v>
      </c>
      <c r="K352" s="45">
        <v>98.3</v>
      </c>
      <c r="L352" s="9"/>
      <c r="M352" s="45">
        <v>98.3</v>
      </c>
    </row>
    <row r="353">
      <c r="A353" s="34" t="s">
        <v>70</v>
      </c>
      <c r="B353" s="34" t="s">
        <v>46</v>
      </c>
      <c r="C353" s="34">
        <v>59.0</v>
      </c>
      <c r="D353" s="34" t="s">
        <v>1027</v>
      </c>
      <c r="E353" s="34" t="s">
        <v>1068</v>
      </c>
      <c r="F353" s="34" t="s">
        <v>1069</v>
      </c>
      <c r="G353" s="34">
        <v>59599.0</v>
      </c>
      <c r="H353" s="34" t="s">
        <v>1067</v>
      </c>
      <c r="I353" s="34" t="s">
        <v>18</v>
      </c>
      <c r="J353" s="34" t="s">
        <v>15</v>
      </c>
      <c r="K353" s="45">
        <v>75.1</v>
      </c>
      <c r="L353" s="9"/>
      <c r="M353" s="45">
        <v>75.1</v>
      </c>
    </row>
    <row r="354">
      <c r="A354" s="34" t="s">
        <v>70</v>
      </c>
      <c r="B354" s="34" t="s">
        <v>46</v>
      </c>
      <c r="C354" s="34">
        <v>59.0</v>
      </c>
      <c r="D354" s="34" t="s">
        <v>1027</v>
      </c>
      <c r="E354" s="34" t="s">
        <v>1070</v>
      </c>
      <c r="F354" s="34" t="s">
        <v>1071</v>
      </c>
      <c r="G354" s="34">
        <v>59606.0</v>
      </c>
      <c r="H354" s="34" t="s">
        <v>1072</v>
      </c>
      <c r="I354" s="34" t="s">
        <v>18</v>
      </c>
      <c r="J354" s="34" t="s">
        <v>15</v>
      </c>
      <c r="K354" s="45">
        <v>104.9</v>
      </c>
      <c r="L354" s="9"/>
      <c r="M354" s="45">
        <v>104.9</v>
      </c>
    </row>
    <row r="355">
      <c r="A355" s="34" t="s">
        <v>70</v>
      </c>
      <c r="B355" s="34" t="s">
        <v>46</v>
      </c>
      <c r="C355" s="34">
        <v>59.0</v>
      </c>
      <c r="D355" s="34" t="s">
        <v>1027</v>
      </c>
      <c r="E355" s="34" t="s">
        <v>1073</v>
      </c>
      <c r="F355" s="34" t="s">
        <v>1074</v>
      </c>
      <c r="G355" s="34">
        <v>59646.0</v>
      </c>
      <c r="H355" s="34" t="s">
        <v>1075</v>
      </c>
      <c r="I355" s="34" t="s">
        <v>18</v>
      </c>
      <c r="J355" s="34" t="s">
        <v>13</v>
      </c>
      <c r="K355" s="9"/>
      <c r="L355" s="45">
        <v>68.9</v>
      </c>
      <c r="M355" s="45">
        <v>68.9</v>
      </c>
    </row>
    <row r="356">
      <c r="A356" s="34" t="s">
        <v>70</v>
      </c>
      <c r="B356" s="34" t="s">
        <v>46</v>
      </c>
      <c r="C356" s="34">
        <v>59.0</v>
      </c>
      <c r="D356" s="34" t="s">
        <v>1027</v>
      </c>
      <c r="E356" s="34" t="s">
        <v>1076</v>
      </c>
      <c r="F356" s="34" t="s">
        <v>1077</v>
      </c>
      <c r="G356" s="34">
        <v>59172.0</v>
      </c>
      <c r="H356" s="34" t="s">
        <v>1078</v>
      </c>
      <c r="I356" s="34" t="s">
        <v>18</v>
      </c>
      <c r="J356" s="34" t="s">
        <v>13</v>
      </c>
      <c r="K356" s="9"/>
      <c r="L356" s="45">
        <v>70.2</v>
      </c>
      <c r="M356" s="45">
        <v>70.2</v>
      </c>
    </row>
    <row r="357">
      <c r="A357" s="34" t="s">
        <v>70</v>
      </c>
      <c r="B357" s="34" t="s">
        <v>46</v>
      </c>
      <c r="C357" s="34">
        <v>59.0</v>
      </c>
      <c r="D357" s="34" t="s">
        <v>1027</v>
      </c>
      <c r="E357" s="34" t="s">
        <v>1079</v>
      </c>
      <c r="F357" s="34" t="s">
        <v>1080</v>
      </c>
      <c r="G357" s="34">
        <v>59008.0</v>
      </c>
      <c r="H357" s="34" t="s">
        <v>1081</v>
      </c>
      <c r="I357" s="34" t="s">
        <v>18</v>
      </c>
      <c r="J357" s="34" t="s">
        <v>13</v>
      </c>
      <c r="K357" s="9"/>
      <c r="L357" s="45">
        <v>74.1</v>
      </c>
      <c r="M357" s="45">
        <v>74.1</v>
      </c>
    </row>
    <row r="358">
      <c r="A358" s="34" t="s">
        <v>70</v>
      </c>
      <c r="B358" s="34" t="s">
        <v>46</v>
      </c>
      <c r="C358" s="34">
        <v>59.0</v>
      </c>
      <c r="D358" s="34" t="s">
        <v>1027</v>
      </c>
      <c r="E358" s="34" t="s">
        <v>1082</v>
      </c>
      <c r="F358" s="34" t="s">
        <v>1083</v>
      </c>
      <c r="G358" s="34">
        <v>59526.0</v>
      </c>
      <c r="H358" s="34" t="s">
        <v>1064</v>
      </c>
      <c r="I358" s="34" t="s">
        <v>17</v>
      </c>
      <c r="J358" s="34" t="s">
        <v>15</v>
      </c>
      <c r="K358" s="45">
        <v>129.0</v>
      </c>
      <c r="L358" s="9"/>
      <c r="M358" s="45">
        <v>129.0</v>
      </c>
    </row>
    <row r="359">
      <c r="A359" s="34" t="s">
        <v>70</v>
      </c>
      <c r="B359" s="34" t="s">
        <v>46</v>
      </c>
      <c r="C359" s="34">
        <v>59.0</v>
      </c>
      <c r="D359" s="34" t="s">
        <v>1027</v>
      </c>
      <c r="E359" s="34" t="s">
        <v>1084</v>
      </c>
      <c r="F359" s="34" t="s">
        <v>1085</v>
      </c>
      <c r="G359" s="34">
        <v>59392.0</v>
      </c>
      <c r="H359" s="34" t="s">
        <v>1053</v>
      </c>
      <c r="I359" s="34" t="s">
        <v>17</v>
      </c>
      <c r="J359" s="34" t="s">
        <v>15</v>
      </c>
      <c r="K359" s="45">
        <v>107.4</v>
      </c>
      <c r="L359" s="9"/>
      <c r="M359" s="45">
        <v>107.4</v>
      </c>
    </row>
    <row r="360">
      <c r="A360" s="34" t="s">
        <v>70</v>
      </c>
      <c r="B360" s="34" t="s">
        <v>46</v>
      </c>
      <c r="C360" s="34">
        <v>59.0</v>
      </c>
      <c r="D360" s="34" t="s">
        <v>1027</v>
      </c>
      <c r="E360" s="34" t="s">
        <v>1086</v>
      </c>
      <c r="F360" s="34" t="s">
        <v>1087</v>
      </c>
      <c r="G360" s="34">
        <v>59350.0</v>
      </c>
      <c r="H360" s="34" t="s">
        <v>46</v>
      </c>
      <c r="I360" s="34" t="s">
        <v>17</v>
      </c>
      <c r="J360" s="34" t="s">
        <v>15</v>
      </c>
      <c r="K360" s="45">
        <v>144.5</v>
      </c>
      <c r="L360" s="9"/>
      <c r="M360" s="45">
        <v>144.5</v>
      </c>
    </row>
    <row r="361">
      <c r="A361" s="34" t="s">
        <v>70</v>
      </c>
      <c r="B361" s="34" t="s">
        <v>46</v>
      </c>
      <c r="C361" s="34">
        <v>59.0</v>
      </c>
      <c r="D361" s="34" t="s">
        <v>1027</v>
      </c>
      <c r="E361" s="34" t="s">
        <v>1088</v>
      </c>
      <c r="F361" s="34" t="s">
        <v>1089</v>
      </c>
      <c r="G361" s="34">
        <v>59056.0</v>
      </c>
      <c r="H361" s="34" t="s">
        <v>1090</v>
      </c>
      <c r="I361" s="34" t="s">
        <v>17</v>
      </c>
      <c r="J361" s="34" t="s">
        <v>15</v>
      </c>
      <c r="K361" s="45">
        <v>140.4</v>
      </c>
      <c r="L361" s="9"/>
      <c r="M361" s="45">
        <v>140.4</v>
      </c>
    </row>
    <row r="362">
      <c r="A362" s="34" t="s">
        <v>70</v>
      </c>
      <c r="B362" s="34" t="s">
        <v>46</v>
      </c>
      <c r="C362" s="34">
        <v>59.0</v>
      </c>
      <c r="D362" s="34" t="s">
        <v>1027</v>
      </c>
      <c r="E362" s="34" t="s">
        <v>1091</v>
      </c>
      <c r="F362" s="34" t="s">
        <v>607</v>
      </c>
      <c r="G362" s="34">
        <v>59178.0</v>
      </c>
      <c r="H362" s="34" t="s">
        <v>1092</v>
      </c>
      <c r="I362" s="34" t="s">
        <v>17</v>
      </c>
      <c r="J362" s="34" t="s">
        <v>15</v>
      </c>
      <c r="K362" s="45">
        <v>128.9</v>
      </c>
      <c r="L362" s="9"/>
      <c r="M362" s="45">
        <v>128.9</v>
      </c>
    </row>
    <row r="363">
      <c r="A363" s="34" t="s">
        <v>70</v>
      </c>
      <c r="B363" s="34" t="s">
        <v>46</v>
      </c>
      <c r="C363" s="34">
        <v>59.0</v>
      </c>
      <c r="D363" s="34" t="s">
        <v>1027</v>
      </c>
      <c r="E363" s="34" t="s">
        <v>1093</v>
      </c>
      <c r="F363" s="34" t="s">
        <v>1094</v>
      </c>
      <c r="G363" s="34">
        <v>59599.0</v>
      </c>
      <c r="H363" s="34" t="s">
        <v>1067</v>
      </c>
      <c r="I363" s="34" t="s">
        <v>17</v>
      </c>
      <c r="J363" s="34" t="s">
        <v>14</v>
      </c>
      <c r="K363" s="45">
        <v>106.2</v>
      </c>
      <c r="L363" s="45">
        <v>90.6</v>
      </c>
      <c r="M363" s="45">
        <v>101.5</v>
      </c>
    </row>
    <row r="364">
      <c r="A364" s="34" t="s">
        <v>70</v>
      </c>
      <c r="B364" s="34" t="s">
        <v>46</v>
      </c>
      <c r="C364" s="34">
        <v>59.0</v>
      </c>
      <c r="D364" s="34" t="s">
        <v>1027</v>
      </c>
      <c r="E364" s="34" t="s">
        <v>1095</v>
      </c>
      <c r="F364" s="34" t="s">
        <v>1096</v>
      </c>
      <c r="G364" s="34">
        <v>59512.0</v>
      </c>
      <c r="H364" s="34" t="s">
        <v>1059</v>
      </c>
      <c r="I364" s="34" t="s">
        <v>17</v>
      </c>
      <c r="J364" s="34" t="s">
        <v>13</v>
      </c>
      <c r="K364" s="9"/>
      <c r="L364" s="45">
        <v>83.1</v>
      </c>
      <c r="M364" s="45">
        <v>83.1</v>
      </c>
    </row>
    <row r="365">
      <c r="A365" s="34" t="s">
        <v>70</v>
      </c>
      <c r="B365" s="34" t="s">
        <v>46</v>
      </c>
      <c r="C365" s="34">
        <v>59.0</v>
      </c>
      <c r="D365" s="34" t="s">
        <v>1027</v>
      </c>
      <c r="E365" s="34" t="s">
        <v>1097</v>
      </c>
      <c r="F365" s="34" t="s">
        <v>1098</v>
      </c>
      <c r="G365" s="34">
        <v>59328.0</v>
      </c>
      <c r="H365" s="34" t="s">
        <v>1099</v>
      </c>
      <c r="I365" s="34" t="s">
        <v>17</v>
      </c>
      <c r="J365" s="34" t="s">
        <v>13</v>
      </c>
      <c r="K365" s="9"/>
      <c r="L365" s="45">
        <v>82.8</v>
      </c>
      <c r="M365" s="45">
        <v>82.8</v>
      </c>
    </row>
    <row r="366">
      <c r="A366" s="34" t="s">
        <v>70</v>
      </c>
      <c r="B366" s="34" t="s">
        <v>46</v>
      </c>
      <c r="C366" s="34">
        <v>59.0</v>
      </c>
      <c r="D366" s="34" t="s">
        <v>1027</v>
      </c>
      <c r="E366" s="34" t="s">
        <v>1100</v>
      </c>
      <c r="F366" s="34" t="s">
        <v>1101</v>
      </c>
      <c r="G366" s="34">
        <v>59449.0</v>
      </c>
      <c r="H366" s="34" t="s">
        <v>1102</v>
      </c>
      <c r="I366" s="34" t="s">
        <v>17</v>
      </c>
      <c r="J366" s="34" t="s">
        <v>14</v>
      </c>
      <c r="K366" s="45">
        <v>129.2</v>
      </c>
      <c r="L366" s="45">
        <v>114.9</v>
      </c>
      <c r="M366" s="45">
        <v>121.8</v>
      </c>
    </row>
    <row r="367">
      <c r="A367" s="34" t="s">
        <v>70</v>
      </c>
      <c r="B367" s="34" t="s">
        <v>46</v>
      </c>
      <c r="C367" s="34">
        <v>59.0</v>
      </c>
      <c r="D367" s="34" t="s">
        <v>1027</v>
      </c>
      <c r="E367" s="34" t="s">
        <v>1103</v>
      </c>
      <c r="F367" s="34" t="s">
        <v>1104</v>
      </c>
      <c r="G367" s="34">
        <v>59295.0</v>
      </c>
      <c r="H367" s="34" t="s">
        <v>1105</v>
      </c>
      <c r="I367" s="34" t="s">
        <v>17</v>
      </c>
      <c r="J367" s="34" t="s">
        <v>15</v>
      </c>
      <c r="K367" s="45">
        <v>125.7</v>
      </c>
      <c r="L367" s="9"/>
      <c r="M367" s="45">
        <v>125.7</v>
      </c>
    </row>
    <row r="368">
      <c r="A368" s="34" t="s">
        <v>70</v>
      </c>
      <c r="B368" s="34" t="s">
        <v>46</v>
      </c>
      <c r="C368" s="34">
        <v>59.0</v>
      </c>
      <c r="D368" s="34" t="s">
        <v>1027</v>
      </c>
      <c r="E368" s="34" t="s">
        <v>1106</v>
      </c>
      <c r="F368" s="34" t="s">
        <v>1107</v>
      </c>
      <c r="G368" s="34">
        <v>59183.0</v>
      </c>
      <c r="H368" s="34" t="s">
        <v>1039</v>
      </c>
      <c r="I368" s="34" t="s">
        <v>17</v>
      </c>
      <c r="J368" s="34" t="s">
        <v>15</v>
      </c>
      <c r="K368" s="45">
        <v>111.7</v>
      </c>
      <c r="L368" s="9"/>
      <c r="M368" s="45">
        <v>111.7</v>
      </c>
    </row>
    <row r="369">
      <c r="A369" s="34" t="s">
        <v>70</v>
      </c>
      <c r="B369" s="34" t="s">
        <v>46</v>
      </c>
      <c r="C369" s="34">
        <v>59.0</v>
      </c>
      <c r="D369" s="34" t="s">
        <v>1027</v>
      </c>
      <c r="E369" s="34" t="s">
        <v>1108</v>
      </c>
      <c r="F369" s="34" t="s">
        <v>1109</v>
      </c>
      <c r="G369" s="34">
        <v>59009.0</v>
      </c>
      <c r="H369" s="34" t="s">
        <v>1110</v>
      </c>
      <c r="I369" s="34" t="s">
        <v>18</v>
      </c>
      <c r="J369" s="34" t="s">
        <v>15</v>
      </c>
      <c r="K369" s="45">
        <v>106.4</v>
      </c>
      <c r="L369" s="9"/>
      <c r="M369" s="45">
        <v>106.4</v>
      </c>
    </row>
    <row r="370">
      <c r="A370" s="34" t="s">
        <v>70</v>
      </c>
      <c r="B370" s="34" t="s">
        <v>46</v>
      </c>
      <c r="C370" s="34">
        <v>59.0</v>
      </c>
      <c r="D370" s="34" t="s">
        <v>1027</v>
      </c>
      <c r="E370" s="34" t="s">
        <v>1111</v>
      </c>
      <c r="F370" s="34" t="s">
        <v>1112</v>
      </c>
      <c r="G370" s="34">
        <v>59271.0</v>
      </c>
      <c r="H370" s="34" t="s">
        <v>1113</v>
      </c>
      <c r="I370" s="34" t="s">
        <v>18</v>
      </c>
      <c r="J370" s="34" t="s">
        <v>15</v>
      </c>
      <c r="K370" s="45">
        <v>93.0</v>
      </c>
      <c r="L370" s="9"/>
      <c r="M370" s="45">
        <v>93.0</v>
      </c>
    </row>
    <row r="371">
      <c r="A371" s="34" t="s">
        <v>70</v>
      </c>
      <c r="B371" s="34" t="s">
        <v>46</v>
      </c>
      <c r="C371" s="34">
        <v>59.0</v>
      </c>
      <c r="D371" s="34" t="s">
        <v>1027</v>
      </c>
      <c r="E371" s="34" t="s">
        <v>1114</v>
      </c>
      <c r="F371" s="34" t="s">
        <v>1115</v>
      </c>
      <c r="G371" s="34">
        <v>59360.0</v>
      </c>
      <c r="H371" s="34" t="s">
        <v>1050</v>
      </c>
      <c r="I371" s="34" t="s">
        <v>17</v>
      </c>
      <c r="J371" s="34" t="s">
        <v>14</v>
      </c>
      <c r="K371" s="45">
        <v>109.9</v>
      </c>
      <c r="L371" s="45">
        <v>93.2</v>
      </c>
      <c r="M371" s="45">
        <v>107.7</v>
      </c>
    </row>
    <row r="372">
      <c r="A372" s="34" t="s">
        <v>70</v>
      </c>
      <c r="B372" s="34" t="s">
        <v>46</v>
      </c>
      <c r="C372" s="34">
        <v>59.0</v>
      </c>
      <c r="D372" s="34" t="s">
        <v>1027</v>
      </c>
      <c r="E372" s="34" t="s">
        <v>1116</v>
      </c>
      <c r="F372" s="34" t="s">
        <v>1117</v>
      </c>
      <c r="G372" s="34">
        <v>59663.0</v>
      </c>
      <c r="H372" s="34" t="s">
        <v>1118</v>
      </c>
      <c r="I372" s="34" t="s">
        <v>18</v>
      </c>
      <c r="J372" s="34" t="s">
        <v>13</v>
      </c>
      <c r="K372" s="9"/>
      <c r="L372" s="45">
        <v>73.3</v>
      </c>
      <c r="M372" s="45">
        <v>73.3</v>
      </c>
    </row>
    <row r="373">
      <c r="A373" s="34" t="s">
        <v>70</v>
      </c>
      <c r="B373" s="34" t="s">
        <v>46</v>
      </c>
      <c r="C373" s="34">
        <v>59.0</v>
      </c>
      <c r="D373" s="34" t="s">
        <v>1027</v>
      </c>
      <c r="E373" s="34" t="s">
        <v>1119</v>
      </c>
      <c r="F373" s="34" t="s">
        <v>1120</v>
      </c>
      <c r="G373" s="34">
        <v>59350.0</v>
      </c>
      <c r="H373" s="34" t="s">
        <v>46</v>
      </c>
      <c r="I373" s="34" t="s">
        <v>18</v>
      </c>
      <c r="J373" s="34" t="s">
        <v>15</v>
      </c>
      <c r="K373" s="45">
        <v>103.6</v>
      </c>
      <c r="L373" s="9"/>
      <c r="M373" s="45">
        <v>103.6</v>
      </c>
    </row>
    <row r="374">
      <c r="A374" s="34" t="s">
        <v>70</v>
      </c>
      <c r="B374" s="34" t="s">
        <v>46</v>
      </c>
      <c r="C374" s="34">
        <v>59.0</v>
      </c>
      <c r="D374" s="34" t="s">
        <v>1027</v>
      </c>
      <c r="E374" s="34" t="s">
        <v>1121</v>
      </c>
      <c r="F374" s="34" t="s">
        <v>1122</v>
      </c>
      <c r="G374" s="34">
        <v>59258.0</v>
      </c>
      <c r="H374" s="34" t="s">
        <v>1123</v>
      </c>
      <c r="I374" s="34" t="s">
        <v>17</v>
      </c>
      <c r="J374" s="34" t="s">
        <v>15</v>
      </c>
      <c r="K374" s="45">
        <v>129.5</v>
      </c>
      <c r="L374" s="9"/>
      <c r="M374" s="45">
        <v>129.5</v>
      </c>
    </row>
    <row r="375">
      <c r="A375" s="34" t="s">
        <v>70</v>
      </c>
      <c r="B375" s="34" t="s">
        <v>46</v>
      </c>
      <c r="C375" s="34">
        <v>59.0</v>
      </c>
      <c r="D375" s="34" t="s">
        <v>1027</v>
      </c>
      <c r="E375" s="34" t="s">
        <v>1124</v>
      </c>
      <c r="F375" s="34" t="s">
        <v>1125</v>
      </c>
      <c r="G375" s="34">
        <v>59212.0</v>
      </c>
      <c r="H375" s="34" t="s">
        <v>1126</v>
      </c>
      <c r="I375" s="34" t="s">
        <v>18</v>
      </c>
      <c r="J375" s="34" t="s">
        <v>14</v>
      </c>
      <c r="K375" s="45">
        <v>105.7</v>
      </c>
      <c r="L375" s="45">
        <v>84.0</v>
      </c>
      <c r="M375" s="45">
        <v>100.3</v>
      </c>
    </row>
    <row r="376">
      <c r="A376" s="34" t="s">
        <v>70</v>
      </c>
      <c r="B376" s="34" t="s">
        <v>88</v>
      </c>
      <c r="C376" s="34">
        <v>60.0</v>
      </c>
      <c r="D376" s="34" t="s">
        <v>1127</v>
      </c>
      <c r="E376" s="34" t="s">
        <v>1128</v>
      </c>
      <c r="F376" s="34" t="s">
        <v>1129</v>
      </c>
      <c r="G376" s="34">
        <v>60057.0</v>
      </c>
      <c r="H376" s="34" t="s">
        <v>1130</v>
      </c>
      <c r="I376" s="34" t="s">
        <v>18</v>
      </c>
      <c r="J376" s="34" t="s">
        <v>15</v>
      </c>
      <c r="K376" s="45">
        <v>114.2</v>
      </c>
      <c r="L376" s="9"/>
      <c r="M376" s="45">
        <v>114.2</v>
      </c>
    </row>
    <row r="377">
      <c r="A377" s="34" t="s">
        <v>70</v>
      </c>
      <c r="B377" s="34" t="s">
        <v>88</v>
      </c>
      <c r="C377" s="34">
        <v>60.0</v>
      </c>
      <c r="D377" s="34" t="s">
        <v>1127</v>
      </c>
      <c r="E377" s="34" t="s">
        <v>1131</v>
      </c>
      <c r="F377" s="34" t="s">
        <v>1132</v>
      </c>
      <c r="G377" s="34">
        <v>60141.0</v>
      </c>
      <c r="H377" s="34" t="s">
        <v>1133</v>
      </c>
      <c r="I377" s="34" t="s">
        <v>18</v>
      </c>
      <c r="J377" s="34" t="s">
        <v>15</v>
      </c>
      <c r="K377" s="45">
        <v>129.2</v>
      </c>
      <c r="L377" s="9"/>
      <c r="M377" s="45">
        <v>129.2</v>
      </c>
    </row>
    <row r="378">
      <c r="A378" s="34" t="s">
        <v>70</v>
      </c>
      <c r="B378" s="34" t="s">
        <v>88</v>
      </c>
      <c r="C378" s="34">
        <v>60.0</v>
      </c>
      <c r="D378" s="34" t="s">
        <v>1127</v>
      </c>
      <c r="E378" s="34" t="s">
        <v>1134</v>
      </c>
      <c r="F378" s="34" t="s">
        <v>1135</v>
      </c>
      <c r="G378" s="34">
        <v>60159.0</v>
      </c>
      <c r="H378" s="34" t="s">
        <v>1136</v>
      </c>
      <c r="I378" s="34" t="s">
        <v>18</v>
      </c>
      <c r="J378" s="34" t="s">
        <v>15</v>
      </c>
      <c r="K378" s="45">
        <v>120.8</v>
      </c>
      <c r="L378" s="9"/>
      <c r="M378" s="45">
        <v>120.8</v>
      </c>
    </row>
    <row r="379">
      <c r="A379" s="34" t="s">
        <v>70</v>
      </c>
      <c r="B379" s="34" t="s">
        <v>88</v>
      </c>
      <c r="C379" s="34">
        <v>60.0</v>
      </c>
      <c r="D379" s="34" t="s">
        <v>1127</v>
      </c>
      <c r="E379" s="34" t="s">
        <v>1137</v>
      </c>
      <c r="F379" s="34" t="s">
        <v>1138</v>
      </c>
      <c r="G379" s="34">
        <v>60159.0</v>
      </c>
      <c r="H379" s="34" t="s">
        <v>1136</v>
      </c>
      <c r="I379" s="34" t="s">
        <v>18</v>
      </c>
      <c r="J379" s="34" t="s">
        <v>15</v>
      </c>
      <c r="K379" s="45">
        <v>106.4</v>
      </c>
      <c r="L379" s="9"/>
      <c r="M379" s="45">
        <v>106.4</v>
      </c>
    </row>
    <row r="380">
      <c r="A380" s="34" t="s">
        <v>70</v>
      </c>
      <c r="B380" s="34" t="s">
        <v>88</v>
      </c>
      <c r="C380" s="34">
        <v>60.0</v>
      </c>
      <c r="D380" s="34" t="s">
        <v>1127</v>
      </c>
      <c r="E380" s="34" t="s">
        <v>1139</v>
      </c>
      <c r="F380" s="34" t="s">
        <v>1140</v>
      </c>
      <c r="G380" s="34">
        <v>60589.0</v>
      </c>
      <c r="H380" s="34" t="s">
        <v>1141</v>
      </c>
      <c r="I380" s="34" t="s">
        <v>18</v>
      </c>
      <c r="J380" s="34" t="s">
        <v>13</v>
      </c>
      <c r="K380" s="9"/>
      <c r="L380" s="45">
        <v>87.6</v>
      </c>
      <c r="M380" s="45">
        <v>87.6</v>
      </c>
    </row>
    <row r="381">
      <c r="A381" s="34" t="s">
        <v>70</v>
      </c>
      <c r="B381" s="34" t="s">
        <v>88</v>
      </c>
      <c r="C381" s="34">
        <v>60.0</v>
      </c>
      <c r="D381" s="34" t="s">
        <v>1127</v>
      </c>
      <c r="E381" s="34" t="s">
        <v>1142</v>
      </c>
      <c r="F381" s="34" t="s">
        <v>1143</v>
      </c>
      <c r="G381" s="34">
        <v>60176.0</v>
      </c>
      <c r="H381" s="34" t="s">
        <v>1144</v>
      </c>
      <c r="I381" s="34" t="s">
        <v>18</v>
      </c>
      <c r="J381" s="34" t="s">
        <v>13</v>
      </c>
      <c r="K381" s="9"/>
      <c r="L381" s="45">
        <v>85.9</v>
      </c>
      <c r="M381" s="45">
        <v>85.9</v>
      </c>
    </row>
    <row r="382">
      <c r="A382" s="34" t="s">
        <v>70</v>
      </c>
      <c r="B382" s="34" t="s">
        <v>88</v>
      </c>
      <c r="C382" s="34">
        <v>60.0</v>
      </c>
      <c r="D382" s="34" t="s">
        <v>1127</v>
      </c>
      <c r="E382" s="34" t="s">
        <v>1145</v>
      </c>
      <c r="F382" s="34" t="s">
        <v>1146</v>
      </c>
      <c r="G382" s="34">
        <v>60537.0</v>
      </c>
      <c r="H382" s="34" t="s">
        <v>1147</v>
      </c>
      <c r="I382" s="34" t="s">
        <v>18</v>
      </c>
      <c r="J382" s="34" t="s">
        <v>13</v>
      </c>
      <c r="K382" s="9"/>
      <c r="L382" s="45">
        <v>80.8</v>
      </c>
      <c r="M382" s="45">
        <v>80.8</v>
      </c>
    </row>
    <row r="383">
      <c r="A383" s="34" t="s">
        <v>70</v>
      </c>
      <c r="B383" s="34" t="s">
        <v>88</v>
      </c>
      <c r="C383" s="34">
        <v>60.0</v>
      </c>
      <c r="D383" s="34" t="s">
        <v>1127</v>
      </c>
      <c r="E383" s="34" t="s">
        <v>1148</v>
      </c>
      <c r="F383" s="34" t="s">
        <v>1149</v>
      </c>
      <c r="G383" s="34">
        <v>60057.0</v>
      </c>
      <c r="H383" s="34" t="s">
        <v>1130</v>
      </c>
      <c r="I383" s="34" t="s">
        <v>17</v>
      </c>
      <c r="J383" s="34" t="s">
        <v>15</v>
      </c>
      <c r="K383" s="45">
        <v>96.3</v>
      </c>
      <c r="L383" s="9"/>
      <c r="M383" s="45">
        <v>96.3</v>
      </c>
    </row>
    <row r="384">
      <c r="A384" s="34" t="s">
        <v>70</v>
      </c>
      <c r="B384" s="34" t="s">
        <v>88</v>
      </c>
      <c r="C384" s="34">
        <v>60.0</v>
      </c>
      <c r="D384" s="34" t="s">
        <v>1127</v>
      </c>
      <c r="E384" s="34" t="s">
        <v>1150</v>
      </c>
      <c r="F384" s="34" t="s">
        <v>1151</v>
      </c>
      <c r="G384" s="34">
        <v>60432.0</v>
      </c>
      <c r="H384" s="34" t="s">
        <v>1152</v>
      </c>
      <c r="I384" s="34" t="s">
        <v>17</v>
      </c>
      <c r="J384" s="34" t="s">
        <v>15</v>
      </c>
      <c r="K384" s="45">
        <v>137.7</v>
      </c>
      <c r="L384" s="9"/>
      <c r="M384" s="45">
        <v>137.7</v>
      </c>
    </row>
    <row r="385">
      <c r="A385" s="34" t="s">
        <v>70</v>
      </c>
      <c r="B385" s="34" t="s">
        <v>269</v>
      </c>
      <c r="C385" s="34">
        <v>61.0</v>
      </c>
      <c r="D385" s="34" t="s">
        <v>1153</v>
      </c>
      <c r="E385" s="34" t="s">
        <v>1154</v>
      </c>
      <c r="F385" s="34" t="s">
        <v>1155</v>
      </c>
      <c r="G385" s="34">
        <v>61145.0</v>
      </c>
      <c r="H385" s="34" t="s">
        <v>1156</v>
      </c>
      <c r="I385" s="34" t="s">
        <v>18</v>
      </c>
      <c r="J385" s="34" t="s">
        <v>15</v>
      </c>
      <c r="K385" s="45">
        <v>107.2</v>
      </c>
      <c r="L385" s="9"/>
      <c r="M385" s="45">
        <v>107.2</v>
      </c>
    </row>
    <row r="386">
      <c r="A386" s="34" t="s">
        <v>70</v>
      </c>
      <c r="B386" s="34" t="s">
        <v>269</v>
      </c>
      <c r="C386" s="34">
        <v>61.0</v>
      </c>
      <c r="D386" s="34" t="s">
        <v>1153</v>
      </c>
      <c r="E386" s="34" t="s">
        <v>1157</v>
      </c>
      <c r="F386" s="34" t="s">
        <v>1158</v>
      </c>
      <c r="G386" s="34">
        <v>61168.0</v>
      </c>
      <c r="H386" s="34" t="s">
        <v>1159</v>
      </c>
      <c r="I386" s="34" t="s">
        <v>18</v>
      </c>
      <c r="J386" s="34" t="s">
        <v>13</v>
      </c>
      <c r="K386" s="9"/>
      <c r="L386" s="45">
        <v>77.2</v>
      </c>
      <c r="M386" s="45">
        <v>77.2</v>
      </c>
    </row>
    <row r="387">
      <c r="A387" s="34" t="s">
        <v>70</v>
      </c>
      <c r="B387" s="34" t="s">
        <v>269</v>
      </c>
      <c r="C387" s="34">
        <v>61.0</v>
      </c>
      <c r="D387" s="34" t="s">
        <v>1153</v>
      </c>
      <c r="E387" s="34" t="s">
        <v>1160</v>
      </c>
      <c r="F387" s="34" t="s">
        <v>272</v>
      </c>
      <c r="G387" s="34">
        <v>61006.0</v>
      </c>
      <c r="H387" s="34" t="s">
        <v>1161</v>
      </c>
      <c r="I387" s="34" t="s">
        <v>17</v>
      </c>
      <c r="J387" s="34" t="s">
        <v>15</v>
      </c>
      <c r="K387" s="45">
        <v>114.3</v>
      </c>
      <c r="L387" s="9"/>
      <c r="M387" s="45">
        <v>114.3</v>
      </c>
    </row>
    <row r="388">
      <c r="A388" s="34" t="s">
        <v>70</v>
      </c>
      <c r="B388" s="34" t="s">
        <v>269</v>
      </c>
      <c r="C388" s="34">
        <v>61.0</v>
      </c>
      <c r="D388" s="34" t="s">
        <v>1153</v>
      </c>
      <c r="E388" s="34" t="s">
        <v>1162</v>
      </c>
      <c r="F388" s="34" t="s">
        <v>1163</v>
      </c>
      <c r="G388" s="34">
        <v>61169.0</v>
      </c>
      <c r="H388" s="34" t="s">
        <v>1164</v>
      </c>
      <c r="I388" s="34" t="s">
        <v>17</v>
      </c>
      <c r="J388" s="34" t="s">
        <v>14</v>
      </c>
      <c r="K388" s="45">
        <v>113.3</v>
      </c>
      <c r="L388" s="45">
        <v>92.9</v>
      </c>
      <c r="M388" s="45">
        <v>108.9</v>
      </c>
    </row>
    <row r="389">
      <c r="A389" s="34" t="s">
        <v>70</v>
      </c>
      <c r="B389" s="34" t="s">
        <v>46</v>
      </c>
      <c r="C389" s="34">
        <v>62.0</v>
      </c>
      <c r="D389" s="34" t="s">
        <v>1165</v>
      </c>
      <c r="E389" s="34" t="s">
        <v>1166</v>
      </c>
      <c r="F389" s="34" t="s">
        <v>1167</v>
      </c>
      <c r="G389" s="34">
        <v>62048.0</v>
      </c>
      <c r="H389" s="34" t="s">
        <v>1168</v>
      </c>
      <c r="I389" s="34" t="s">
        <v>18</v>
      </c>
      <c r="J389" s="34" t="s">
        <v>15</v>
      </c>
      <c r="K389" s="45">
        <v>86.8</v>
      </c>
      <c r="L389" s="9"/>
      <c r="M389" s="45">
        <v>86.8</v>
      </c>
    </row>
    <row r="390">
      <c r="A390" s="34" t="s">
        <v>70</v>
      </c>
      <c r="B390" s="34" t="s">
        <v>46</v>
      </c>
      <c r="C390" s="34">
        <v>62.0</v>
      </c>
      <c r="D390" s="34" t="s">
        <v>1165</v>
      </c>
      <c r="E390" s="34" t="s">
        <v>1169</v>
      </c>
      <c r="F390" s="34" t="s">
        <v>1170</v>
      </c>
      <c r="G390" s="34">
        <v>62427.0</v>
      </c>
      <c r="H390" s="34" t="s">
        <v>1171</v>
      </c>
      <c r="I390" s="34" t="s">
        <v>18</v>
      </c>
      <c r="J390" s="34" t="s">
        <v>14</v>
      </c>
      <c r="K390" s="45">
        <v>92.8</v>
      </c>
      <c r="L390" s="45">
        <v>78.1</v>
      </c>
      <c r="M390" s="45">
        <v>88.8</v>
      </c>
    </row>
    <row r="391">
      <c r="A391" s="34" t="s">
        <v>70</v>
      </c>
      <c r="B391" s="34" t="s">
        <v>46</v>
      </c>
      <c r="C391" s="34">
        <v>62.0</v>
      </c>
      <c r="D391" s="34" t="s">
        <v>1165</v>
      </c>
      <c r="E391" s="34" t="s">
        <v>1172</v>
      </c>
      <c r="F391" s="34" t="s">
        <v>1173</v>
      </c>
      <c r="G391" s="34">
        <v>62534.0</v>
      </c>
      <c r="H391" s="34" t="s">
        <v>1174</v>
      </c>
      <c r="I391" s="34" t="s">
        <v>18</v>
      </c>
      <c r="J391" s="34" t="s">
        <v>13</v>
      </c>
      <c r="K391" s="9"/>
      <c r="L391" s="45">
        <v>69.6</v>
      </c>
      <c r="M391" s="45">
        <v>69.6</v>
      </c>
    </row>
    <row r="392">
      <c r="A392" s="34" t="s">
        <v>70</v>
      </c>
      <c r="B392" s="34" t="s">
        <v>46</v>
      </c>
      <c r="C392" s="34">
        <v>62.0</v>
      </c>
      <c r="D392" s="34" t="s">
        <v>1165</v>
      </c>
      <c r="E392" s="34" t="s">
        <v>1175</v>
      </c>
      <c r="F392" s="34" t="s">
        <v>1176</v>
      </c>
      <c r="G392" s="34">
        <v>62765.0</v>
      </c>
      <c r="H392" s="34" t="s">
        <v>1177</v>
      </c>
      <c r="I392" s="34" t="s">
        <v>18</v>
      </c>
      <c r="J392" s="34" t="s">
        <v>15</v>
      </c>
      <c r="K392" s="45">
        <v>106.1</v>
      </c>
      <c r="L392" s="9"/>
      <c r="M392" s="45">
        <v>106.1</v>
      </c>
    </row>
    <row r="393">
      <c r="A393" s="34" t="s">
        <v>70</v>
      </c>
      <c r="B393" s="34" t="s">
        <v>46</v>
      </c>
      <c r="C393" s="34">
        <v>62.0</v>
      </c>
      <c r="D393" s="34" t="s">
        <v>1165</v>
      </c>
      <c r="E393" s="34" t="s">
        <v>1178</v>
      </c>
      <c r="F393" s="34" t="s">
        <v>1179</v>
      </c>
      <c r="G393" s="34">
        <v>62767.0</v>
      </c>
      <c r="H393" s="34" t="s">
        <v>1180</v>
      </c>
      <c r="I393" s="34" t="s">
        <v>18</v>
      </c>
      <c r="J393" s="34" t="s">
        <v>13</v>
      </c>
      <c r="K393" s="9"/>
      <c r="L393" s="45">
        <v>73.9</v>
      </c>
      <c r="M393" s="45">
        <v>73.9</v>
      </c>
    </row>
    <row r="394">
      <c r="A394" s="34" t="s">
        <v>70</v>
      </c>
      <c r="B394" s="34" t="s">
        <v>46</v>
      </c>
      <c r="C394" s="34">
        <v>62.0</v>
      </c>
      <c r="D394" s="34" t="s">
        <v>1165</v>
      </c>
      <c r="E394" s="34" t="s">
        <v>1181</v>
      </c>
      <c r="F394" s="34" t="s">
        <v>1182</v>
      </c>
      <c r="G394" s="34">
        <v>62643.0</v>
      </c>
      <c r="H394" s="34" t="s">
        <v>1183</v>
      </c>
      <c r="I394" s="34" t="s">
        <v>18</v>
      </c>
      <c r="J394" s="34" t="s">
        <v>13</v>
      </c>
      <c r="K394" s="9"/>
      <c r="L394" s="45">
        <v>75.7</v>
      </c>
      <c r="M394" s="45">
        <v>75.7</v>
      </c>
    </row>
    <row r="395">
      <c r="A395" s="34" t="s">
        <v>70</v>
      </c>
      <c r="B395" s="34" t="s">
        <v>46</v>
      </c>
      <c r="C395" s="34">
        <v>62.0</v>
      </c>
      <c r="D395" s="34" t="s">
        <v>1165</v>
      </c>
      <c r="E395" s="34" t="s">
        <v>1184</v>
      </c>
      <c r="F395" s="34" t="s">
        <v>1185</v>
      </c>
      <c r="G395" s="34">
        <v>62041.0</v>
      </c>
      <c r="H395" s="34" t="s">
        <v>1186</v>
      </c>
      <c r="I395" s="34" t="s">
        <v>18</v>
      </c>
      <c r="J395" s="34" t="s">
        <v>13</v>
      </c>
      <c r="K395" s="9"/>
      <c r="L395" s="45">
        <v>80.0</v>
      </c>
      <c r="M395" s="45">
        <v>80.0</v>
      </c>
    </row>
    <row r="396">
      <c r="A396" s="34" t="s">
        <v>70</v>
      </c>
      <c r="B396" s="34" t="s">
        <v>46</v>
      </c>
      <c r="C396" s="34">
        <v>62.0</v>
      </c>
      <c r="D396" s="34" t="s">
        <v>1165</v>
      </c>
      <c r="E396" s="34" t="s">
        <v>1187</v>
      </c>
      <c r="F396" s="34" t="s">
        <v>181</v>
      </c>
      <c r="G396" s="34">
        <v>62498.0</v>
      </c>
      <c r="H396" s="34" t="s">
        <v>1188</v>
      </c>
      <c r="I396" s="34" t="s">
        <v>17</v>
      </c>
      <c r="J396" s="34" t="s">
        <v>14</v>
      </c>
      <c r="K396" s="45">
        <v>116.0</v>
      </c>
      <c r="L396" s="45">
        <v>104.4</v>
      </c>
      <c r="M396" s="45">
        <v>114.7</v>
      </c>
    </row>
    <row r="397">
      <c r="A397" s="34" t="s">
        <v>70</v>
      </c>
      <c r="B397" s="34" t="s">
        <v>46</v>
      </c>
      <c r="C397" s="34">
        <v>62.0</v>
      </c>
      <c r="D397" s="34" t="s">
        <v>1165</v>
      </c>
      <c r="E397" s="34" t="s">
        <v>1189</v>
      </c>
      <c r="F397" s="34" t="s">
        <v>1190</v>
      </c>
      <c r="G397" s="34">
        <v>62041.0</v>
      </c>
      <c r="H397" s="34" t="s">
        <v>1186</v>
      </c>
      <c r="I397" s="34" t="s">
        <v>17</v>
      </c>
      <c r="J397" s="34" t="s">
        <v>14</v>
      </c>
      <c r="K397" s="45">
        <v>129.2</v>
      </c>
      <c r="L397" s="45">
        <v>105.5</v>
      </c>
      <c r="M397" s="45">
        <v>124.6</v>
      </c>
    </row>
    <row r="398">
      <c r="A398" s="34" t="s">
        <v>70</v>
      </c>
      <c r="B398" s="34" t="s">
        <v>46</v>
      </c>
      <c r="C398" s="34">
        <v>62.0</v>
      </c>
      <c r="D398" s="34" t="s">
        <v>1165</v>
      </c>
      <c r="E398" s="34" t="s">
        <v>1191</v>
      </c>
      <c r="F398" s="34" t="s">
        <v>1192</v>
      </c>
      <c r="G398" s="34">
        <v>62498.0</v>
      </c>
      <c r="H398" s="34" t="s">
        <v>1188</v>
      </c>
      <c r="I398" s="34" t="s">
        <v>18</v>
      </c>
      <c r="J398" s="34" t="s">
        <v>13</v>
      </c>
      <c r="K398" s="9"/>
      <c r="L398" s="45">
        <v>75.4</v>
      </c>
      <c r="M398" s="45">
        <v>75.4</v>
      </c>
    </row>
    <row r="399">
      <c r="A399" s="34" t="s">
        <v>70</v>
      </c>
      <c r="B399" s="34" t="s">
        <v>46</v>
      </c>
      <c r="C399" s="34">
        <v>62.0</v>
      </c>
      <c r="D399" s="34" t="s">
        <v>1165</v>
      </c>
      <c r="E399" s="34" t="s">
        <v>1193</v>
      </c>
      <c r="F399" s="34" t="s">
        <v>1194</v>
      </c>
      <c r="G399" s="34">
        <v>62014.0</v>
      </c>
      <c r="H399" s="34" t="s">
        <v>1195</v>
      </c>
      <c r="I399" s="34" t="s">
        <v>18</v>
      </c>
      <c r="J399" s="34" t="s">
        <v>14</v>
      </c>
      <c r="K399" s="45">
        <v>110.6</v>
      </c>
      <c r="L399" s="45">
        <v>75.6</v>
      </c>
      <c r="M399" s="45">
        <v>102.6</v>
      </c>
    </row>
    <row r="400">
      <c r="A400" s="34" t="s">
        <v>70</v>
      </c>
      <c r="B400" s="34" t="s">
        <v>116</v>
      </c>
      <c r="C400" s="34">
        <v>63.0</v>
      </c>
      <c r="D400" s="34" t="s">
        <v>1196</v>
      </c>
      <c r="E400" s="34" t="s">
        <v>1197</v>
      </c>
      <c r="F400" s="34" t="s">
        <v>1198</v>
      </c>
      <c r="G400" s="34">
        <v>63113.0</v>
      </c>
      <c r="H400" s="34" t="s">
        <v>1199</v>
      </c>
      <c r="I400" s="34" t="s">
        <v>18</v>
      </c>
      <c r="J400" s="34" t="s">
        <v>15</v>
      </c>
      <c r="K400" s="45">
        <v>100.7</v>
      </c>
      <c r="L400" s="9"/>
      <c r="M400" s="45">
        <v>100.7</v>
      </c>
    </row>
    <row r="401">
      <c r="A401" s="34" t="s">
        <v>70</v>
      </c>
      <c r="B401" s="34" t="s">
        <v>116</v>
      </c>
      <c r="C401" s="34">
        <v>63.0</v>
      </c>
      <c r="D401" s="34" t="s">
        <v>1196</v>
      </c>
      <c r="E401" s="34" t="s">
        <v>1200</v>
      </c>
      <c r="F401" s="34" t="s">
        <v>1201</v>
      </c>
      <c r="G401" s="34">
        <v>63300.0</v>
      </c>
      <c r="H401" s="34" t="s">
        <v>1202</v>
      </c>
      <c r="I401" s="34" t="s">
        <v>18</v>
      </c>
      <c r="J401" s="34" t="s">
        <v>15</v>
      </c>
      <c r="K401" s="45">
        <v>120.2</v>
      </c>
      <c r="L401" s="9"/>
      <c r="M401" s="45">
        <v>120.2</v>
      </c>
    </row>
    <row r="402">
      <c r="A402" s="34" t="s">
        <v>70</v>
      </c>
      <c r="B402" s="34" t="s">
        <v>116</v>
      </c>
      <c r="C402" s="34">
        <v>63.0</v>
      </c>
      <c r="D402" s="34" t="s">
        <v>1196</v>
      </c>
      <c r="E402" s="34" t="s">
        <v>1203</v>
      </c>
      <c r="F402" s="34" t="s">
        <v>1204</v>
      </c>
      <c r="G402" s="34">
        <v>63430.0</v>
      </c>
      <c r="H402" s="34" t="s">
        <v>1205</v>
      </c>
      <c r="I402" s="34" t="s">
        <v>18</v>
      </c>
      <c r="J402" s="34" t="s">
        <v>15</v>
      </c>
      <c r="K402" s="45">
        <v>107.6</v>
      </c>
      <c r="L402" s="9"/>
      <c r="M402" s="45">
        <v>107.6</v>
      </c>
    </row>
    <row r="403">
      <c r="A403" s="34" t="s">
        <v>70</v>
      </c>
      <c r="B403" s="34" t="s">
        <v>116</v>
      </c>
      <c r="C403" s="34">
        <v>63.0</v>
      </c>
      <c r="D403" s="34" t="s">
        <v>1196</v>
      </c>
      <c r="E403" s="34" t="s">
        <v>1206</v>
      </c>
      <c r="F403" s="34" t="s">
        <v>1207</v>
      </c>
      <c r="G403" s="34">
        <v>63113.0</v>
      </c>
      <c r="H403" s="34" t="s">
        <v>1199</v>
      </c>
      <c r="I403" s="34" t="s">
        <v>18</v>
      </c>
      <c r="J403" s="34" t="s">
        <v>13</v>
      </c>
      <c r="K403" s="9"/>
      <c r="L403" s="45">
        <v>85.7</v>
      </c>
      <c r="M403" s="45">
        <v>85.7</v>
      </c>
    </row>
    <row r="404">
      <c r="A404" s="34" t="s">
        <v>70</v>
      </c>
      <c r="B404" s="34" t="s">
        <v>116</v>
      </c>
      <c r="C404" s="34">
        <v>63.0</v>
      </c>
      <c r="D404" s="34" t="s">
        <v>1196</v>
      </c>
      <c r="E404" s="34" t="s">
        <v>1208</v>
      </c>
      <c r="F404" s="34" t="s">
        <v>1209</v>
      </c>
      <c r="G404" s="34">
        <v>63113.0</v>
      </c>
      <c r="H404" s="34" t="s">
        <v>1199</v>
      </c>
      <c r="I404" s="34" t="s">
        <v>17</v>
      </c>
      <c r="J404" s="34" t="s">
        <v>13</v>
      </c>
      <c r="K404" s="9"/>
      <c r="L404" s="45">
        <v>94.1</v>
      </c>
      <c r="M404" s="45">
        <v>94.1</v>
      </c>
    </row>
    <row r="405">
      <c r="A405" s="34" t="s">
        <v>70</v>
      </c>
      <c r="B405" s="34" t="s">
        <v>377</v>
      </c>
      <c r="C405" s="34">
        <v>64.0</v>
      </c>
      <c r="D405" s="34" t="s">
        <v>1210</v>
      </c>
      <c r="E405" s="34" t="s">
        <v>1211</v>
      </c>
      <c r="F405" s="34" t="s">
        <v>1212</v>
      </c>
      <c r="G405" s="34">
        <v>64024.0</v>
      </c>
      <c r="H405" s="34" t="s">
        <v>1213</v>
      </c>
      <c r="I405" s="34" t="s">
        <v>18</v>
      </c>
      <c r="J405" s="34" t="s">
        <v>14</v>
      </c>
      <c r="K405" s="45">
        <v>121.5</v>
      </c>
      <c r="L405" s="45">
        <v>102.5</v>
      </c>
      <c r="M405" s="45">
        <v>115.1</v>
      </c>
    </row>
    <row r="406">
      <c r="A406" s="34" t="s">
        <v>70</v>
      </c>
      <c r="B406" s="34" t="s">
        <v>377</v>
      </c>
      <c r="C406" s="34">
        <v>64.0</v>
      </c>
      <c r="D406" s="34" t="s">
        <v>1210</v>
      </c>
      <c r="E406" s="34" t="s">
        <v>1214</v>
      </c>
      <c r="F406" s="34" t="s">
        <v>1215</v>
      </c>
      <c r="G406" s="34">
        <v>64260.0</v>
      </c>
      <c r="H406" s="34" t="s">
        <v>1216</v>
      </c>
      <c r="I406" s="34" t="s">
        <v>18</v>
      </c>
      <c r="J406" s="34" t="s">
        <v>13</v>
      </c>
      <c r="K406" s="9"/>
      <c r="L406" s="45">
        <v>90.0</v>
      </c>
      <c r="M406" s="45">
        <v>90.0</v>
      </c>
    </row>
    <row r="407">
      <c r="A407" s="34" t="s">
        <v>70</v>
      </c>
      <c r="B407" s="34" t="s">
        <v>377</v>
      </c>
      <c r="C407" s="34">
        <v>64.0</v>
      </c>
      <c r="D407" s="34" t="s">
        <v>1210</v>
      </c>
      <c r="E407" s="34" t="s">
        <v>1217</v>
      </c>
      <c r="F407" s="34" t="s">
        <v>1218</v>
      </c>
      <c r="G407" s="34">
        <v>64422.0</v>
      </c>
      <c r="H407" s="34" t="s">
        <v>1219</v>
      </c>
      <c r="I407" s="34" t="s">
        <v>18</v>
      </c>
      <c r="J407" s="34" t="s">
        <v>15</v>
      </c>
      <c r="K407" s="45">
        <v>117.6</v>
      </c>
      <c r="L407" s="9"/>
      <c r="M407" s="45">
        <v>117.6</v>
      </c>
    </row>
    <row r="408">
      <c r="A408" s="34" t="s">
        <v>70</v>
      </c>
      <c r="B408" s="34" t="s">
        <v>377</v>
      </c>
      <c r="C408" s="34">
        <v>64.0</v>
      </c>
      <c r="D408" s="34" t="s">
        <v>1210</v>
      </c>
      <c r="E408" s="34" t="s">
        <v>1220</v>
      </c>
      <c r="F408" s="34" t="s">
        <v>1221</v>
      </c>
      <c r="G408" s="34">
        <v>64430.0</v>
      </c>
      <c r="H408" s="34" t="s">
        <v>1222</v>
      </c>
      <c r="I408" s="34" t="s">
        <v>18</v>
      </c>
      <c r="J408" s="34" t="s">
        <v>13</v>
      </c>
      <c r="K408" s="9"/>
      <c r="L408" s="45">
        <v>84.6</v>
      </c>
      <c r="M408" s="45">
        <v>84.6</v>
      </c>
    </row>
    <row r="409">
      <c r="A409" s="34" t="s">
        <v>70</v>
      </c>
      <c r="B409" s="34" t="s">
        <v>377</v>
      </c>
      <c r="C409" s="34">
        <v>64.0</v>
      </c>
      <c r="D409" s="34" t="s">
        <v>1210</v>
      </c>
      <c r="E409" s="34" t="s">
        <v>1223</v>
      </c>
      <c r="F409" s="34" t="s">
        <v>1224</v>
      </c>
      <c r="G409" s="34">
        <v>64445.0</v>
      </c>
      <c r="H409" s="34" t="s">
        <v>1225</v>
      </c>
      <c r="I409" s="34" t="s">
        <v>18</v>
      </c>
      <c r="J409" s="34" t="s">
        <v>14</v>
      </c>
      <c r="K409" s="45">
        <v>122.2</v>
      </c>
      <c r="L409" s="45">
        <v>92.9</v>
      </c>
      <c r="M409" s="45">
        <v>120.1</v>
      </c>
    </row>
    <row r="410">
      <c r="A410" s="34" t="s">
        <v>70</v>
      </c>
      <c r="B410" s="34" t="s">
        <v>377</v>
      </c>
      <c r="C410" s="34">
        <v>64.0</v>
      </c>
      <c r="D410" s="34" t="s">
        <v>1210</v>
      </c>
      <c r="E410" s="34" t="s">
        <v>1226</v>
      </c>
      <c r="F410" s="34" t="s">
        <v>1227</v>
      </c>
      <c r="G410" s="34">
        <v>64483.0</v>
      </c>
      <c r="H410" s="34" t="s">
        <v>1228</v>
      </c>
      <c r="I410" s="34" t="s">
        <v>18</v>
      </c>
      <c r="J410" s="34" t="s">
        <v>15</v>
      </c>
      <c r="K410" s="45">
        <v>112.0</v>
      </c>
      <c r="L410" s="9"/>
      <c r="M410" s="45">
        <v>112.0</v>
      </c>
    </row>
    <row r="411">
      <c r="A411" s="34" t="s">
        <v>70</v>
      </c>
      <c r="B411" s="34" t="s">
        <v>377</v>
      </c>
      <c r="C411" s="34">
        <v>64.0</v>
      </c>
      <c r="D411" s="34" t="s">
        <v>1210</v>
      </c>
      <c r="E411" s="34" t="s">
        <v>1229</v>
      </c>
      <c r="F411" s="34" t="s">
        <v>1230</v>
      </c>
      <c r="G411" s="34">
        <v>64483.0</v>
      </c>
      <c r="H411" s="34" t="s">
        <v>1228</v>
      </c>
      <c r="I411" s="34" t="s">
        <v>18</v>
      </c>
      <c r="J411" s="34" t="s">
        <v>13</v>
      </c>
      <c r="K411" s="9"/>
      <c r="L411" s="45">
        <v>95.2</v>
      </c>
      <c r="M411" s="45">
        <v>95.2</v>
      </c>
    </row>
    <row r="412">
      <c r="A412" s="34" t="s">
        <v>70</v>
      </c>
      <c r="B412" s="34" t="s">
        <v>377</v>
      </c>
      <c r="C412" s="34">
        <v>64.0</v>
      </c>
      <c r="D412" s="34" t="s">
        <v>1210</v>
      </c>
      <c r="E412" s="34" t="s">
        <v>1231</v>
      </c>
      <c r="F412" s="34" t="s">
        <v>985</v>
      </c>
      <c r="G412" s="34">
        <v>64410.0</v>
      </c>
      <c r="H412" s="34" t="s">
        <v>1232</v>
      </c>
      <c r="I412" s="34" t="s">
        <v>18</v>
      </c>
      <c r="J412" s="34" t="s">
        <v>13</v>
      </c>
      <c r="K412" s="9"/>
      <c r="L412" s="45">
        <v>93.7</v>
      </c>
      <c r="M412" s="45">
        <v>93.7</v>
      </c>
    </row>
    <row r="413">
      <c r="A413" s="34" t="s">
        <v>70</v>
      </c>
      <c r="B413" s="34" t="s">
        <v>377</v>
      </c>
      <c r="C413" s="34">
        <v>64.0</v>
      </c>
      <c r="D413" s="34" t="s">
        <v>1210</v>
      </c>
      <c r="E413" s="34" t="s">
        <v>1233</v>
      </c>
      <c r="F413" s="34" t="s">
        <v>1234</v>
      </c>
      <c r="G413" s="34">
        <v>64102.0</v>
      </c>
      <c r="H413" s="34" t="s">
        <v>1235</v>
      </c>
      <c r="I413" s="34" t="s">
        <v>17</v>
      </c>
      <c r="J413" s="34" t="s">
        <v>15</v>
      </c>
      <c r="K413" s="45">
        <v>128.3</v>
      </c>
      <c r="L413" s="9"/>
      <c r="M413" s="45">
        <v>128.3</v>
      </c>
    </row>
    <row r="414">
      <c r="A414" s="34" t="s">
        <v>70</v>
      </c>
      <c r="B414" s="34" t="s">
        <v>377</v>
      </c>
      <c r="C414" s="34">
        <v>64.0</v>
      </c>
      <c r="D414" s="34" t="s">
        <v>1210</v>
      </c>
      <c r="E414" s="34" t="s">
        <v>1236</v>
      </c>
      <c r="F414" s="34" t="s">
        <v>1237</v>
      </c>
      <c r="G414" s="34">
        <v>64102.0</v>
      </c>
      <c r="H414" s="34" t="s">
        <v>1235</v>
      </c>
      <c r="I414" s="34" t="s">
        <v>17</v>
      </c>
      <c r="J414" s="34" t="s">
        <v>15</v>
      </c>
      <c r="K414" s="45">
        <v>126.4</v>
      </c>
      <c r="L414" s="9"/>
      <c r="M414" s="45">
        <v>126.4</v>
      </c>
    </row>
    <row r="415">
      <c r="A415" s="34" t="s">
        <v>70</v>
      </c>
      <c r="B415" s="34" t="s">
        <v>377</v>
      </c>
      <c r="C415" s="34">
        <v>64.0</v>
      </c>
      <c r="D415" s="34" t="s">
        <v>1210</v>
      </c>
      <c r="E415" s="34" t="s">
        <v>1238</v>
      </c>
      <c r="F415" s="34" t="s">
        <v>272</v>
      </c>
      <c r="G415" s="34">
        <v>64430.0</v>
      </c>
      <c r="H415" s="34" t="s">
        <v>1222</v>
      </c>
      <c r="I415" s="34" t="s">
        <v>17</v>
      </c>
      <c r="J415" s="34" t="s">
        <v>15</v>
      </c>
      <c r="K415" s="45">
        <v>108.3</v>
      </c>
      <c r="L415" s="9"/>
      <c r="M415" s="45">
        <v>108.3</v>
      </c>
    </row>
    <row r="416">
      <c r="A416" s="34" t="s">
        <v>70</v>
      </c>
      <c r="B416" s="34" t="s">
        <v>377</v>
      </c>
      <c r="C416" s="34">
        <v>64.0</v>
      </c>
      <c r="D416" s="34" t="s">
        <v>1210</v>
      </c>
      <c r="E416" s="34" t="s">
        <v>1239</v>
      </c>
      <c r="F416" s="34" t="s">
        <v>1240</v>
      </c>
      <c r="G416" s="34">
        <v>64445.0</v>
      </c>
      <c r="H416" s="34" t="s">
        <v>1225</v>
      </c>
      <c r="I416" s="34" t="s">
        <v>17</v>
      </c>
      <c r="J416" s="34" t="s">
        <v>13</v>
      </c>
      <c r="K416" s="9"/>
      <c r="L416" s="45">
        <v>95.0</v>
      </c>
      <c r="M416" s="45">
        <v>95.0</v>
      </c>
    </row>
    <row r="417">
      <c r="A417" s="34" t="s">
        <v>70</v>
      </c>
      <c r="B417" s="34" t="s">
        <v>377</v>
      </c>
      <c r="C417" s="34">
        <v>64.0</v>
      </c>
      <c r="D417" s="34" t="s">
        <v>1210</v>
      </c>
      <c r="E417" s="34" t="s">
        <v>1241</v>
      </c>
      <c r="F417" s="34" t="s">
        <v>1242</v>
      </c>
      <c r="G417" s="34">
        <v>64122.0</v>
      </c>
      <c r="H417" s="34" t="s">
        <v>1243</v>
      </c>
      <c r="I417" s="34" t="s">
        <v>18</v>
      </c>
      <c r="J417" s="34" t="s">
        <v>14</v>
      </c>
      <c r="K417" s="45">
        <v>113.7</v>
      </c>
      <c r="L417" s="45">
        <v>105.5</v>
      </c>
      <c r="M417" s="45">
        <v>107.5</v>
      </c>
    </row>
    <row r="418">
      <c r="A418" s="34" t="s">
        <v>70</v>
      </c>
      <c r="B418" s="34" t="s">
        <v>377</v>
      </c>
      <c r="C418" s="34">
        <v>64.0</v>
      </c>
      <c r="D418" s="34" t="s">
        <v>1210</v>
      </c>
      <c r="E418" s="34" t="s">
        <v>1244</v>
      </c>
      <c r="F418" s="34" t="s">
        <v>1245</v>
      </c>
      <c r="G418" s="34">
        <v>64102.0</v>
      </c>
      <c r="H418" s="34" t="s">
        <v>1235</v>
      </c>
      <c r="I418" s="34" t="s">
        <v>17</v>
      </c>
      <c r="J418" s="34" t="s">
        <v>14</v>
      </c>
      <c r="K418" s="45">
        <v>128.0</v>
      </c>
      <c r="L418" s="45">
        <v>104.3</v>
      </c>
      <c r="M418" s="45">
        <v>125.4</v>
      </c>
    </row>
    <row r="419">
      <c r="A419" s="34" t="s">
        <v>70</v>
      </c>
      <c r="B419" s="34" t="s">
        <v>182</v>
      </c>
      <c r="C419" s="34">
        <v>65.0</v>
      </c>
      <c r="D419" s="34" t="s">
        <v>1246</v>
      </c>
      <c r="E419" s="34" t="s">
        <v>1247</v>
      </c>
      <c r="F419" s="34" t="s">
        <v>1248</v>
      </c>
      <c r="G419" s="34">
        <v>65286.0</v>
      </c>
      <c r="H419" s="34" t="s">
        <v>1249</v>
      </c>
      <c r="I419" s="34" t="s">
        <v>18</v>
      </c>
      <c r="J419" s="34" t="s">
        <v>14</v>
      </c>
      <c r="K419" s="45">
        <v>112.2</v>
      </c>
      <c r="L419" s="45">
        <v>85.1</v>
      </c>
      <c r="M419" s="45">
        <v>88.9</v>
      </c>
    </row>
    <row r="420">
      <c r="A420" s="34" t="s">
        <v>70</v>
      </c>
      <c r="B420" s="34" t="s">
        <v>182</v>
      </c>
      <c r="C420" s="34">
        <v>65.0</v>
      </c>
      <c r="D420" s="34" t="s">
        <v>1246</v>
      </c>
      <c r="E420" s="34" t="s">
        <v>1250</v>
      </c>
      <c r="F420" s="34" t="s">
        <v>1251</v>
      </c>
      <c r="G420" s="34">
        <v>65440.0</v>
      </c>
      <c r="H420" s="34" t="s">
        <v>1252</v>
      </c>
      <c r="I420" s="34" t="s">
        <v>18</v>
      </c>
      <c r="J420" s="34" t="s">
        <v>15</v>
      </c>
      <c r="K420" s="45">
        <v>110.9</v>
      </c>
      <c r="L420" s="9"/>
      <c r="M420" s="45">
        <v>110.9</v>
      </c>
    </row>
    <row r="421">
      <c r="A421" s="34" t="s">
        <v>70</v>
      </c>
      <c r="B421" s="34" t="s">
        <v>182</v>
      </c>
      <c r="C421" s="34">
        <v>65.0</v>
      </c>
      <c r="D421" s="34" t="s">
        <v>1246</v>
      </c>
      <c r="E421" s="34" t="s">
        <v>1253</v>
      </c>
      <c r="F421" s="34" t="s">
        <v>1254</v>
      </c>
      <c r="G421" s="34">
        <v>65286.0</v>
      </c>
      <c r="H421" s="34" t="s">
        <v>1249</v>
      </c>
      <c r="I421" s="34" t="s">
        <v>18</v>
      </c>
      <c r="J421" s="34" t="s">
        <v>15</v>
      </c>
      <c r="K421" s="45">
        <v>105.0</v>
      </c>
      <c r="L421" s="9"/>
      <c r="M421" s="45">
        <v>105.0</v>
      </c>
    </row>
    <row r="422">
      <c r="A422" s="34" t="s">
        <v>70</v>
      </c>
      <c r="B422" s="34" t="s">
        <v>483</v>
      </c>
      <c r="C422" s="34">
        <v>66.0</v>
      </c>
      <c r="D422" s="34" t="s">
        <v>1255</v>
      </c>
      <c r="E422" s="34" t="s">
        <v>1256</v>
      </c>
      <c r="F422" s="34" t="s">
        <v>1257</v>
      </c>
      <c r="G422" s="34">
        <v>66136.0</v>
      </c>
      <c r="H422" s="34" t="s">
        <v>1258</v>
      </c>
      <c r="I422" s="34" t="s">
        <v>17</v>
      </c>
      <c r="J422" s="34" t="s">
        <v>14</v>
      </c>
      <c r="K422" s="45">
        <v>102.0</v>
      </c>
      <c r="L422" s="45">
        <v>93.5</v>
      </c>
      <c r="M422" s="45">
        <v>94.8</v>
      </c>
    </row>
    <row r="423">
      <c r="A423" s="34" t="s">
        <v>70</v>
      </c>
      <c r="B423" s="34" t="s">
        <v>1259</v>
      </c>
      <c r="C423" s="34">
        <v>67.0</v>
      </c>
      <c r="D423" s="34" t="s">
        <v>1260</v>
      </c>
      <c r="E423" s="34" t="s">
        <v>1261</v>
      </c>
      <c r="F423" s="34" t="s">
        <v>1262</v>
      </c>
      <c r="G423" s="34">
        <v>67021.0</v>
      </c>
      <c r="H423" s="34" t="s">
        <v>1263</v>
      </c>
      <c r="I423" s="34" t="s">
        <v>18</v>
      </c>
      <c r="J423" s="34" t="s">
        <v>15</v>
      </c>
      <c r="K423" s="45">
        <v>119.5</v>
      </c>
      <c r="L423" s="9"/>
      <c r="M423" s="45">
        <v>119.5</v>
      </c>
    </row>
    <row r="424">
      <c r="A424" s="34" t="s">
        <v>70</v>
      </c>
      <c r="B424" s="34" t="s">
        <v>1259</v>
      </c>
      <c r="C424" s="34">
        <v>67.0</v>
      </c>
      <c r="D424" s="34" t="s">
        <v>1260</v>
      </c>
      <c r="E424" s="34" t="s">
        <v>1264</v>
      </c>
      <c r="F424" s="34" t="s">
        <v>1265</v>
      </c>
      <c r="G424" s="34">
        <v>67348.0</v>
      </c>
      <c r="H424" s="34" t="s">
        <v>1266</v>
      </c>
      <c r="I424" s="34" t="s">
        <v>18</v>
      </c>
      <c r="J424" s="34" t="s">
        <v>15</v>
      </c>
      <c r="K424" s="45">
        <v>132.7</v>
      </c>
      <c r="L424" s="9"/>
      <c r="M424" s="45">
        <v>132.7</v>
      </c>
    </row>
    <row r="425">
      <c r="A425" s="34" t="s">
        <v>70</v>
      </c>
      <c r="B425" s="34" t="s">
        <v>1259</v>
      </c>
      <c r="C425" s="34">
        <v>67.0</v>
      </c>
      <c r="D425" s="34" t="s">
        <v>1260</v>
      </c>
      <c r="E425" s="34" t="s">
        <v>1267</v>
      </c>
      <c r="F425" s="34" t="s">
        <v>1268</v>
      </c>
      <c r="G425" s="34">
        <v>67482.0</v>
      </c>
      <c r="H425" s="34" t="s">
        <v>1259</v>
      </c>
      <c r="I425" s="34" t="s">
        <v>18</v>
      </c>
      <c r="J425" s="34" t="s">
        <v>15</v>
      </c>
      <c r="K425" s="45">
        <v>104.8</v>
      </c>
      <c r="L425" s="9"/>
      <c r="M425" s="45">
        <v>104.8</v>
      </c>
    </row>
    <row r="426">
      <c r="A426" s="34" t="s">
        <v>70</v>
      </c>
      <c r="B426" s="34" t="s">
        <v>1259</v>
      </c>
      <c r="C426" s="34">
        <v>67.0</v>
      </c>
      <c r="D426" s="34" t="s">
        <v>1260</v>
      </c>
      <c r="E426" s="34" t="s">
        <v>1269</v>
      </c>
      <c r="F426" s="34" t="s">
        <v>1270</v>
      </c>
      <c r="G426" s="34">
        <v>67482.0</v>
      </c>
      <c r="H426" s="34" t="s">
        <v>1259</v>
      </c>
      <c r="I426" s="34" t="s">
        <v>18</v>
      </c>
      <c r="J426" s="34" t="s">
        <v>13</v>
      </c>
      <c r="K426" s="9"/>
      <c r="L426" s="45">
        <v>81.5</v>
      </c>
      <c r="M426" s="45">
        <v>81.5</v>
      </c>
    </row>
    <row r="427">
      <c r="A427" s="34" t="s">
        <v>70</v>
      </c>
      <c r="B427" s="34" t="s">
        <v>1259</v>
      </c>
      <c r="C427" s="34">
        <v>67.0</v>
      </c>
      <c r="D427" s="34" t="s">
        <v>1260</v>
      </c>
      <c r="E427" s="34" t="s">
        <v>1271</v>
      </c>
      <c r="F427" s="34" t="s">
        <v>1272</v>
      </c>
      <c r="G427" s="34">
        <v>67482.0</v>
      </c>
      <c r="H427" s="34" t="s">
        <v>1259</v>
      </c>
      <c r="I427" s="34" t="s">
        <v>17</v>
      </c>
      <c r="J427" s="34" t="s">
        <v>15</v>
      </c>
      <c r="K427" s="45">
        <v>130.3</v>
      </c>
      <c r="L427" s="9"/>
      <c r="M427" s="45">
        <v>130.3</v>
      </c>
    </row>
    <row r="428">
      <c r="A428" s="34" t="s">
        <v>70</v>
      </c>
      <c r="B428" s="34" t="s">
        <v>1259</v>
      </c>
      <c r="C428" s="34">
        <v>67.0</v>
      </c>
      <c r="D428" s="34" t="s">
        <v>1260</v>
      </c>
      <c r="E428" s="34" t="s">
        <v>1273</v>
      </c>
      <c r="F428" s="34" t="s">
        <v>1274</v>
      </c>
      <c r="G428" s="34">
        <v>67218.0</v>
      </c>
      <c r="H428" s="34" t="s">
        <v>1275</v>
      </c>
      <c r="I428" s="34" t="s">
        <v>18</v>
      </c>
      <c r="J428" s="34" t="s">
        <v>14</v>
      </c>
      <c r="K428" s="45">
        <v>123.9</v>
      </c>
      <c r="L428" s="45">
        <v>73.4</v>
      </c>
      <c r="M428" s="45">
        <v>101.4</v>
      </c>
    </row>
    <row r="429">
      <c r="A429" s="34" t="s">
        <v>70</v>
      </c>
      <c r="B429" s="34" t="s">
        <v>1259</v>
      </c>
      <c r="C429" s="34">
        <v>67.0</v>
      </c>
      <c r="D429" s="34" t="s">
        <v>1260</v>
      </c>
      <c r="E429" s="34" t="s">
        <v>1276</v>
      </c>
      <c r="F429" s="34" t="s">
        <v>1277</v>
      </c>
      <c r="G429" s="34">
        <v>67482.0</v>
      </c>
      <c r="H429" s="34" t="s">
        <v>1259</v>
      </c>
      <c r="I429" s="34" t="s">
        <v>17</v>
      </c>
      <c r="J429" s="34" t="s">
        <v>13</v>
      </c>
      <c r="K429" s="9"/>
      <c r="L429" s="45">
        <v>104.3</v>
      </c>
      <c r="M429" s="45">
        <v>104.3</v>
      </c>
    </row>
    <row r="430">
      <c r="A430" s="34" t="s">
        <v>70</v>
      </c>
      <c r="B430" s="34" t="s">
        <v>1259</v>
      </c>
      <c r="C430" s="34">
        <v>67.0</v>
      </c>
      <c r="D430" s="34" t="s">
        <v>1260</v>
      </c>
      <c r="E430" s="34" t="s">
        <v>1278</v>
      </c>
      <c r="F430" s="34" t="s">
        <v>1279</v>
      </c>
      <c r="G430" s="34">
        <v>67130.0</v>
      </c>
      <c r="H430" s="34" t="s">
        <v>1280</v>
      </c>
      <c r="I430" s="34" t="s">
        <v>18</v>
      </c>
      <c r="J430" s="34" t="s">
        <v>14</v>
      </c>
      <c r="K430" s="45">
        <v>125.3</v>
      </c>
      <c r="L430" s="45">
        <v>87.7</v>
      </c>
      <c r="M430" s="45">
        <v>121.8</v>
      </c>
    </row>
    <row r="431">
      <c r="A431" s="34" t="s">
        <v>70</v>
      </c>
      <c r="B431" s="34" t="s">
        <v>1259</v>
      </c>
      <c r="C431" s="34">
        <v>68.0</v>
      </c>
      <c r="D431" s="34" t="s">
        <v>1281</v>
      </c>
      <c r="E431" s="34" t="s">
        <v>1282</v>
      </c>
      <c r="F431" s="34" t="s">
        <v>1283</v>
      </c>
      <c r="G431" s="34">
        <v>68004.0</v>
      </c>
      <c r="H431" s="34" t="s">
        <v>1284</v>
      </c>
      <c r="I431" s="34" t="s">
        <v>18</v>
      </c>
      <c r="J431" s="34" t="s">
        <v>14</v>
      </c>
      <c r="K431" s="45">
        <v>115.1</v>
      </c>
      <c r="L431" s="45">
        <v>86.2</v>
      </c>
      <c r="M431" s="45">
        <v>108.0</v>
      </c>
    </row>
    <row r="432">
      <c r="A432" s="34" t="s">
        <v>70</v>
      </c>
      <c r="B432" s="34" t="s">
        <v>1259</v>
      </c>
      <c r="C432" s="34">
        <v>68.0</v>
      </c>
      <c r="D432" s="34" t="s">
        <v>1281</v>
      </c>
      <c r="E432" s="34" t="s">
        <v>1285</v>
      </c>
      <c r="F432" s="34" t="s">
        <v>1286</v>
      </c>
      <c r="G432" s="34">
        <v>68066.0</v>
      </c>
      <c r="H432" s="34" t="s">
        <v>1287</v>
      </c>
      <c r="I432" s="34" t="s">
        <v>18</v>
      </c>
      <c r="J432" s="34" t="s">
        <v>15</v>
      </c>
      <c r="K432" s="45">
        <v>127.4</v>
      </c>
      <c r="L432" s="9"/>
      <c r="M432" s="45">
        <v>127.4</v>
      </c>
    </row>
    <row r="433">
      <c r="A433" s="34" t="s">
        <v>70</v>
      </c>
      <c r="B433" s="34" t="s">
        <v>1259</v>
      </c>
      <c r="C433" s="34">
        <v>68.0</v>
      </c>
      <c r="D433" s="34" t="s">
        <v>1281</v>
      </c>
      <c r="E433" s="34" t="s">
        <v>1288</v>
      </c>
      <c r="F433" s="34" t="s">
        <v>1289</v>
      </c>
      <c r="G433" s="34">
        <v>68066.0</v>
      </c>
      <c r="H433" s="34" t="s">
        <v>1287</v>
      </c>
      <c r="I433" s="34" t="s">
        <v>18</v>
      </c>
      <c r="J433" s="34" t="s">
        <v>15</v>
      </c>
      <c r="K433" s="45">
        <v>110.7</v>
      </c>
      <c r="L433" s="9"/>
      <c r="M433" s="45">
        <v>110.7</v>
      </c>
    </row>
    <row r="434">
      <c r="A434" s="34" t="s">
        <v>70</v>
      </c>
      <c r="B434" s="34" t="s">
        <v>1259</v>
      </c>
      <c r="C434" s="34">
        <v>68.0</v>
      </c>
      <c r="D434" s="34" t="s">
        <v>1281</v>
      </c>
      <c r="E434" s="34" t="s">
        <v>1290</v>
      </c>
      <c r="F434" s="34" t="s">
        <v>1291</v>
      </c>
      <c r="G434" s="34">
        <v>68224.0</v>
      </c>
      <c r="H434" s="34" t="s">
        <v>1292</v>
      </c>
      <c r="I434" s="34" t="s">
        <v>18</v>
      </c>
      <c r="J434" s="34" t="s">
        <v>13</v>
      </c>
      <c r="K434" s="9"/>
      <c r="L434" s="45">
        <v>77.7</v>
      </c>
      <c r="M434" s="45">
        <v>77.7</v>
      </c>
    </row>
    <row r="435">
      <c r="A435" s="34" t="s">
        <v>70</v>
      </c>
      <c r="B435" s="34" t="s">
        <v>1259</v>
      </c>
      <c r="C435" s="34">
        <v>68.0</v>
      </c>
      <c r="D435" s="34" t="s">
        <v>1281</v>
      </c>
      <c r="E435" s="34" t="s">
        <v>1293</v>
      </c>
      <c r="F435" s="34" t="s">
        <v>1294</v>
      </c>
      <c r="G435" s="34">
        <v>68269.0</v>
      </c>
      <c r="H435" s="34" t="s">
        <v>1295</v>
      </c>
      <c r="I435" s="34" t="s">
        <v>18</v>
      </c>
      <c r="J435" s="34" t="s">
        <v>15</v>
      </c>
      <c r="K435" s="45">
        <v>121.5</v>
      </c>
      <c r="L435" s="9"/>
      <c r="M435" s="45">
        <v>121.5</v>
      </c>
    </row>
    <row r="436">
      <c r="A436" s="34" t="s">
        <v>70</v>
      </c>
      <c r="B436" s="34" t="s">
        <v>1259</v>
      </c>
      <c r="C436" s="34">
        <v>68.0</v>
      </c>
      <c r="D436" s="34" t="s">
        <v>1281</v>
      </c>
      <c r="E436" s="34" t="s">
        <v>1296</v>
      </c>
      <c r="F436" s="34" t="s">
        <v>1297</v>
      </c>
      <c r="G436" s="34">
        <v>68298.0</v>
      </c>
      <c r="H436" s="34" t="s">
        <v>1298</v>
      </c>
      <c r="I436" s="34" t="s">
        <v>18</v>
      </c>
      <c r="J436" s="34" t="s">
        <v>14</v>
      </c>
      <c r="K436" s="45">
        <v>109.9</v>
      </c>
      <c r="L436" s="45">
        <v>89.6</v>
      </c>
      <c r="M436" s="45">
        <v>98.6</v>
      </c>
    </row>
    <row r="437">
      <c r="A437" s="34" t="s">
        <v>70</v>
      </c>
      <c r="B437" s="34" t="s">
        <v>1259</v>
      </c>
      <c r="C437" s="34">
        <v>68.0</v>
      </c>
      <c r="D437" s="34" t="s">
        <v>1281</v>
      </c>
      <c r="E437" s="34" t="s">
        <v>1299</v>
      </c>
      <c r="F437" s="34" t="s">
        <v>1300</v>
      </c>
      <c r="G437" s="34">
        <v>68334.0</v>
      </c>
      <c r="H437" s="34" t="s">
        <v>1301</v>
      </c>
      <c r="I437" s="34" t="s">
        <v>18</v>
      </c>
      <c r="J437" s="34" t="s">
        <v>15</v>
      </c>
      <c r="K437" s="45">
        <v>116.1</v>
      </c>
      <c r="L437" s="9"/>
      <c r="M437" s="45">
        <v>116.1</v>
      </c>
    </row>
    <row r="438">
      <c r="A438" s="34" t="s">
        <v>70</v>
      </c>
      <c r="B438" s="34" t="s">
        <v>1259</v>
      </c>
      <c r="C438" s="34">
        <v>68.0</v>
      </c>
      <c r="D438" s="34" t="s">
        <v>1281</v>
      </c>
      <c r="E438" s="34" t="s">
        <v>1302</v>
      </c>
      <c r="F438" s="34" t="s">
        <v>1303</v>
      </c>
      <c r="G438" s="34">
        <v>68066.0</v>
      </c>
      <c r="H438" s="34" t="s">
        <v>1287</v>
      </c>
      <c r="I438" s="34" t="s">
        <v>17</v>
      </c>
      <c r="J438" s="34" t="s">
        <v>15</v>
      </c>
      <c r="K438" s="45">
        <v>118.8</v>
      </c>
      <c r="L438" s="9"/>
      <c r="M438" s="45">
        <v>118.8</v>
      </c>
    </row>
    <row r="439">
      <c r="A439" s="34" t="s">
        <v>70</v>
      </c>
      <c r="B439" s="34" t="s">
        <v>1259</v>
      </c>
      <c r="C439" s="34">
        <v>68.0</v>
      </c>
      <c r="D439" s="34" t="s">
        <v>1281</v>
      </c>
      <c r="E439" s="34" t="s">
        <v>1304</v>
      </c>
      <c r="F439" s="34" t="s">
        <v>1305</v>
      </c>
      <c r="G439" s="34">
        <v>68224.0</v>
      </c>
      <c r="H439" s="34" t="s">
        <v>1292</v>
      </c>
      <c r="I439" s="34" t="s">
        <v>17</v>
      </c>
      <c r="J439" s="34" t="s">
        <v>15</v>
      </c>
      <c r="K439" s="45">
        <v>127.0</v>
      </c>
      <c r="L439" s="9"/>
      <c r="M439" s="45">
        <v>127.0</v>
      </c>
    </row>
    <row r="440">
      <c r="A440" s="34" t="s">
        <v>70</v>
      </c>
      <c r="B440" s="34" t="s">
        <v>1259</v>
      </c>
      <c r="C440" s="34">
        <v>68.0</v>
      </c>
      <c r="D440" s="34" t="s">
        <v>1281</v>
      </c>
      <c r="E440" s="34" t="s">
        <v>1306</v>
      </c>
      <c r="F440" s="34" t="s">
        <v>1307</v>
      </c>
      <c r="G440" s="34">
        <v>68224.0</v>
      </c>
      <c r="H440" s="34" t="s">
        <v>1292</v>
      </c>
      <c r="I440" s="34" t="s">
        <v>18</v>
      </c>
      <c r="J440" s="34" t="s">
        <v>15</v>
      </c>
      <c r="K440" s="45">
        <v>103.4</v>
      </c>
      <c r="L440" s="9"/>
      <c r="M440" s="45">
        <v>103.4</v>
      </c>
    </row>
    <row r="441">
      <c r="A441" s="34" t="s">
        <v>70</v>
      </c>
      <c r="B441" s="34" t="s">
        <v>1259</v>
      </c>
      <c r="C441" s="34">
        <v>68.0</v>
      </c>
      <c r="D441" s="34" t="s">
        <v>1281</v>
      </c>
      <c r="E441" s="34" t="s">
        <v>1308</v>
      </c>
      <c r="F441" s="34" t="s">
        <v>1309</v>
      </c>
      <c r="G441" s="34">
        <v>68224.0</v>
      </c>
      <c r="H441" s="34" t="s">
        <v>1292</v>
      </c>
      <c r="I441" s="34" t="s">
        <v>18</v>
      </c>
      <c r="J441" s="34" t="s">
        <v>14</v>
      </c>
      <c r="K441" s="45">
        <v>90.5</v>
      </c>
      <c r="L441" s="45">
        <v>85.3</v>
      </c>
      <c r="M441" s="45">
        <v>90.1</v>
      </c>
    </row>
    <row r="442">
      <c r="A442" s="34" t="s">
        <v>70</v>
      </c>
      <c r="B442" s="34" t="s">
        <v>1259</v>
      </c>
      <c r="C442" s="34">
        <v>68.0</v>
      </c>
      <c r="D442" s="34" t="s">
        <v>1281</v>
      </c>
      <c r="E442" s="34" t="s">
        <v>1310</v>
      </c>
      <c r="F442" s="34" t="s">
        <v>1311</v>
      </c>
      <c r="G442" s="34">
        <v>68063.0</v>
      </c>
      <c r="H442" s="34" t="s">
        <v>1312</v>
      </c>
      <c r="I442" s="34" t="s">
        <v>18</v>
      </c>
      <c r="J442" s="34" t="s">
        <v>13</v>
      </c>
      <c r="K442" s="9"/>
      <c r="L442" s="45">
        <v>86.0</v>
      </c>
      <c r="M442" s="45">
        <v>86.0</v>
      </c>
    </row>
    <row r="443">
      <c r="A443" s="34" t="s">
        <v>70</v>
      </c>
      <c r="B443" s="34" t="s">
        <v>1259</v>
      </c>
      <c r="C443" s="34">
        <v>68.0</v>
      </c>
      <c r="D443" s="34" t="s">
        <v>1281</v>
      </c>
      <c r="E443" s="34" t="s">
        <v>1313</v>
      </c>
      <c r="F443" s="34" t="s">
        <v>1314</v>
      </c>
      <c r="G443" s="34">
        <v>68375.0</v>
      </c>
      <c r="H443" s="34" t="s">
        <v>1315</v>
      </c>
      <c r="I443" s="34" t="s">
        <v>18</v>
      </c>
      <c r="J443" s="34" t="s">
        <v>14</v>
      </c>
      <c r="K443" s="45">
        <v>103.3</v>
      </c>
      <c r="L443" s="45">
        <v>76.1</v>
      </c>
      <c r="M443" s="45">
        <v>94.1</v>
      </c>
    </row>
    <row r="444">
      <c r="A444" s="34" t="s">
        <v>70</v>
      </c>
      <c r="B444" s="34" t="s">
        <v>71</v>
      </c>
      <c r="C444" s="34">
        <v>69.0</v>
      </c>
      <c r="D444" s="34" t="s">
        <v>1316</v>
      </c>
      <c r="E444" s="34" t="s">
        <v>1317</v>
      </c>
      <c r="F444" s="34" t="s">
        <v>1318</v>
      </c>
      <c r="G444" s="34">
        <v>69010.0</v>
      </c>
      <c r="H444" s="34" t="s">
        <v>1319</v>
      </c>
      <c r="I444" s="34" t="s">
        <v>18</v>
      </c>
      <c r="J444" s="34" t="s">
        <v>13</v>
      </c>
      <c r="K444" s="9"/>
      <c r="L444" s="45">
        <v>94.9</v>
      </c>
      <c r="M444" s="45">
        <v>94.9</v>
      </c>
    </row>
    <row r="445">
      <c r="A445" s="34" t="s">
        <v>70</v>
      </c>
      <c r="B445" s="34" t="s">
        <v>71</v>
      </c>
      <c r="C445" s="34">
        <v>69.0</v>
      </c>
      <c r="D445" s="34" t="s">
        <v>1316</v>
      </c>
      <c r="E445" s="34" t="s">
        <v>1320</v>
      </c>
      <c r="F445" s="34" t="s">
        <v>1321</v>
      </c>
      <c r="G445" s="34">
        <v>69027.0</v>
      </c>
      <c r="H445" s="34" t="s">
        <v>1322</v>
      </c>
      <c r="I445" s="34" t="s">
        <v>18</v>
      </c>
      <c r="J445" s="34" t="s">
        <v>13</v>
      </c>
      <c r="K445" s="9"/>
      <c r="L445" s="45">
        <v>80.6</v>
      </c>
      <c r="M445" s="45">
        <v>80.6</v>
      </c>
    </row>
    <row r="446">
      <c r="A446" s="34" t="s">
        <v>70</v>
      </c>
      <c r="B446" s="34" t="s">
        <v>71</v>
      </c>
      <c r="C446" s="34">
        <v>69.0</v>
      </c>
      <c r="D446" s="34" t="s">
        <v>1316</v>
      </c>
      <c r="E446" s="34" t="s">
        <v>1323</v>
      </c>
      <c r="F446" s="34" t="s">
        <v>1324</v>
      </c>
      <c r="G446" s="34">
        <v>69384.0</v>
      </c>
      <c r="H446" s="34" t="s">
        <v>1325</v>
      </c>
      <c r="I446" s="34" t="s">
        <v>18</v>
      </c>
      <c r="J446" s="34" t="s">
        <v>15</v>
      </c>
      <c r="K446" s="45">
        <v>133.5</v>
      </c>
      <c r="L446" s="9"/>
      <c r="M446" s="45">
        <v>133.5</v>
      </c>
    </row>
    <row r="447">
      <c r="A447" s="34" t="s">
        <v>70</v>
      </c>
      <c r="B447" s="34" t="s">
        <v>71</v>
      </c>
      <c r="C447" s="34">
        <v>69.0</v>
      </c>
      <c r="D447" s="34" t="s">
        <v>1316</v>
      </c>
      <c r="E447" s="34" t="s">
        <v>1326</v>
      </c>
      <c r="F447" s="34" t="s">
        <v>1327</v>
      </c>
      <c r="G447" s="34">
        <v>69388.0</v>
      </c>
      <c r="H447" s="34" t="s">
        <v>1328</v>
      </c>
      <c r="I447" s="34" t="s">
        <v>18</v>
      </c>
      <c r="J447" s="34" t="s">
        <v>14</v>
      </c>
      <c r="K447" s="45">
        <v>92.2</v>
      </c>
      <c r="L447" s="45">
        <v>113.5</v>
      </c>
      <c r="M447" s="45">
        <v>92.4</v>
      </c>
    </row>
    <row r="448">
      <c r="A448" s="34" t="s">
        <v>70</v>
      </c>
      <c r="B448" s="34" t="s">
        <v>71</v>
      </c>
      <c r="C448" s="34">
        <v>69.0</v>
      </c>
      <c r="D448" s="34" t="s">
        <v>1316</v>
      </c>
      <c r="E448" s="34" t="s">
        <v>1329</v>
      </c>
      <c r="F448" s="34" t="s">
        <v>1330</v>
      </c>
      <c r="G448" s="34">
        <v>69389.0</v>
      </c>
      <c r="H448" s="34" t="s">
        <v>1331</v>
      </c>
      <c r="I448" s="34" t="s">
        <v>18</v>
      </c>
      <c r="J448" s="34" t="s">
        <v>15</v>
      </c>
      <c r="K448" s="45">
        <v>104.4</v>
      </c>
      <c r="L448" s="9"/>
      <c r="M448" s="45">
        <v>104.4</v>
      </c>
    </row>
    <row r="449">
      <c r="A449" s="34" t="s">
        <v>70</v>
      </c>
      <c r="B449" s="34" t="s">
        <v>71</v>
      </c>
      <c r="C449" s="34">
        <v>69.0</v>
      </c>
      <c r="D449" s="34" t="s">
        <v>1316</v>
      </c>
      <c r="E449" s="34" t="s">
        <v>1332</v>
      </c>
      <c r="F449" s="34" t="s">
        <v>1333</v>
      </c>
      <c r="G449" s="34">
        <v>69381.0</v>
      </c>
      <c r="H449" s="34" t="s">
        <v>1334</v>
      </c>
      <c r="I449" s="34" t="s">
        <v>18</v>
      </c>
      <c r="J449" s="34" t="s">
        <v>13</v>
      </c>
      <c r="K449" s="9"/>
      <c r="L449" s="45">
        <v>81.5</v>
      </c>
      <c r="M449" s="45">
        <v>81.5</v>
      </c>
    </row>
    <row r="450">
      <c r="A450" s="34" t="s">
        <v>70</v>
      </c>
      <c r="B450" s="34" t="s">
        <v>71</v>
      </c>
      <c r="C450" s="34">
        <v>69.0</v>
      </c>
      <c r="D450" s="34" t="s">
        <v>1316</v>
      </c>
      <c r="E450" s="34" t="s">
        <v>1335</v>
      </c>
      <c r="F450" s="34" t="s">
        <v>1336</v>
      </c>
      <c r="G450" s="34">
        <v>69266.0</v>
      </c>
      <c r="H450" s="34" t="s">
        <v>1337</v>
      </c>
      <c r="I450" s="34" t="s">
        <v>18</v>
      </c>
      <c r="J450" s="34" t="s">
        <v>13</v>
      </c>
      <c r="K450" s="9"/>
      <c r="L450" s="45">
        <v>77.6</v>
      </c>
      <c r="M450" s="45">
        <v>77.6</v>
      </c>
    </row>
    <row r="451">
      <c r="A451" s="34" t="s">
        <v>70</v>
      </c>
      <c r="B451" s="34" t="s">
        <v>71</v>
      </c>
      <c r="C451" s="34">
        <v>69.0</v>
      </c>
      <c r="D451" s="34" t="s">
        <v>1316</v>
      </c>
      <c r="E451" s="34" t="s">
        <v>1338</v>
      </c>
      <c r="F451" s="34" t="s">
        <v>1339</v>
      </c>
      <c r="G451" s="34">
        <v>69385.0</v>
      </c>
      <c r="H451" s="34" t="s">
        <v>1340</v>
      </c>
      <c r="I451" s="34" t="s">
        <v>18</v>
      </c>
      <c r="J451" s="34" t="s">
        <v>14</v>
      </c>
      <c r="K451" s="45">
        <v>116.5</v>
      </c>
      <c r="L451" s="45">
        <v>95.8</v>
      </c>
      <c r="M451" s="45">
        <v>109.7</v>
      </c>
    </row>
    <row r="452">
      <c r="A452" s="34" t="s">
        <v>70</v>
      </c>
      <c r="B452" s="34" t="s">
        <v>71</v>
      </c>
      <c r="C452" s="34">
        <v>69.0</v>
      </c>
      <c r="D452" s="34" t="s">
        <v>1316</v>
      </c>
      <c r="E452" s="34" t="s">
        <v>1341</v>
      </c>
      <c r="F452" s="34" t="s">
        <v>1342</v>
      </c>
      <c r="G452" s="34">
        <v>69385.0</v>
      </c>
      <c r="H452" s="34" t="s">
        <v>1340</v>
      </c>
      <c r="I452" s="34" t="s">
        <v>17</v>
      </c>
      <c r="J452" s="34" t="s">
        <v>15</v>
      </c>
      <c r="K452" s="45">
        <v>132.7</v>
      </c>
      <c r="L452" s="9"/>
      <c r="M452" s="45">
        <v>132.7</v>
      </c>
    </row>
    <row r="453">
      <c r="A453" s="34" t="s">
        <v>70</v>
      </c>
      <c r="B453" s="34" t="s">
        <v>71</v>
      </c>
      <c r="C453" s="34">
        <v>69.0</v>
      </c>
      <c r="D453" s="34" t="s">
        <v>1316</v>
      </c>
      <c r="E453" s="34" t="s">
        <v>1343</v>
      </c>
      <c r="F453" s="34" t="s">
        <v>1344</v>
      </c>
      <c r="G453" s="34">
        <v>69149.0</v>
      </c>
      <c r="H453" s="34" t="s">
        <v>1345</v>
      </c>
      <c r="I453" s="34" t="s">
        <v>17</v>
      </c>
      <c r="J453" s="34" t="s">
        <v>15</v>
      </c>
      <c r="K453" s="45">
        <v>138.0</v>
      </c>
      <c r="L453" s="9"/>
      <c r="M453" s="45">
        <v>138.0</v>
      </c>
    </row>
    <row r="454">
      <c r="A454" s="34" t="s">
        <v>70</v>
      </c>
      <c r="B454" s="34" t="s">
        <v>71</v>
      </c>
      <c r="C454" s="34">
        <v>69.0</v>
      </c>
      <c r="D454" s="34" t="s">
        <v>1316</v>
      </c>
      <c r="E454" s="34" t="s">
        <v>1346</v>
      </c>
      <c r="F454" s="34" t="s">
        <v>1347</v>
      </c>
      <c r="G454" s="34">
        <v>69385.0</v>
      </c>
      <c r="H454" s="34" t="s">
        <v>1340</v>
      </c>
      <c r="I454" s="34" t="s">
        <v>17</v>
      </c>
      <c r="J454" s="34" t="s">
        <v>15</v>
      </c>
      <c r="K454" s="45">
        <v>120.9</v>
      </c>
      <c r="L454" s="9"/>
      <c r="M454" s="45">
        <v>120.9</v>
      </c>
    </row>
    <row r="455">
      <c r="A455" s="34" t="s">
        <v>70</v>
      </c>
      <c r="B455" s="34" t="s">
        <v>71</v>
      </c>
      <c r="C455" s="34">
        <v>69.0</v>
      </c>
      <c r="D455" s="34" t="s">
        <v>1316</v>
      </c>
      <c r="E455" s="34" t="s">
        <v>1348</v>
      </c>
      <c r="F455" s="34" t="s">
        <v>1349</v>
      </c>
      <c r="G455" s="34">
        <v>69382.0</v>
      </c>
      <c r="H455" s="34" t="s">
        <v>1350</v>
      </c>
      <c r="I455" s="34" t="s">
        <v>17</v>
      </c>
      <c r="J455" s="34" t="s">
        <v>13</v>
      </c>
      <c r="K455" s="9"/>
      <c r="L455" s="45">
        <v>106.1</v>
      </c>
      <c r="M455" s="45">
        <v>106.1</v>
      </c>
    </row>
    <row r="456">
      <c r="A456" s="34" t="s">
        <v>70</v>
      </c>
      <c r="B456" s="34" t="s">
        <v>71</v>
      </c>
      <c r="C456" s="34">
        <v>69.0</v>
      </c>
      <c r="D456" s="34" t="s">
        <v>1316</v>
      </c>
      <c r="E456" s="34" t="s">
        <v>1351</v>
      </c>
      <c r="F456" s="34" t="s">
        <v>1352</v>
      </c>
      <c r="G456" s="34">
        <v>69387.0</v>
      </c>
      <c r="H456" s="34" t="s">
        <v>1353</v>
      </c>
      <c r="I456" s="34" t="s">
        <v>17</v>
      </c>
      <c r="J456" s="34" t="s">
        <v>13</v>
      </c>
      <c r="K456" s="9"/>
      <c r="L456" s="45">
        <v>100.0</v>
      </c>
      <c r="M456" s="45">
        <v>100.0</v>
      </c>
    </row>
    <row r="457">
      <c r="A457" s="34" t="s">
        <v>70</v>
      </c>
      <c r="B457" s="34" t="s">
        <v>71</v>
      </c>
      <c r="C457" s="34">
        <v>69.0</v>
      </c>
      <c r="D457" s="34" t="s">
        <v>1316</v>
      </c>
      <c r="E457" s="34" t="s">
        <v>1354</v>
      </c>
      <c r="F457" s="34" t="s">
        <v>1355</v>
      </c>
      <c r="G457" s="34">
        <v>69264.0</v>
      </c>
      <c r="H457" s="34" t="s">
        <v>1356</v>
      </c>
      <c r="I457" s="34" t="s">
        <v>18</v>
      </c>
      <c r="J457" s="34" t="s">
        <v>14</v>
      </c>
      <c r="K457" s="45">
        <v>125.7</v>
      </c>
      <c r="L457" s="45">
        <v>92.1</v>
      </c>
      <c r="M457" s="45">
        <v>119.8</v>
      </c>
    </row>
    <row r="458">
      <c r="A458" s="34" t="s">
        <v>70</v>
      </c>
      <c r="B458" s="34" t="s">
        <v>71</v>
      </c>
      <c r="C458" s="34">
        <v>69.0</v>
      </c>
      <c r="D458" s="34" t="s">
        <v>1316</v>
      </c>
      <c r="E458" s="34" t="s">
        <v>1357</v>
      </c>
      <c r="F458" s="34" t="s">
        <v>1358</v>
      </c>
      <c r="G458" s="34">
        <v>69384.0</v>
      </c>
      <c r="H458" s="34" t="s">
        <v>1325</v>
      </c>
      <c r="I458" s="34" t="s">
        <v>17</v>
      </c>
      <c r="J458" s="34" t="s">
        <v>13</v>
      </c>
      <c r="K458" s="9"/>
      <c r="L458" s="45">
        <v>85.1</v>
      </c>
      <c r="M458" s="45">
        <v>85.1</v>
      </c>
    </row>
    <row r="459">
      <c r="A459" s="34" t="s">
        <v>70</v>
      </c>
      <c r="B459" s="34" t="s">
        <v>71</v>
      </c>
      <c r="C459" s="34">
        <v>69.0</v>
      </c>
      <c r="D459" s="34" t="s">
        <v>1316</v>
      </c>
      <c r="E459" s="34" t="s">
        <v>1359</v>
      </c>
      <c r="F459" s="34" t="s">
        <v>1360</v>
      </c>
      <c r="G459" s="34">
        <v>69381.0</v>
      </c>
      <c r="H459" s="34" t="s">
        <v>1334</v>
      </c>
      <c r="I459" s="34" t="s">
        <v>17</v>
      </c>
      <c r="J459" s="34" t="s">
        <v>13</v>
      </c>
      <c r="K459" s="9"/>
      <c r="L459" s="45">
        <v>75.9</v>
      </c>
      <c r="M459" s="45">
        <v>75.9</v>
      </c>
    </row>
    <row r="460">
      <c r="A460" s="34" t="s">
        <v>70</v>
      </c>
      <c r="B460" s="34" t="s">
        <v>71</v>
      </c>
      <c r="C460" s="34">
        <v>69.0</v>
      </c>
      <c r="D460" s="34" t="s">
        <v>1316</v>
      </c>
      <c r="E460" s="34" t="s">
        <v>1361</v>
      </c>
      <c r="F460" s="34" t="s">
        <v>1362</v>
      </c>
      <c r="G460" s="34">
        <v>69382.0</v>
      </c>
      <c r="H460" s="34" t="s">
        <v>1350</v>
      </c>
      <c r="I460" s="34" t="s">
        <v>17</v>
      </c>
      <c r="J460" s="34" t="s">
        <v>13</v>
      </c>
      <c r="K460" s="9"/>
      <c r="L460" s="45">
        <v>92.8</v>
      </c>
      <c r="M460" s="45">
        <v>92.8</v>
      </c>
    </row>
    <row r="461">
      <c r="A461" s="34" t="s">
        <v>70</v>
      </c>
      <c r="B461" s="34" t="s">
        <v>71</v>
      </c>
      <c r="C461" s="34">
        <v>69.0</v>
      </c>
      <c r="D461" s="34" t="s">
        <v>1316</v>
      </c>
      <c r="E461" s="34" t="s">
        <v>1363</v>
      </c>
      <c r="F461" s="34" t="s">
        <v>1364</v>
      </c>
      <c r="G461" s="34">
        <v>69275.0</v>
      </c>
      <c r="H461" s="34" t="s">
        <v>1365</v>
      </c>
      <c r="I461" s="34" t="s">
        <v>18</v>
      </c>
      <c r="J461" s="34" t="s">
        <v>14</v>
      </c>
      <c r="K461" s="45">
        <v>107.6</v>
      </c>
      <c r="L461" s="45">
        <v>86.9</v>
      </c>
      <c r="M461" s="45">
        <v>105.5</v>
      </c>
    </row>
    <row r="462">
      <c r="A462" s="34" t="s">
        <v>70</v>
      </c>
      <c r="B462" s="34" t="s">
        <v>71</v>
      </c>
      <c r="C462" s="34">
        <v>69.0</v>
      </c>
      <c r="D462" s="34" t="s">
        <v>1316</v>
      </c>
      <c r="E462" s="34" t="s">
        <v>1366</v>
      </c>
      <c r="F462" s="34" t="s">
        <v>1367</v>
      </c>
      <c r="G462" s="34">
        <v>69388.0</v>
      </c>
      <c r="H462" s="34" t="s">
        <v>1328</v>
      </c>
      <c r="I462" s="34" t="s">
        <v>18</v>
      </c>
      <c r="J462" s="34" t="s">
        <v>15</v>
      </c>
      <c r="K462" s="45">
        <v>95.6</v>
      </c>
      <c r="L462" s="9"/>
      <c r="M462" s="45">
        <v>95.6</v>
      </c>
    </row>
    <row r="463">
      <c r="A463" s="34" t="s">
        <v>70</v>
      </c>
      <c r="B463" s="34" t="s">
        <v>71</v>
      </c>
      <c r="C463" s="34">
        <v>69.0</v>
      </c>
      <c r="D463" s="34" t="s">
        <v>1316</v>
      </c>
      <c r="E463" s="34" t="s">
        <v>1368</v>
      </c>
      <c r="F463" s="34" t="s">
        <v>1369</v>
      </c>
      <c r="G463" s="34">
        <v>69034.0</v>
      </c>
      <c r="H463" s="34" t="s">
        <v>1370</v>
      </c>
      <c r="I463" s="34" t="s">
        <v>18</v>
      </c>
      <c r="J463" s="34" t="s">
        <v>13</v>
      </c>
      <c r="K463" s="9"/>
      <c r="L463" s="45">
        <v>82.7</v>
      </c>
      <c r="M463" s="45">
        <v>82.7</v>
      </c>
    </row>
    <row r="464">
      <c r="A464" s="34" t="s">
        <v>70</v>
      </c>
      <c r="B464" s="34" t="s">
        <v>71</v>
      </c>
      <c r="C464" s="34">
        <v>69.0</v>
      </c>
      <c r="D464" s="34" t="s">
        <v>1316</v>
      </c>
      <c r="E464" s="34" t="s">
        <v>1371</v>
      </c>
      <c r="F464" s="34" t="s">
        <v>1372</v>
      </c>
      <c r="G464" s="34">
        <v>69243.0</v>
      </c>
      <c r="H464" s="34" t="s">
        <v>1373</v>
      </c>
      <c r="I464" s="34" t="s">
        <v>17</v>
      </c>
      <c r="J464" s="34" t="s">
        <v>15</v>
      </c>
      <c r="K464" s="45">
        <v>113.8</v>
      </c>
      <c r="L464" s="9"/>
      <c r="M464" s="45">
        <v>113.8</v>
      </c>
    </row>
    <row r="465">
      <c r="A465" s="34" t="s">
        <v>70</v>
      </c>
      <c r="B465" s="34" t="s">
        <v>71</v>
      </c>
      <c r="C465" s="34">
        <v>69.0</v>
      </c>
      <c r="D465" s="34" t="s">
        <v>1316</v>
      </c>
      <c r="E465" s="34" t="s">
        <v>1374</v>
      </c>
      <c r="F465" s="34" t="s">
        <v>1375</v>
      </c>
      <c r="G465" s="34">
        <v>69388.0</v>
      </c>
      <c r="H465" s="34" t="s">
        <v>1328</v>
      </c>
      <c r="I465" s="34" t="s">
        <v>17</v>
      </c>
      <c r="J465" s="34" t="s">
        <v>13</v>
      </c>
      <c r="K465" s="9"/>
      <c r="L465" s="45">
        <v>120.8</v>
      </c>
      <c r="M465" s="45">
        <v>120.8</v>
      </c>
    </row>
    <row r="466">
      <c r="A466" s="34" t="s">
        <v>70</v>
      </c>
      <c r="B466" s="34" t="s">
        <v>71</v>
      </c>
      <c r="C466" s="34">
        <v>69.0</v>
      </c>
      <c r="D466" s="34" t="s">
        <v>1316</v>
      </c>
      <c r="E466" s="34" t="s">
        <v>1376</v>
      </c>
      <c r="F466" s="34" t="s">
        <v>1377</v>
      </c>
      <c r="G466" s="34">
        <v>69387.0</v>
      </c>
      <c r="H466" s="34" t="s">
        <v>1353</v>
      </c>
      <c r="I466" s="34" t="s">
        <v>18</v>
      </c>
      <c r="J466" s="34" t="s">
        <v>15</v>
      </c>
      <c r="K466" s="45">
        <v>131.3</v>
      </c>
      <c r="L466" s="9"/>
      <c r="M466" s="45">
        <v>131.3</v>
      </c>
    </row>
    <row r="467">
      <c r="A467" s="34" t="s">
        <v>70</v>
      </c>
      <c r="B467" s="34" t="s">
        <v>71</v>
      </c>
      <c r="C467" s="34">
        <v>69.0</v>
      </c>
      <c r="D467" s="34" t="s">
        <v>1316</v>
      </c>
      <c r="E467" s="34" t="s">
        <v>1378</v>
      </c>
      <c r="F467" s="34" t="s">
        <v>1379</v>
      </c>
      <c r="G467" s="34">
        <v>69072.0</v>
      </c>
      <c r="H467" s="34" t="s">
        <v>1380</v>
      </c>
      <c r="I467" s="34" t="s">
        <v>18</v>
      </c>
      <c r="J467" s="34" t="s">
        <v>14</v>
      </c>
      <c r="K467" s="45">
        <v>125.8</v>
      </c>
      <c r="L467" s="45">
        <v>97.5</v>
      </c>
      <c r="M467" s="45">
        <v>104.9</v>
      </c>
    </row>
    <row r="468">
      <c r="A468" s="34" t="s">
        <v>70</v>
      </c>
      <c r="B468" s="34" t="s">
        <v>71</v>
      </c>
      <c r="C468" s="34">
        <v>69.0</v>
      </c>
      <c r="D468" s="34" t="s">
        <v>1316</v>
      </c>
      <c r="E468" s="34" t="s">
        <v>1381</v>
      </c>
      <c r="F468" s="34" t="s">
        <v>1382</v>
      </c>
      <c r="G468" s="34">
        <v>69256.0</v>
      </c>
      <c r="H468" s="34" t="s">
        <v>1383</v>
      </c>
      <c r="I468" s="34" t="s">
        <v>18</v>
      </c>
      <c r="J468" s="34" t="s">
        <v>15</v>
      </c>
      <c r="K468" s="45">
        <v>83.8</v>
      </c>
      <c r="L468" s="9"/>
      <c r="M468" s="45">
        <v>83.8</v>
      </c>
    </row>
    <row r="469">
      <c r="A469" s="34" t="s">
        <v>70</v>
      </c>
      <c r="B469" s="34" t="s">
        <v>71</v>
      </c>
      <c r="C469" s="34">
        <v>69.0</v>
      </c>
      <c r="D469" s="34" t="s">
        <v>1316</v>
      </c>
      <c r="E469" s="34" t="s">
        <v>1384</v>
      </c>
      <c r="F469" s="34" t="s">
        <v>1385</v>
      </c>
      <c r="G469" s="34">
        <v>69275.0</v>
      </c>
      <c r="H469" s="34" t="s">
        <v>1365</v>
      </c>
      <c r="I469" s="34" t="s">
        <v>17</v>
      </c>
      <c r="J469" s="34" t="s">
        <v>15</v>
      </c>
      <c r="K469" s="45">
        <v>71.0</v>
      </c>
      <c r="L469" s="9"/>
      <c r="M469" s="45">
        <v>71.0</v>
      </c>
    </row>
    <row r="470">
      <c r="A470" s="34" t="s">
        <v>70</v>
      </c>
      <c r="B470" s="34" t="s">
        <v>393</v>
      </c>
      <c r="C470" s="34">
        <v>70.0</v>
      </c>
      <c r="D470" s="34" t="s">
        <v>1386</v>
      </c>
      <c r="E470" s="34" t="s">
        <v>1387</v>
      </c>
      <c r="F470" s="34" t="s">
        <v>1388</v>
      </c>
      <c r="G470" s="34">
        <v>70550.0</v>
      </c>
      <c r="H470" s="34" t="s">
        <v>1389</v>
      </c>
      <c r="I470" s="34" t="s">
        <v>18</v>
      </c>
      <c r="J470" s="34" t="s">
        <v>14</v>
      </c>
      <c r="K470" s="45">
        <v>114.3</v>
      </c>
      <c r="L470" s="45">
        <v>95.0</v>
      </c>
      <c r="M470" s="45">
        <v>112.9</v>
      </c>
    </row>
    <row r="471">
      <c r="A471" s="34" t="s">
        <v>70</v>
      </c>
      <c r="B471" s="34" t="s">
        <v>333</v>
      </c>
      <c r="C471" s="34">
        <v>71.0</v>
      </c>
      <c r="D471" s="34" t="s">
        <v>1390</v>
      </c>
      <c r="E471" s="34" t="s">
        <v>1391</v>
      </c>
      <c r="F471" s="34" t="s">
        <v>1392</v>
      </c>
      <c r="G471" s="34">
        <v>71014.0</v>
      </c>
      <c r="H471" s="34" t="s">
        <v>1393</v>
      </c>
      <c r="I471" s="34" t="s">
        <v>18</v>
      </c>
      <c r="J471" s="34" t="s">
        <v>14</v>
      </c>
      <c r="K471" s="45">
        <v>113.0</v>
      </c>
      <c r="L471" s="45">
        <v>89.7</v>
      </c>
      <c r="M471" s="45">
        <v>107.3</v>
      </c>
    </row>
    <row r="472">
      <c r="A472" s="34" t="s">
        <v>70</v>
      </c>
      <c r="B472" s="34" t="s">
        <v>333</v>
      </c>
      <c r="C472" s="34">
        <v>71.0</v>
      </c>
      <c r="D472" s="34" t="s">
        <v>1390</v>
      </c>
      <c r="E472" s="34" t="s">
        <v>1394</v>
      </c>
      <c r="F472" s="34" t="s">
        <v>1395</v>
      </c>
      <c r="G472" s="34">
        <v>71263.0</v>
      </c>
      <c r="H472" s="34" t="s">
        <v>1396</v>
      </c>
      <c r="I472" s="34" t="s">
        <v>18</v>
      </c>
      <c r="J472" s="34" t="s">
        <v>14</v>
      </c>
      <c r="K472" s="45">
        <v>105.3</v>
      </c>
      <c r="L472" s="45">
        <v>81.5</v>
      </c>
      <c r="M472" s="45">
        <v>100.2</v>
      </c>
    </row>
    <row r="473">
      <c r="A473" s="34" t="s">
        <v>70</v>
      </c>
      <c r="B473" s="34" t="s">
        <v>779</v>
      </c>
      <c r="C473" s="34">
        <v>72.0</v>
      </c>
      <c r="D473" s="34" t="s">
        <v>1397</v>
      </c>
      <c r="E473" s="34" t="s">
        <v>1398</v>
      </c>
      <c r="F473" s="34" t="s">
        <v>1399</v>
      </c>
      <c r="G473" s="34">
        <v>72008.0</v>
      </c>
      <c r="H473" s="34" t="s">
        <v>1400</v>
      </c>
      <c r="I473" s="34" t="s">
        <v>18</v>
      </c>
      <c r="J473" s="34" t="s">
        <v>13</v>
      </c>
      <c r="K473" s="9"/>
      <c r="L473" s="45">
        <v>77.3</v>
      </c>
      <c r="M473" s="45">
        <v>77.3</v>
      </c>
    </row>
    <row r="474">
      <c r="A474" s="34" t="s">
        <v>70</v>
      </c>
      <c r="B474" s="34" t="s">
        <v>779</v>
      </c>
      <c r="C474" s="34">
        <v>72.0</v>
      </c>
      <c r="D474" s="34" t="s">
        <v>1397</v>
      </c>
      <c r="E474" s="34" t="s">
        <v>1401</v>
      </c>
      <c r="F474" s="34" t="s">
        <v>1402</v>
      </c>
      <c r="G474" s="34">
        <v>72181.0</v>
      </c>
      <c r="H474" s="34" t="s">
        <v>1403</v>
      </c>
      <c r="I474" s="34" t="s">
        <v>18</v>
      </c>
      <c r="J474" s="34" t="s">
        <v>15</v>
      </c>
      <c r="K474" s="45">
        <v>121.5</v>
      </c>
      <c r="L474" s="9"/>
      <c r="M474" s="45">
        <v>121.5</v>
      </c>
    </row>
    <row r="475">
      <c r="A475" s="34" t="s">
        <v>70</v>
      </c>
      <c r="B475" s="34" t="s">
        <v>161</v>
      </c>
      <c r="C475" s="34">
        <v>73.0</v>
      </c>
      <c r="D475" s="34" t="s">
        <v>1404</v>
      </c>
      <c r="E475" s="34" t="s">
        <v>1405</v>
      </c>
      <c r="F475" s="34" t="s">
        <v>1406</v>
      </c>
      <c r="G475" s="34">
        <v>73064.0</v>
      </c>
      <c r="H475" s="34" t="s">
        <v>1407</v>
      </c>
      <c r="I475" s="34" t="s">
        <v>18</v>
      </c>
      <c r="J475" s="34" t="s">
        <v>13</v>
      </c>
      <c r="K475" s="9"/>
      <c r="L475" s="45">
        <v>94.7</v>
      </c>
      <c r="M475" s="45">
        <v>94.7</v>
      </c>
    </row>
    <row r="476">
      <c r="A476" s="34" t="s">
        <v>70</v>
      </c>
      <c r="B476" s="34" t="s">
        <v>161</v>
      </c>
      <c r="C476" s="34">
        <v>73.0</v>
      </c>
      <c r="D476" s="34" t="s">
        <v>1404</v>
      </c>
      <c r="E476" s="34" t="s">
        <v>1408</v>
      </c>
      <c r="F476" s="34" t="s">
        <v>1409</v>
      </c>
      <c r="G476" s="34">
        <v>73065.0</v>
      </c>
      <c r="H476" s="34" t="s">
        <v>1410</v>
      </c>
      <c r="I476" s="34" t="s">
        <v>18</v>
      </c>
      <c r="J476" s="34" t="s">
        <v>14</v>
      </c>
      <c r="K476" s="45">
        <v>119.1</v>
      </c>
      <c r="L476" s="45">
        <v>96.8</v>
      </c>
      <c r="M476" s="45">
        <v>114.7</v>
      </c>
    </row>
    <row r="477">
      <c r="A477" s="34" t="s">
        <v>70</v>
      </c>
      <c r="B477" s="34" t="s">
        <v>161</v>
      </c>
      <c r="C477" s="34">
        <v>73.0</v>
      </c>
      <c r="D477" s="34" t="s">
        <v>1404</v>
      </c>
      <c r="E477" s="34" t="s">
        <v>1411</v>
      </c>
      <c r="F477" s="34" t="s">
        <v>1412</v>
      </c>
      <c r="G477" s="34">
        <v>73008.0</v>
      </c>
      <c r="H477" s="34" t="s">
        <v>1413</v>
      </c>
      <c r="I477" s="34" t="s">
        <v>17</v>
      </c>
      <c r="J477" s="34" t="s">
        <v>15</v>
      </c>
      <c r="K477" s="45">
        <v>140.6</v>
      </c>
      <c r="L477" s="9"/>
      <c r="M477" s="45">
        <v>140.6</v>
      </c>
    </row>
    <row r="478">
      <c r="A478" s="34" t="s">
        <v>70</v>
      </c>
      <c r="B478" s="34" t="s">
        <v>161</v>
      </c>
      <c r="C478" s="34">
        <v>73.0</v>
      </c>
      <c r="D478" s="34" t="s">
        <v>1404</v>
      </c>
      <c r="E478" s="34" t="s">
        <v>1414</v>
      </c>
      <c r="F478" s="34" t="s">
        <v>1415</v>
      </c>
      <c r="G478" s="34">
        <v>73179.0</v>
      </c>
      <c r="H478" s="34" t="s">
        <v>1416</v>
      </c>
      <c r="I478" s="34" t="s">
        <v>17</v>
      </c>
      <c r="J478" s="34" t="s">
        <v>13</v>
      </c>
      <c r="K478" s="9"/>
      <c r="L478" s="45">
        <v>100.1</v>
      </c>
      <c r="M478" s="45">
        <v>100.1</v>
      </c>
    </row>
    <row r="479">
      <c r="A479" s="34" t="s">
        <v>70</v>
      </c>
      <c r="B479" s="34" t="s">
        <v>161</v>
      </c>
      <c r="C479" s="34">
        <v>73.0</v>
      </c>
      <c r="D479" s="34" t="s">
        <v>1404</v>
      </c>
      <c r="E479" s="34" t="s">
        <v>1417</v>
      </c>
      <c r="F479" s="34" t="s">
        <v>1418</v>
      </c>
      <c r="G479" s="34">
        <v>73065.0</v>
      </c>
      <c r="H479" s="34" t="s">
        <v>1410</v>
      </c>
      <c r="I479" s="34" t="s">
        <v>17</v>
      </c>
      <c r="J479" s="34" t="s">
        <v>13</v>
      </c>
      <c r="K479" s="9"/>
      <c r="L479" s="45">
        <v>95.4</v>
      </c>
      <c r="M479" s="45">
        <v>95.4</v>
      </c>
    </row>
    <row r="480">
      <c r="A480" s="34" t="s">
        <v>70</v>
      </c>
      <c r="B480" s="34" t="s">
        <v>161</v>
      </c>
      <c r="C480" s="34">
        <v>74.0</v>
      </c>
      <c r="D480" s="34" t="s">
        <v>1419</v>
      </c>
      <c r="E480" s="34" t="s">
        <v>1420</v>
      </c>
      <c r="F480" s="34" t="s">
        <v>1421</v>
      </c>
      <c r="G480" s="34">
        <v>74019.0</v>
      </c>
      <c r="H480" s="34" t="s">
        <v>1422</v>
      </c>
      <c r="I480" s="34" t="s">
        <v>18</v>
      </c>
      <c r="J480" s="34" t="s">
        <v>14</v>
      </c>
      <c r="K480" s="45">
        <v>124.2</v>
      </c>
      <c r="L480" s="45">
        <v>103.8</v>
      </c>
      <c r="M480" s="45">
        <v>123.1</v>
      </c>
    </row>
    <row r="481">
      <c r="A481" s="34" t="s">
        <v>70</v>
      </c>
      <c r="B481" s="34" t="s">
        <v>161</v>
      </c>
      <c r="C481" s="34">
        <v>74.0</v>
      </c>
      <c r="D481" s="34" t="s">
        <v>1419</v>
      </c>
      <c r="E481" s="34" t="s">
        <v>1423</v>
      </c>
      <c r="F481" s="34" t="s">
        <v>1424</v>
      </c>
      <c r="G481" s="34">
        <v>74042.0</v>
      </c>
      <c r="H481" s="34" t="s">
        <v>1425</v>
      </c>
      <c r="I481" s="34" t="s">
        <v>18</v>
      </c>
      <c r="J481" s="34" t="s">
        <v>14</v>
      </c>
      <c r="K481" s="45">
        <v>107.3</v>
      </c>
      <c r="L481" s="45">
        <v>80.9</v>
      </c>
      <c r="M481" s="45">
        <v>101.8</v>
      </c>
    </row>
    <row r="482">
      <c r="A482" s="34" t="s">
        <v>70</v>
      </c>
      <c r="B482" s="34" t="s">
        <v>161</v>
      </c>
      <c r="C482" s="34">
        <v>74.0</v>
      </c>
      <c r="D482" s="34" t="s">
        <v>1419</v>
      </c>
      <c r="E482" s="34" t="s">
        <v>1426</v>
      </c>
      <c r="F482" s="34" t="s">
        <v>1427</v>
      </c>
      <c r="G482" s="34">
        <v>74281.0</v>
      </c>
      <c r="H482" s="34" t="s">
        <v>1428</v>
      </c>
      <c r="I482" s="34" t="s">
        <v>18</v>
      </c>
      <c r="J482" s="34" t="s">
        <v>15</v>
      </c>
      <c r="K482" s="45">
        <v>113.9</v>
      </c>
      <c r="L482" s="9"/>
      <c r="M482" s="45">
        <v>113.9</v>
      </c>
    </row>
    <row r="483">
      <c r="A483" s="34" t="s">
        <v>70</v>
      </c>
      <c r="B483" s="34" t="s">
        <v>161</v>
      </c>
      <c r="C483" s="34">
        <v>74.0</v>
      </c>
      <c r="D483" s="34" t="s">
        <v>1419</v>
      </c>
      <c r="E483" s="34" t="s">
        <v>1429</v>
      </c>
      <c r="F483" s="34" t="s">
        <v>1430</v>
      </c>
      <c r="G483" s="34">
        <v>74243.0</v>
      </c>
      <c r="H483" s="34" t="s">
        <v>1431</v>
      </c>
      <c r="I483" s="34" t="s">
        <v>17</v>
      </c>
      <c r="J483" s="34" t="s">
        <v>15</v>
      </c>
      <c r="K483" s="45">
        <v>137.0</v>
      </c>
      <c r="L483" s="9"/>
      <c r="M483" s="45">
        <v>137.0</v>
      </c>
    </row>
    <row r="484">
      <c r="A484" s="34" t="s">
        <v>70</v>
      </c>
      <c r="B484" s="34" t="s">
        <v>161</v>
      </c>
      <c r="C484" s="34">
        <v>74.0</v>
      </c>
      <c r="D484" s="34" t="s">
        <v>1419</v>
      </c>
      <c r="E484" s="34" t="s">
        <v>1432</v>
      </c>
      <c r="F484" s="34" t="s">
        <v>1433</v>
      </c>
      <c r="G484" s="34">
        <v>74305.0</v>
      </c>
      <c r="H484" s="34" t="s">
        <v>1434</v>
      </c>
      <c r="I484" s="34" t="s">
        <v>17</v>
      </c>
      <c r="J484" s="34" t="s">
        <v>15</v>
      </c>
      <c r="K484" s="45">
        <v>124.0</v>
      </c>
      <c r="L484" s="9"/>
      <c r="M484" s="45">
        <v>124.0</v>
      </c>
    </row>
    <row r="485">
      <c r="A485" s="34" t="s">
        <v>70</v>
      </c>
      <c r="B485" s="34" t="s">
        <v>161</v>
      </c>
      <c r="C485" s="34">
        <v>74.0</v>
      </c>
      <c r="D485" s="34" t="s">
        <v>1419</v>
      </c>
      <c r="E485" s="34" t="s">
        <v>1435</v>
      </c>
      <c r="F485" s="34" t="s">
        <v>1436</v>
      </c>
      <c r="G485" s="34">
        <v>74082.0</v>
      </c>
      <c r="H485" s="34" t="s">
        <v>1437</v>
      </c>
      <c r="I485" s="34" t="s">
        <v>17</v>
      </c>
      <c r="J485" s="34" t="s">
        <v>13</v>
      </c>
      <c r="K485" s="9"/>
      <c r="L485" s="45">
        <v>97.5</v>
      </c>
      <c r="M485" s="45">
        <v>97.5</v>
      </c>
    </row>
    <row r="486">
      <c r="A486" s="34" t="s">
        <v>70</v>
      </c>
      <c r="B486" s="34" t="s">
        <v>161</v>
      </c>
      <c r="C486" s="34">
        <v>74.0</v>
      </c>
      <c r="D486" s="34" t="s">
        <v>1419</v>
      </c>
      <c r="E486" s="34" t="s">
        <v>1438</v>
      </c>
      <c r="F486" s="34" t="s">
        <v>1439</v>
      </c>
      <c r="G486" s="34">
        <v>74010.0</v>
      </c>
      <c r="H486" s="34" t="s">
        <v>1440</v>
      </c>
      <c r="I486" s="34" t="s">
        <v>18</v>
      </c>
      <c r="J486" s="34" t="s">
        <v>13</v>
      </c>
      <c r="K486" s="9"/>
      <c r="L486" s="45">
        <v>82.8</v>
      </c>
      <c r="M486" s="45">
        <v>82.8</v>
      </c>
    </row>
    <row r="487">
      <c r="A487" s="34" t="s">
        <v>70</v>
      </c>
      <c r="B487" s="34" t="s">
        <v>1441</v>
      </c>
      <c r="C487" s="34">
        <v>75.0</v>
      </c>
      <c r="D487" s="34" t="s">
        <v>1441</v>
      </c>
      <c r="E487" s="34" t="s">
        <v>1442</v>
      </c>
      <c r="F487" s="34" t="s">
        <v>1443</v>
      </c>
      <c r="G487" s="34">
        <v>75105.0</v>
      </c>
      <c r="H487" s="34" t="s">
        <v>1444</v>
      </c>
      <c r="I487" s="34" t="s">
        <v>18</v>
      </c>
      <c r="J487" s="34" t="s">
        <v>14</v>
      </c>
      <c r="K487" s="45">
        <v>90.9</v>
      </c>
      <c r="L487" s="45">
        <v>76.8</v>
      </c>
      <c r="M487" s="45">
        <v>79.6</v>
      </c>
    </row>
    <row r="488">
      <c r="A488" s="34" t="s">
        <v>70</v>
      </c>
      <c r="B488" s="34" t="s">
        <v>1441</v>
      </c>
      <c r="C488" s="34">
        <v>75.0</v>
      </c>
      <c r="D488" s="34" t="s">
        <v>1441</v>
      </c>
      <c r="E488" s="34" t="s">
        <v>1445</v>
      </c>
      <c r="F488" s="34" t="s">
        <v>994</v>
      </c>
      <c r="G488" s="34">
        <v>75104.0</v>
      </c>
      <c r="H488" s="34" t="s">
        <v>1446</v>
      </c>
      <c r="I488" s="34" t="s">
        <v>18</v>
      </c>
      <c r="J488" s="34" t="s">
        <v>15</v>
      </c>
      <c r="K488" s="45">
        <v>134.4</v>
      </c>
      <c r="L488" s="9"/>
      <c r="M488" s="45">
        <v>134.4</v>
      </c>
    </row>
    <row r="489">
      <c r="A489" s="34" t="s">
        <v>70</v>
      </c>
      <c r="B489" s="34" t="s">
        <v>1441</v>
      </c>
      <c r="C489" s="34">
        <v>75.0</v>
      </c>
      <c r="D489" s="34" t="s">
        <v>1441</v>
      </c>
      <c r="E489" s="34" t="s">
        <v>1447</v>
      </c>
      <c r="F489" s="34" t="s">
        <v>1448</v>
      </c>
      <c r="G489" s="34">
        <v>75107.0</v>
      </c>
      <c r="H489" s="34" t="s">
        <v>1449</v>
      </c>
      <c r="I489" s="34" t="s">
        <v>18</v>
      </c>
      <c r="J489" s="34" t="s">
        <v>15</v>
      </c>
      <c r="K489" s="45">
        <v>142.3</v>
      </c>
      <c r="L489" s="9"/>
      <c r="M489" s="45">
        <v>142.3</v>
      </c>
    </row>
    <row r="490">
      <c r="A490" s="34" t="s">
        <v>70</v>
      </c>
      <c r="B490" s="34" t="s">
        <v>1441</v>
      </c>
      <c r="C490" s="34">
        <v>75.0</v>
      </c>
      <c r="D490" s="34" t="s">
        <v>1441</v>
      </c>
      <c r="E490" s="34" t="s">
        <v>1450</v>
      </c>
      <c r="F490" s="34" t="s">
        <v>1451</v>
      </c>
      <c r="G490" s="34">
        <v>75108.0</v>
      </c>
      <c r="H490" s="34" t="s">
        <v>1452</v>
      </c>
      <c r="I490" s="34" t="s">
        <v>18</v>
      </c>
      <c r="J490" s="34" t="s">
        <v>15</v>
      </c>
      <c r="K490" s="45">
        <v>130.5</v>
      </c>
      <c r="L490" s="9"/>
      <c r="M490" s="45">
        <v>130.5</v>
      </c>
    </row>
    <row r="491">
      <c r="A491" s="34" t="s">
        <v>70</v>
      </c>
      <c r="B491" s="34" t="s">
        <v>1441</v>
      </c>
      <c r="C491" s="34">
        <v>75.0</v>
      </c>
      <c r="D491" s="34" t="s">
        <v>1441</v>
      </c>
      <c r="E491" s="34" t="s">
        <v>1453</v>
      </c>
      <c r="F491" s="34" t="s">
        <v>1454</v>
      </c>
      <c r="G491" s="34">
        <v>75109.0</v>
      </c>
      <c r="H491" s="34" t="s">
        <v>1455</v>
      </c>
      <c r="I491" s="34" t="s">
        <v>18</v>
      </c>
      <c r="J491" s="34" t="s">
        <v>15</v>
      </c>
      <c r="K491" s="45">
        <v>136.1</v>
      </c>
      <c r="L491" s="9"/>
      <c r="M491" s="45">
        <v>136.1</v>
      </c>
    </row>
    <row r="492">
      <c r="A492" s="34" t="s">
        <v>70</v>
      </c>
      <c r="B492" s="34" t="s">
        <v>1441</v>
      </c>
      <c r="C492" s="34">
        <v>75.0</v>
      </c>
      <c r="D492" s="34" t="s">
        <v>1441</v>
      </c>
      <c r="E492" s="34" t="s">
        <v>1456</v>
      </c>
      <c r="F492" s="34" t="s">
        <v>1457</v>
      </c>
      <c r="G492" s="34">
        <v>75109.0</v>
      </c>
      <c r="H492" s="34" t="s">
        <v>1455</v>
      </c>
      <c r="I492" s="34" t="s">
        <v>18</v>
      </c>
      <c r="J492" s="34" t="s">
        <v>15</v>
      </c>
      <c r="K492" s="45">
        <v>123.8</v>
      </c>
      <c r="L492" s="9"/>
      <c r="M492" s="45">
        <v>123.8</v>
      </c>
    </row>
    <row r="493">
      <c r="A493" s="34" t="s">
        <v>70</v>
      </c>
      <c r="B493" s="34" t="s">
        <v>1441</v>
      </c>
      <c r="C493" s="34">
        <v>75.0</v>
      </c>
      <c r="D493" s="34" t="s">
        <v>1441</v>
      </c>
      <c r="E493" s="34" t="s">
        <v>1458</v>
      </c>
      <c r="F493" s="34" t="s">
        <v>1459</v>
      </c>
      <c r="G493" s="34">
        <v>75110.0</v>
      </c>
      <c r="H493" s="34" t="s">
        <v>1460</v>
      </c>
      <c r="I493" s="34" t="s">
        <v>18</v>
      </c>
      <c r="J493" s="34" t="s">
        <v>15</v>
      </c>
      <c r="K493" s="45">
        <v>109.8</v>
      </c>
      <c r="L493" s="9"/>
      <c r="M493" s="45">
        <v>109.8</v>
      </c>
    </row>
    <row r="494">
      <c r="A494" s="34" t="s">
        <v>70</v>
      </c>
      <c r="B494" s="34" t="s">
        <v>1441</v>
      </c>
      <c r="C494" s="34">
        <v>75.0</v>
      </c>
      <c r="D494" s="34" t="s">
        <v>1441</v>
      </c>
      <c r="E494" s="34" t="s">
        <v>1461</v>
      </c>
      <c r="F494" s="34" t="s">
        <v>1462</v>
      </c>
      <c r="G494" s="34">
        <v>75118.0</v>
      </c>
      <c r="H494" s="34" t="s">
        <v>1463</v>
      </c>
      <c r="I494" s="34" t="s">
        <v>18</v>
      </c>
      <c r="J494" s="34" t="s">
        <v>14</v>
      </c>
      <c r="K494" s="45">
        <v>91.8</v>
      </c>
      <c r="L494" s="45">
        <v>61.0</v>
      </c>
      <c r="M494" s="45">
        <v>89.8</v>
      </c>
    </row>
    <row r="495">
      <c r="A495" s="34" t="s">
        <v>70</v>
      </c>
      <c r="B495" s="34" t="s">
        <v>1441</v>
      </c>
      <c r="C495" s="34">
        <v>75.0</v>
      </c>
      <c r="D495" s="34" t="s">
        <v>1441</v>
      </c>
      <c r="E495" s="34" t="s">
        <v>1464</v>
      </c>
      <c r="F495" s="34" t="s">
        <v>1465</v>
      </c>
      <c r="G495" s="34">
        <v>75116.0</v>
      </c>
      <c r="H495" s="34" t="s">
        <v>1466</v>
      </c>
      <c r="I495" s="34" t="s">
        <v>18</v>
      </c>
      <c r="J495" s="34" t="s">
        <v>15</v>
      </c>
      <c r="K495" s="45">
        <v>121.0</v>
      </c>
      <c r="L495" s="9"/>
      <c r="M495" s="45">
        <v>121.0</v>
      </c>
    </row>
    <row r="496">
      <c r="A496" s="34" t="s">
        <v>70</v>
      </c>
      <c r="B496" s="34" t="s">
        <v>1441</v>
      </c>
      <c r="C496" s="34">
        <v>75.0</v>
      </c>
      <c r="D496" s="34" t="s">
        <v>1441</v>
      </c>
      <c r="E496" s="34" t="s">
        <v>1467</v>
      </c>
      <c r="F496" s="34" t="s">
        <v>1468</v>
      </c>
      <c r="G496" s="34">
        <v>75117.0</v>
      </c>
      <c r="H496" s="34" t="s">
        <v>1469</v>
      </c>
      <c r="I496" s="34" t="s">
        <v>18</v>
      </c>
      <c r="J496" s="34" t="s">
        <v>15</v>
      </c>
      <c r="K496" s="45">
        <v>133.4</v>
      </c>
      <c r="L496" s="9"/>
      <c r="M496" s="45">
        <v>133.4</v>
      </c>
    </row>
    <row r="497">
      <c r="A497" s="34" t="s">
        <v>70</v>
      </c>
      <c r="B497" s="34" t="s">
        <v>1441</v>
      </c>
      <c r="C497" s="34">
        <v>75.0</v>
      </c>
      <c r="D497" s="34" t="s">
        <v>1441</v>
      </c>
      <c r="E497" s="34" t="s">
        <v>1470</v>
      </c>
      <c r="F497" s="34" t="s">
        <v>875</v>
      </c>
      <c r="G497" s="34">
        <v>75119.0</v>
      </c>
      <c r="H497" s="34" t="s">
        <v>1471</v>
      </c>
      <c r="I497" s="34" t="s">
        <v>18</v>
      </c>
      <c r="J497" s="34" t="s">
        <v>15</v>
      </c>
      <c r="K497" s="45">
        <v>92.4</v>
      </c>
      <c r="L497" s="9"/>
      <c r="M497" s="45">
        <v>92.4</v>
      </c>
    </row>
    <row r="498">
      <c r="A498" s="34" t="s">
        <v>70</v>
      </c>
      <c r="B498" s="34" t="s">
        <v>1441</v>
      </c>
      <c r="C498" s="34">
        <v>75.0</v>
      </c>
      <c r="D498" s="34" t="s">
        <v>1441</v>
      </c>
      <c r="E498" s="34" t="s">
        <v>1472</v>
      </c>
      <c r="F498" s="34" t="s">
        <v>1473</v>
      </c>
      <c r="G498" s="34">
        <v>75103.0</v>
      </c>
      <c r="H498" s="34" t="s">
        <v>1474</v>
      </c>
      <c r="I498" s="34" t="s">
        <v>18</v>
      </c>
      <c r="J498" s="34" t="s">
        <v>13</v>
      </c>
      <c r="K498" s="9"/>
      <c r="L498" s="45">
        <v>87.4</v>
      </c>
      <c r="M498" s="45">
        <v>87.4</v>
      </c>
    </row>
    <row r="499">
      <c r="A499" s="34" t="s">
        <v>70</v>
      </c>
      <c r="B499" s="34" t="s">
        <v>1441</v>
      </c>
      <c r="C499" s="34">
        <v>75.0</v>
      </c>
      <c r="D499" s="34" t="s">
        <v>1441</v>
      </c>
      <c r="E499" s="34" t="s">
        <v>1475</v>
      </c>
      <c r="F499" s="34" t="s">
        <v>1476</v>
      </c>
      <c r="G499" s="34">
        <v>75113.0</v>
      </c>
      <c r="H499" s="34" t="s">
        <v>1477</v>
      </c>
      <c r="I499" s="34" t="s">
        <v>18</v>
      </c>
      <c r="J499" s="34" t="s">
        <v>13</v>
      </c>
      <c r="K499" s="9"/>
      <c r="L499" s="45">
        <v>99.7</v>
      </c>
      <c r="M499" s="45">
        <v>99.7</v>
      </c>
    </row>
    <row r="500">
      <c r="A500" s="34" t="s">
        <v>70</v>
      </c>
      <c r="B500" s="34" t="s">
        <v>1441</v>
      </c>
      <c r="C500" s="34">
        <v>75.0</v>
      </c>
      <c r="D500" s="34" t="s">
        <v>1441</v>
      </c>
      <c r="E500" s="34" t="s">
        <v>1478</v>
      </c>
      <c r="F500" s="34" t="s">
        <v>1479</v>
      </c>
      <c r="G500" s="34">
        <v>75116.0</v>
      </c>
      <c r="H500" s="34" t="s">
        <v>1466</v>
      </c>
      <c r="I500" s="34" t="s">
        <v>18</v>
      </c>
      <c r="J500" s="34" t="s">
        <v>13</v>
      </c>
      <c r="K500" s="9"/>
      <c r="L500" s="45">
        <v>113.3</v>
      </c>
      <c r="M500" s="45">
        <v>113.3</v>
      </c>
    </row>
    <row r="501">
      <c r="A501" s="34" t="s">
        <v>70</v>
      </c>
      <c r="B501" s="34" t="s">
        <v>1441</v>
      </c>
      <c r="C501" s="34">
        <v>75.0</v>
      </c>
      <c r="D501" s="34" t="s">
        <v>1441</v>
      </c>
      <c r="E501" s="34" t="s">
        <v>1480</v>
      </c>
      <c r="F501" s="34" t="s">
        <v>1481</v>
      </c>
      <c r="G501" s="34">
        <v>75118.0</v>
      </c>
      <c r="H501" s="34" t="s">
        <v>1463</v>
      </c>
      <c r="I501" s="34" t="s">
        <v>18</v>
      </c>
      <c r="J501" s="34" t="s">
        <v>13</v>
      </c>
      <c r="K501" s="9"/>
      <c r="L501" s="45">
        <v>78.6</v>
      </c>
      <c r="M501" s="45">
        <v>78.6</v>
      </c>
    </row>
    <row r="502">
      <c r="A502" s="34" t="s">
        <v>70</v>
      </c>
      <c r="B502" s="34" t="s">
        <v>1441</v>
      </c>
      <c r="C502" s="34">
        <v>75.0</v>
      </c>
      <c r="D502" s="34" t="s">
        <v>1441</v>
      </c>
      <c r="E502" s="34" t="s">
        <v>1482</v>
      </c>
      <c r="F502" s="34" t="s">
        <v>1483</v>
      </c>
      <c r="G502" s="34">
        <v>75117.0</v>
      </c>
      <c r="H502" s="34" t="s">
        <v>1469</v>
      </c>
      <c r="I502" s="34" t="s">
        <v>17</v>
      </c>
      <c r="J502" s="34" t="s">
        <v>15</v>
      </c>
      <c r="K502" s="45">
        <v>149.8</v>
      </c>
      <c r="L502" s="9"/>
      <c r="M502" s="45">
        <v>149.8</v>
      </c>
    </row>
    <row r="503">
      <c r="A503" s="34" t="s">
        <v>70</v>
      </c>
      <c r="B503" s="34" t="s">
        <v>1441</v>
      </c>
      <c r="C503" s="34">
        <v>75.0</v>
      </c>
      <c r="D503" s="34" t="s">
        <v>1441</v>
      </c>
      <c r="E503" s="34" t="s">
        <v>1484</v>
      </c>
      <c r="F503" s="34" t="s">
        <v>1485</v>
      </c>
      <c r="G503" s="34">
        <v>75118.0</v>
      </c>
      <c r="H503" s="34" t="s">
        <v>1463</v>
      </c>
      <c r="I503" s="34" t="s">
        <v>17</v>
      </c>
      <c r="J503" s="34" t="s">
        <v>15</v>
      </c>
      <c r="K503" s="45">
        <v>118.9</v>
      </c>
      <c r="L503" s="9"/>
      <c r="M503" s="45">
        <v>118.9</v>
      </c>
    </row>
    <row r="504">
      <c r="A504" s="34" t="s">
        <v>70</v>
      </c>
      <c r="B504" s="34" t="s">
        <v>1441</v>
      </c>
      <c r="C504" s="34">
        <v>75.0</v>
      </c>
      <c r="D504" s="34" t="s">
        <v>1441</v>
      </c>
      <c r="E504" s="34" t="s">
        <v>1486</v>
      </c>
      <c r="F504" s="34" t="s">
        <v>1487</v>
      </c>
      <c r="G504" s="34">
        <v>75120.0</v>
      </c>
      <c r="H504" s="34" t="s">
        <v>1488</v>
      </c>
      <c r="I504" s="34" t="s">
        <v>17</v>
      </c>
      <c r="J504" s="34" t="s">
        <v>15</v>
      </c>
      <c r="K504" s="45">
        <v>84.8</v>
      </c>
      <c r="L504" s="9"/>
      <c r="M504" s="45">
        <v>84.8</v>
      </c>
    </row>
    <row r="505">
      <c r="A505" s="34" t="s">
        <v>70</v>
      </c>
      <c r="B505" s="34" t="s">
        <v>1441</v>
      </c>
      <c r="C505" s="34">
        <v>75.0</v>
      </c>
      <c r="D505" s="34" t="s">
        <v>1441</v>
      </c>
      <c r="E505" s="34" t="s">
        <v>1489</v>
      </c>
      <c r="F505" s="34" t="s">
        <v>1490</v>
      </c>
      <c r="G505" s="34">
        <v>75104.0</v>
      </c>
      <c r="H505" s="34" t="s">
        <v>1446</v>
      </c>
      <c r="I505" s="34" t="s">
        <v>17</v>
      </c>
      <c r="J505" s="34" t="s">
        <v>15</v>
      </c>
      <c r="K505" s="45">
        <v>145.8</v>
      </c>
      <c r="L505" s="9"/>
      <c r="M505" s="45">
        <v>145.8</v>
      </c>
    </row>
    <row r="506">
      <c r="A506" s="34" t="s">
        <v>70</v>
      </c>
      <c r="B506" s="34" t="s">
        <v>1441</v>
      </c>
      <c r="C506" s="34">
        <v>75.0</v>
      </c>
      <c r="D506" s="34" t="s">
        <v>1441</v>
      </c>
      <c r="E506" s="34" t="s">
        <v>1491</v>
      </c>
      <c r="F506" s="34" t="s">
        <v>1492</v>
      </c>
      <c r="G506" s="34">
        <v>75105.0</v>
      </c>
      <c r="H506" s="34" t="s">
        <v>1444</v>
      </c>
      <c r="I506" s="34" t="s">
        <v>17</v>
      </c>
      <c r="J506" s="34" t="s">
        <v>15</v>
      </c>
      <c r="K506" s="45">
        <v>134.5</v>
      </c>
      <c r="L506" s="9"/>
      <c r="M506" s="45">
        <v>134.5</v>
      </c>
    </row>
    <row r="507">
      <c r="A507" s="34" t="s">
        <v>70</v>
      </c>
      <c r="B507" s="34" t="s">
        <v>1441</v>
      </c>
      <c r="C507" s="34">
        <v>75.0</v>
      </c>
      <c r="D507" s="34" t="s">
        <v>1441</v>
      </c>
      <c r="E507" s="34" t="s">
        <v>1493</v>
      </c>
      <c r="F507" s="34" t="s">
        <v>1494</v>
      </c>
      <c r="G507" s="34">
        <v>75106.0</v>
      </c>
      <c r="H507" s="34" t="s">
        <v>1495</v>
      </c>
      <c r="I507" s="34" t="s">
        <v>17</v>
      </c>
      <c r="J507" s="34" t="s">
        <v>15</v>
      </c>
      <c r="K507" s="45">
        <v>136.0</v>
      </c>
      <c r="L507" s="9"/>
      <c r="M507" s="45">
        <v>136.0</v>
      </c>
    </row>
    <row r="508">
      <c r="A508" s="34" t="s">
        <v>70</v>
      </c>
      <c r="B508" s="34" t="s">
        <v>1441</v>
      </c>
      <c r="C508" s="34">
        <v>75.0</v>
      </c>
      <c r="D508" s="34" t="s">
        <v>1441</v>
      </c>
      <c r="E508" s="34" t="s">
        <v>1496</v>
      </c>
      <c r="F508" s="34" t="s">
        <v>1497</v>
      </c>
      <c r="G508" s="34">
        <v>75112.0</v>
      </c>
      <c r="H508" s="34" t="s">
        <v>1498</v>
      </c>
      <c r="I508" s="34" t="s">
        <v>17</v>
      </c>
      <c r="J508" s="34" t="s">
        <v>15</v>
      </c>
      <c r="K508" s="45">
        <v>142.9</v>
      </c>
      <c r="L508" s="9"/>
      <c r="M508" s="45">
        <v>142.9</v>
      </c>
    </row>
    <row r="509">
      <c r="A509" s="34" t="s">
        <v>70</v>
      </c>
      <c r="B509" s="34" t="s">
        <v>1441</v>
      </c>
      <c r="C509" s="34">
        <v>75.0</v>
      </c>
      <c r="D509" s="34" t="s">
        <v>1441</v>
      </c>
      <c r="E509" s="34" t="s">
        <v>1499</v>
      </c>
      <c r="F509" s="34" t="s">
        <v>1500</v>
      </c>
      <c r="G509" s="34">
        <v>75115.0</v>
      </c>
      <c r="H509" s="34" t="s">
        <v>1501</v>
      </c>
      <c r="I509" s="34" t="s">
        <v>17</v>
      </c>
      <c r="J509" s="34" t="s">
        <v>15</v>
      </c>
      <c r="K509" s="45">
        <v>146.1</v>
      </c>
      <c r="L509" s="9"/>
      <c r="M509" s="45">
        <v>146.1</v>
      </c>
    </row>
    <row r="510">
      <c r="A510" s="34" t="s">
        <v>70</v>
      </c>
      <c r="B510" s="34" t="s">
        <v>1441</v>
      </c>
      <c r="C510" s="34">
        <v>75.0</v>
      </c>
      <c r="D510" s="34" t="s">
        <v>1441</v>
      </c>
      <c r="E510" s="34" t="s">
        <v>1502</v>
      </c>
      <c r="F510" s="34" t="s">
        <v>1503</v>
      </c>
      <c r="G510" s="34">
        <v>75116.0</v>
      </c>
      <c r="H510" s="34" t="s">
        <v>1466</v>
      </c>
      <c r="I510" s="34" t="s">
        <v>17</v>
      </c>
      <c r="J510" s="34" t="s">
        <v>15</v>
      </c>
      <c r="K510" s="45">
        <v>153.0</v>
      </c>
      <c r="L510" s="9"/>
      <c r="M510" s="45">
        <v>153.0</v>
      </c>
    </row>
    <row r="511">
      <c r="A511" s="34" t="s">
        <v>70</v>
      </c>
      <c r="B511" s="34" t="s">
        <v>1441</v>
      </c>
      <c r="C511" s="34">
        <v>75.0</v>
      </c>
      <c r="D511" s="34" t="s">
        <v>1441</v>
      </c>
      <c r="E511" s="34" t="s">
        <v>1504</v>
      </c>
      <c r="F511" s="34" t="s">
        <v>1505</v>
      </c>
      <c r="G511" s="34">
        <v>75112.0</v>
      </c>
      <c r="H511" s="34" t="s">
        <v>1498</v>
      </c>
      <c r="I511" s="34" t="s">
        <v>17</v>
      </c>
      <c r="J511" s="34" t="s">
        <v>15</v>
      </c>
      <c r="K511" s="45">
        <v>130.2</v>
      </c>
      <c r="L511" s="9"/>
      <c r="M511" s="45">
        <v>130.2</v>
      </c>
    </row>
    <row r="512">
      <c r="A512" s="34" t="s">
        <v>70</v>
      </c>
      <c r="B512" s="34" t="s">
        <v>269</v>
      </c>
      <c r="C512" s="34">
        <v>76.0</v>
      </c>
      <c r="D512" s="34" t="s">
        <v>1506</v>
      </c>
      <c r="E512" s="34" t="s">
        <v>1507</v>
      </c>
      <c r="F512" s="34" t="s">
        <v>1508</v>
      </c>
      <c r="G512" s="34">
        <v>76231.0</v>
      </c>
      <c r="H512" s="34" t="s">
        <v>1509</v>
      </c>
      <c r="I512" s="34" t="s">
        <v>18</v>
      </c>
      <c r="J512" s="34" t="s">
        <v>15</v>
      </c>
      <c r="K512" s="45">
        <v>104.0</v>
      </c>
      <c r="L512" s="9"/>
      <c r="M512" s="45">
        <v>104.0</v>
      </c>
    </row>
    <row r="513">
      <c r="A513" s="34" t="s">
        <v>70</v>
      </c>
      <c r="B513" s="34" t="s">
        <v>269</v>
      </c>
      <c r="C513" s="34">
        <v>76.0</v>
      </c>
      <c r="D513" s="34" t="s">
        <v>1506</v>
      </c>
      <c r="E513" s="34" t="s">
        <v>1510</v>
      </c>
      <c r="F513" s="34" t="s">
        <v>1511</v>
      </c>
      <c r="G513" s="34">
        <v>76259.0</v>
      </c>
      <c r="H513" s="34" t="s">
        <v>1512</v>
      </c>
      <c r="I513" s="34" t="s">
        <v>18</v>
      </c>
      <c r="J513" s="34" t="s">
        <v>15</v>
      </c>
      <c r="K513" s="45">
        <v>109.1</v>
      </c>
      <c r="L513" s="9"/>
      <c r="M513" s="45">
        <v>109.1</v>
      </c>
    </row>
    <row r="514">
      <c r="A514" s="34" t="s">
        <v>70</v>
      </c>
      <c r="B514" s="34" t="s">
        <v>269</v>
      </c>
      <c r="C514" s="34">
        <v>76.0</v>
      </c>
      <c r="D514" s="34" t="s">
        <v>1506</v>
      </c>
      <c r="E514" s="34" t="s">
        <v>1513</v>
      </c>
      <c r="F514" s="34" t="s">
        <v>1514</v>
      </c>
      <c r="G514" s="34">
        <v>76351.0</v>
      </c>
      <c r="H514" s="34" t="s">
        <v>1515</v>
      </c>
      <c r="I514" s="34" t="s">
        <v>18</v>
      </c>
      <c r="J514" s="34" t="s">
        <v>14</v>
      </c>
      <c r="K514" s="45">
        <v>81.2</v>
      </c>
      <c r="L514" s="45">
        <v>73.8</v>
      </c>
      <c r="M514" s="45">
        <v>79.5</v>
      </c>
    </row>
    <row r="515">
      <c r="A515" s="34" t="s">
        <v>70</v>
      </c>
      <c r="B515" s="34" t="s">
        <v>269</v>
      </c>
      <c r="C515" s="34">
        <v>76.0</v>
      </c>
      <c r="D515" s="34" t="s">
        <v>1506</v>
      </c>
      <c r="E515" s="34" t="s">
        <v>1516</v>
      </c>
      <c r="F515" s="34" t="s">
        <v>1517</v>
      </c>
      <c r="G515" s="34">
        <v>76447.0</v>
      </c>
      <c r="H515" s="34" t="s">
        <v>1518</v>
      </c>
      <c r="I515" s="34" t="s">
        <v>18</v>
      </c>
      <c r="J515" s="34" t="s">
        <v>15</v>
      </c>
      <c r="K515" s="45">
        <v>121.6</v>
      </c>
      <c r="L515" s="9"/>
      <c r="M515" s="45">
        <v>121.6</v>
      </c>
    </row>
    <row r="516">
      <c r="A516" s="34" t="s">
        <v>70</v>
      </c>
      <c r="B516" s="34" t="s">
        <v>269</v>
      </c>
      <c r="C516" s="34">
        <v>76.0</v>
      </c>
      <c r="D516" s="34" t="s">
        <v>1506</v>
      </c>
      <c r="E516" s="34" t="s">
        <v>1519</v>
      </c>
      <c r="F516" s="34" t="s">
        <v>1520</v>
      </c>
      <c r="G516" s="34">
        <v>76498.0</v>
      </c>
      <c r="H516" s="34" t="s">
        <v>1521</v>
      </c>
      <c r="I516" s="34" t="s">
        <v>18</v>
      </c>
      <c r="J516" s="34" t="s">
        <v>13</v>
      </c>
      <c r="K516" s="9"/>
      <c r="L516" s="45">
        <v>76.3</v>
      </c>
      <c r="M516" s="45">
        <v>76.3</v>
      </c>
    </row>
    <row r="517">
      <c r="A517" s="34" t="s">
        <v>70</v>
      </c>
      <c r="B517" s="34" t="s">
        <v>269</v>
      </c>
      <c r="C517" s="34">
        <v>76.0</v>
      </c>
      <c r="D517" s="34" t="s">
        <v>1506</v>
      </c>
      <c r="E517" s="34" t="s">
        <v>1522</v>
      </c>
      <c r="F517" s="34" t="s">
        <v>1523</v>
      </c>
      <c r="G517" s="34">
        <v>76429.0</v>
      </c>
      <c r="H517" s="34" t="s">
        <v>1524</v>
      </c>
      <c r="I517" s="34" t="s">
        <v>17</v>
      </c>
      <c r="J517" s="34" t="s">
        <v>14</v>
      </c>
      <c r="K517" s="45">
        <v>122.0</v>
      </c>
      <c r="L517" s="45">
        <v>100.8</v>
      </c>
      <c r="M517" s="45">
        <v>108.2</v>
      </c>
    </row>
    <row r="518">
      <c r="A518" s="34" t="s">
        <v>70</v>
      </c>
      <c r="B518" s="34" t="s">
        <v>269</v>
      </c>
      <c r="C518" s="34">
        <v>76.0</v>
      </c>
      <c r="D518" s="34" t="s">
        <v>1506</v>
      </c>
      <c r="E518" s="34" t="s">
        <v>1525</v>
      </c>
      <c r="F518" s="34" t="s">
        <v>1526</v>
      </c>
      <c r="G518" s="34">
        <v>76231.0</v>
      </c>
      <c r="H518" s="34" t="s">
        <v>1509</v>
      </c>
      <c r="I518" s="34" t="s">
        <v>17</v>
      </c>
      <c r="J518" s="34" t="s">
        <v>13</v>
      </c>
      <c r="K518" s="9"/>
      <c r="L518" s="45">
        <v>94.0</v>
      </c>
      <c r="M518" s="45">
        <v>94.0</v>
      </c>
    </row>
    <row r="519">
      <c r="A519" s="34" t="s">
        <v>70</v>
      </c>
      <c r="B519" s="34" t="s">
        <v>269</v>
      </c>
      <c r="C519" s="34">
        <v>76.0</v>
      </c>
      <c r="D519" s="34" t="s">
        <v>1506</v>
      </c>
      <c r="E519" s="34" t="s">
        <v>1527</v>
      </c>
      <c r="F519" s="34" t="s">
        <v>1528</v>
      </c>
      <c r="G519" s="34">
        <v>76217.0</v>
      </c>
      <c r="H519" s="34" t="s">
        <v>1529</v>
      </c>
      <c r="I519" s="34" t="s">
        <v>17</v>
      </c>
      <c r="J519" s="34" t="s">
        <v>15</v>
      </c>
      <c r="K519" s="45">
        <v>124.4</v>
      </c>
      <c r="L519" s="9"/>
      <c r="M519" s="45">
        <v>124.4</v>
      </c>
    </row>
    <row r="520">
      <c r="A520" s="34" t="s">
        <v>70</v>
      </c>
      <c r="B520" s="34" t="s">
        <v>269</v>
      </c>
      <c r="C520" s="34">
        <v>76.0</v>
      </c>
      <c r="D520" s="34" t="s">
        <v>1506</v>
      </c>
      <c r="E520" s="34" t="s">
        <v>1530</v>
      </c>
      <c r="F520" s="34" t="s">
        <v>1531</v>
      </c>
      <c r="G520" s="34">
        <v>76429.0</v>
      </c>
      <c r="H520" s="34" t="s">
        <v>1524</v>
      </c>
      <c r="I520" s="34" t="s">
        <v>17</v>
      </c>
      <c r="J520" s="34" t="s">
        <v>15</v>
      </c>
      <c r="K520" s="45">
        <v>121.3</v>
      </c>
      <c r="L520" s="9"/>
      <c r="M520" s="45">
        <v>121.3</v>
      </c>
    </row>
    <row r="521">
      <c r="A521" s="34" t="s">
        <v>70</v>
      </c>
      <c r="B521" s="34" t="s">
        <v>269</v>
      </c>
      <c r="C521" s="34">
        <v>76.0</v>
      </c>
      <c r="D521" s="34" t="s">
        <v>1506</v>
      </c>
      <c r="E521" s="34" t="s">
        <v>1532</v>
      </c>
      <c r="F521" s="34" t="s">
        <v>1533</v>
      </c>
      <c r="G521" s="34">
        <v>76540.0</v>
      </c>
      <c r="H521" s="34" t="s">
        <v>1534</v>
      </c>
      <c r="I521" s="34" t="s">
        <v>17</v>
      </c>
      <c r="J521" s="34" t="s">
        <v>15</v>
      </c>
      <c r="K521" s="45">
        <v>138.8</v>
      </c>
      <c r="L521" s="9"/>
      <c r="M521" s="45">
        <v>138.8</v>
      </c>
    </row>
    <row r="522">
      <c r="A522" s="34" t="s">
        <v>70</v>
      </c>
      <c r="B522" s="34" t="s">
        <v>269</v>
      </c>
      <c r="C522" s="34">
        <v>76.0</v>
      </c>
      <c r="D522" s="34" t="s">
        <v>1506</v>
      </c>
      <c r="E522" s="34" t="s">
        <v>1535</v>
      </c>
      <c r="F522" s="34" t="s">
        <v>1536</v>
      </c>
      <c r="G522" s="34">
        <v>76758.0</v>
      </c>
      <c r="H522" s="34" t="s">
        <v>1537</v>
      </c>
      <c r="I522" s="34" t="s">
        <v>18</v>
      </c>
      <c r="J522" s="34" t="s">
        <v>14</v>
      </c>
      <c r="K522" s="45">
        <v>112.0</v>
      </c>
      <c r="L522" s="45">
        <v>89.5</v>
      </c>
      <c r="M522" s="45">
        <v>106.0</v>
      </c>
    </row>
    <row r="523">
      <c r="A523" s="34" t="s">
        <v>70</v>
      </c>
      <c r="B523" s="34" t="s">
        <v>269</v>
      </c>
      <c r="C523" s="34">
        <v>76.0</v>
      </c>
      <c r="D523" s="34" t="s">
        <v>1506</v>
      </c>
      <c r="E523" s="34" t="s">
        <v>1538</v>
      </c>
      <c r="F523" s="34" t="s">
        <v>1539</v>
      </c>
      <c r="G523" s="34">
        <v>76575.0</v>
      </c>
      <c r="H523" s="34" t="s">
        <v>1540</v>
      </c>
      <c r="I523" s="34" t="s">
        <v>18</v>
      </c>
      <c r="J523" s="34" t="s">
        <v>14</v>
      </c>
      <c r="K523" s="45">
        <v>99.5</v>
      </c>
      <c r="L523" s="45">
        <v>77.8</v>
      </c>
      <c r="M523" s="45">
        <v>80.9</v>
      </c>
    </row>
    <row r="524">
      <c r="A524" s="34" t="s">
        <v>70</v>
      </c>
      <c r="B524" s="34" t="s">
        <v>269</v>
      </c>
      <c r="C524" s="34">
        <v>76.0</v>
      </c>
      <c r="D524" s="34" t="s">
        <v>1506</v>
      </c>
      <c r="E524" s="34" t="s">
        <v>1541</v>
      </c>
      <c r="F524" s="34" t="s">
        <v>1542</v>
      </c>
      <c r="G524" s="34">
        <v>76540.0</v>
      </c>
      <c r="H524" s="34" t="s">
        <v>1534</v>
      </c>
      <c r="I524" s="34" t="s">
        <v>17</v>
      </c>
      <c r="J524" s="34" t="s">
        <v>15</v>
      </c>
      <c r="K524" s="45">
        <v>135.5</v>
      </c>
      <c r="L524" s="9"/>
      <c r="M524" s="45">
        <v>135.5</v>
      </c>
    </row>
    <row r="525">
      <c r="A525" s="34" t="s">
        <v>70</v>
      </c>
      <c r="B525" s="34" t="s">
        <v>269</v>
      </c>
      <c r="C525" s="34">
        <v>76.0</v>
      </c>
      <c r="D525" s="34" t="s">
        <v>1506</v>
      </c>
      <c r="E525" s="34" t="s">
        <v>1543</v>
      </c>
      <c r="F525" s="34" t="s">
        <v>1544</v>
      </c>
      <c r="G525" s="34">
        <v>76351.0</v>
      </c>
      <c r="H525" s="34" t="s">
        <v>1515</v>
      </c>
      <c r="I525" s="34" t="s">
        <v>17</v>
      </c>
      <c r="J525" s="34" t="s">
        <v>14</v>
      </c>
      <c r="K525" s="45">
        <v>108.4</v>
      </c>
      <c r="L525" s="45">
        <v>90.4</v>
      </c>
      <c r="M525" s="45">
        <v>94.1</v>
      </c>
    </row>
    <row r="526">
      <c r="A526" s="34" t="s">
        <v>70</v>
      </c>
      <c r="B526" s="34" t="s">
        <v>1545</v>
      </c>
      <c r="C526" s="34">
        <v>77.0</v>
      </c>
      <c r="D526" s="34" t="s">
        <v>1546</v>
      </c>
      <c r="E526" s="34" t="s">
        <v>1547</v>
      </c>
      <c r="F526" s="34" t="s">
        <v>1548</v>
      </c>
      <c r="G526" s="34">
        <v>77108.0</v>
      </c>
      <c r="H526" s="34" t="s">
        <v>1549</v>
      </c>
      <c r="I526" s="34" t="s">
        <v>18</v>
      </c>
      <c r="J526" s="34" t="s">
        <v>15</v>
      </c>
      <c r="K526" s="45">
        <v>111.5</v>
      </c>
      <c r="L526" s="9"/>
      <c r="M526" s="45">
        <v>111.5</v>
      </c>
    </row>
    <row r="527">
      <c r="A527" s="34" t="s">
        <v>70</v>
      </c>
      <c r="B527" s="34" t="s">
        <v>1545</v>
      </c>
      <c r="C527" s="34">
        <v>77.0</v>
      </c>
      <c r="D527" s="34" t="s">
        <v>1546</v>
      </c>
      <c r="E527" s="34" t="s">
        <v>1550</v>
      </c>
      <c r="F527" s="34" t="s">
        <v>1551</v>
      </c>
      <c r="G527" s="34">
        <v>77288.0</v>
      </c>
      <c r="H527" s="34" t="s">
        <v>1552</v>
      </c>
      <c r="I527" s="34" t="s">
        <v>18</v>
      </c>
      <c r="J527" s="34" t="s">
        <v>14</v>
      </c>
      <c r="K527" s="45">
        <v>89.6</v>
      </c>
      <c r="L527" s="45">
        <v>82.3</v>
      </c>
      <c r="M527" s="45">
        <v>85.8</v>
      </c>
    </row>
    <row r="528">
      <c r="A528" s="34" t="s">
        <v>70</v>
      </c>
      <c r="B528" s="34" t="s">
        <v>1545</v>
      </c>
      <c r="C528" s="34">
        <v>77.0</v>
      </c>
      <c r="D528" s="34" t="s">
        <v>1546</v>
      </c>
      <c r="E528" s="34" t="s">
        <v>1553</v>
      </c>
      <c r="F528" s="34" t="s">
        <v>1554</v>
      </c>
      <c r="G528" s="34">
        <v>77186.0</v>
      </c>
      <c r="H528" s="34" t="s">
        <v>1555</v>
      </c>
      <c r="I528" s="34" t="s">
        <v>17</v>
      </c>
      <c r="J528" s="34" t="s">
        <v>14</v>
      </c>
      <c r="K528" s="45">
        <v>114.1</v>
      </c>
      <c r="L528" s="45">
        <v>108.4</v>
      </c>
      <c r="M528" s="45">
        <v>109.5</v>
      </c>
    </row>
    <row r="529">
      <c r="A529" s="34" t="s">
        <v>70</v>
      </c>
      <c r="B529" s="34" t="s">
        <v>1545</v>
      </c>
      <c r="C529" s="34">
        <v>77.0</v>
      </c>
      <c r="D529" s="34" t="s">
        <v>1546</v>
      </c>
      <c r="E529" s="34" t="s">
        <v>1556</v>
      </c>
      <c r="F529" s="34" t="s">
        <v>1557</v>
      </c>
      <c r="G529" s="34">
        <v>77390.0</v>
      </c>
      <c r="H529" s="34" t="s">
        <v>1558</v>
      </c>
      <c r="I529" s="34" t="s">
        <v>18</v>
      </c>
      <c r="J529" s="34" t="s">
        <v>15</v>
      </c>
      <c r="K529" s="45">
        <v>109.5</v>
      </c>
      <c r="L529" s="9"/>
      <c r="M529" s="45">
        <v>109.5</v>
      </c>
    </row>
    <row r="530">
      <c r="A530" s="34" t="s">
        <v>70</v>
      </c>
      <c r="B530" s="34" t="s">
        <v>1545</v>
      </c>
      <c r="C530" s="34">
        <v>77.0</v>
      </c>
      <c r="D530" s="34" t="s">
        <v>1546</v>
      </c>
      <c r="E530" s="34" t="s">
        <v>1559</v>
      </c>
      <c r="F530" s="34" t="s">
        <v>1560</v>
      </c>
      <c r="G530" s="34">
        <v>77294.0</v>
      </c>
      <c r="H530" s="34" t="s">
        <v>1561</v>
      </c>
      <c r="I530" s="34" t="s">
        <v>18</v>
      </c>
      <c r="J530" s="34" t="s">
        <v>15</v>
      </c>
      <c r="K530" s="45">
        <v>106.5</v>
      </c>
      <c r="L530" s="9"/>
      <c r="M530" s="45">
        <v>106.5</v>
      </c>
    </row>
    <row r="531">
      <c r="A531" s="34" t="s">
        <v>70</v>
      </c>
      <c r="B531" s="34" t="s">
        <v>1545</v>
      </c>
      <c r="C531" s="34">
        <v>77.0</v>
      </c>
      <c r="D531" s="34" t="s">
        <v>1546</v>
      </c>
      <c r="E531" s="34" t="s">
        <v>1562</v>
      </c>
      <c r="F531" s="34" t="s">
        <v>1563</v>
      </c>
      <c r="G531" s="34">
        <v>77083.0</v>
      </c>
      <c r="H531" s="34" t="s">
        <v>1564</v>
      </c>
      <c r="I531" s="34" t="s">
        <v>18</v>
      </c>
      <c r="J531" s="34" t="s">
        <v>14</v>
      </c>
      <c r="K531" s="45">
        <v>116.1</v>
      </c>
      <c r="L531" s="45">
        <v>87.5</v>
      </c>
      <c r="M531" s="45">
        <v>110.6</v>
      </c>
    </row>
    <row r="532">
      <c r="A532" s="34" t="s">
        <v>70</v>
      </c>
      <c r="B532" s="34" t="s">
        <v>1545</v>
      </c>
      <c r="C532" s="34">
        <v>77.0</v>
      </c>
      <c r="D532" s="34" t="s">
        <v>1546</v>
      </c>
      <c r="E532" s="34" t="s">
        <v>1565</v>
      </c>
      <c r="F532" s="34" t="s">
        <v>1566</v>
      </c>
      <c r="G532" s="34">
        <v>77053.0</v>
      </c>
      <c r="H532" s="34" t="s">
        <v>1567</v>
      </c>
      <c r="I532" s="34" t="s">
        <v>18</v>
      </c>
      <c r="J532" s="34" t="s">
        <v>14</v>
      </c>
      <c r="K532" s="45">
        <v>122.4</v>
      </c>
      <c r="L532" s="45">
        <v>96.5</v>
      </c>
      <c r="M532" s="45">
        <v>117.5</v>
      </c>
    </row>
    <row r="533">
      <c r="A533" s="34" t="s">
        <v>70</v>
      </c>
      <c r="B533" s="34" t="s">
        <v>1545</v>
      </c>
      <c r="C533" s="34">
        <v>77.0</v>
      </c>
      <c r="D533" s="34" t="s">
        <v>1546</v>
      </c>
      <c r="E533" s="34" t="s">
        <v>1568</v>
      </c>
      <c r="F533" s="34" t="s">
        <v>1569</v>
      </c>
      <c r="G533" s="34">
        <v>77108.0</v>
      </c>
      <c r="H533" s="34" t="s">
        <v>1549</v>
      </c>
      <c r="I533" s="34" t="s">
        <v>18</v>
      </c>
      <c r="J533" s="34" t="s">
        <v>14</v>
      </c>
      <c r="K533" s="45">
        <v>105.6</v>
      </c>
      <c r="L533" s="45">
        <v>86.6</v>
      </c>
      <c r="M533" s="45">
        <v>101.0</v>
      </c>
    </row>
    <row r="534">
      <c r="A534" s="34" t="s">
        <v>70</v>
      </c>
      <c r="B534" s="34" t="s">
        <v>1545</v>
      </c>
      <c r="C534" s="34">
        <v>77.0</v>
      </c>
      <c r="D534" s="34" t="s">
        <v>1546</v>
      </c>
      <c r="E534" s="34" t="s">
        <v>1570</v>
      </c>
      <c r="F534" s="34" t="s">
        <v>1571</v>
      </c>
      <c r="G534" s="34">
        <v>77058.0</v>
      </c>
      <c r="H534" s="34" t="s">
        <v>1572</v>
      </c>
      <c r="I534" s="34" t="s">
        <v>18</v>
      </c>
      <c r="J534" s="34" t="s">
        <v>15</v>
      </c>
      <c r="K534" s="45">
        <v>126.2</v>
      </c>
      <c r="L534" s="9"/>
      <c r="M534" s="45">
        <v>126.2</v>
      </c>
    </row>
    <row r="535">
      <c r="A535" s="34" t="s">
        <v>70</v>
      </c>
      <c r="B535" s="34" t="s">
        <v>1545</v>
      </c>
      <c r="C535" s="34">
        <v>77.0</v>
      </c>
      <c r="D535" s="34" t="s">
        <v>1546</v>
      </c>
      <c r="E535" s="34" t="s">
        <v>1573</v>
      </c>
      <c r="F535" s="34" t="s">
        <v>1574</v>
      </c>
      <c r="G535" s="34">
        <v>77393.0</v>
      </c>
      <c r="H535" s="34" t="s">
        <v>1575</v>
      </c>
      <c r="I535" s="34" t="s">
        <v>18</v>
      </c>
      <c r="J535" s="34" t="s">
        <v>14</v>
      </c>
      <c r="K535" s="45">
        <v>116.7</v>
      </c>
      <c r="L535" s="45">
        <v>95.1</v>
      </c>
      <c r="M535" s="45">
        <v>112.7</v>
      </c>
    </row>
    <row r="536">
      <c r="A536" s="34" t="s">
        <v>70</v>
      </c>
      <c r="B536" s="34" t="s">
        <v>1545</v>
      </c>
      <c r="C536" s="34">
        <v>77.0</v>
      </c>
      <c r="D536" s="34" t="s">
        <v>1546</v>
      </c>
      <c r="E536" s="34" t="s">
        <v>1576</v>
      </c>
      <c r="F536" s="34" t="s">
        <v>1577</v>
      </c>
      <c r="G536" s="34">
        <v>77449.0</v>
      </c>
      <c r="H536" s="34" t="s">
        <v>1578</v>
      </c>
      <c r="I536" s="34" t="s">
        <v>18</v>
      </c>
      <c r="J536" s="34" t="s">
        <v>14</v>
      </c>
      <c r="K536" s="45">
        <v>126.4</v>
      </c>
      <c r="L536" s="45">
        <v>94.9</v>
      </c>
      <c r="M536" s="45">
        <v>123.0</v>
      </c>
    </row>
    <row r="537">
      <c r="A537" s="34" t="s">
        <v>70</v>
      </c>
      <c r="B537" s="34" t="s">
        <v>1579</v>
      </c>
      <c r="C537" s="34">
        <v>78.0</v>
      </c>
      <c r="D537" s="34" t="s">
        <v>1580</v>
      </c>
      <c r="E537" s="34" t="s">
        <v>1581</v>
      </c>
      <c r="F537" s="34" t="s">
        <v>1582</v>
      </c>
      <c r="G537" s="34">
        <v>78621.0</v>
      </c>
      <c r="H537" s="34" t="s">
        <v>1583</v>
      </c>
      <c r="I537" s="34" t="s">
        <v>18</v>
      </c>
      <c r="J537" s="34" t="s">
        <v>13</v>
      </c>
      <c r="K537" s="9"/>
      <c r="L537" s="45">
        <v>90.5</v>
      </c>
      <c r="M537" s="45">
        <v>90.5</v>
      </c>
    </row>
    <row r="538">
      <c r="A538" s="34" t="s">
        <v>70</v>
      </c>
      <c r="B538" s="34" t="s">
        <v>1579</v>
      </c>
      <c r="C538" s="34">
        <v>78.0</v>
      </c>
      <c r="D538" s="34" t="s">
        <v>1580</v>
      </c>
      <c r="E538" s="34" t="s">
        <v>1584</v>
      </c>
      <c r="F538" s="34" t="s">
        <v>1585</v>
      </c>
      <c r="G538" s="34">
        <v>78383.0</v>
      </c>
      <c r="H538" s="34" t="s">
        <v>1586</v>
      </c>
      <c r="I538" s="34" t="s">
        <v>18</v>
      </c>
      <c r="J538" s="34" t="s">
        <v>15</v>
      </c>
      <c r="K538" s="45">
        <v>126.8</v>
      </c>
      <c r="L538" s="9"/>
      <c r="M538" s="45">
        <v>126.8</v>
      </c>
    </row>
    <row r="539">
      <c r="A539" s="34" t="s">
        <v>70</v>
      </c>
      <c r="B539" s="34" t="s">
        <v>1579</v>
      </c>
      <c r="C539" s="34">
        <v>78.0</v>
      </c>
      <c r="D539" s="34" t="s">
        <v>1580</v>
      </c>
      <c r="E539" s="34" t="s">
        <v>1587</v>
      </c>
      <c r="F539" s="34" t="s">
        <v>1588</v>
      </c>
      <c r="G539" s="34">
        <v>78423.0</v>
      </c>
      <c r="H539" s="34" t="s">
        <v>1589</v>
      </c>
      <c r="I539" s="34" t="s">
        <v>18</v>
      </c>
      <c r="J539" s="34" t="s">
        <v>15</v>
      </c>
      <c r="K539" s="45">
        <v>141.5</v>
      </c>
      <c r="L539" s="9"/>
      <c r="M539" s="45">
        <v>141.5</v>
      </c>
    </row>
    <row r="540">
      <c r="A540" s="34" t="s">
        <v>70</v>
      </c>
      <c r="B540" s="34" t="s">
        <v>1579</v>
      </c>
      <c r="C540" s="34">
        <v>78.0</v>
      </c>
      <c r="D540" s="34" t="s">
        <v>1580</v>
      </c>
      <c r="E540" s="34" t="s">
        <v>1590</v>
      </c>
      <c r="F540" s="34" t="s">
        <v>1591</v>
      </c>
      <c r="G540" s="34">
        <v>78551.0</v>
      </c>
      <c r="H540" s="34" t="s">
        <v>1592</v>
      </c>
      <c r="I540" s="34" t="s">
        <v>17</v>
      </c>
      <c r="J540" s="34" t="s">
        <v>13</v>
      </c>
      <c r="K540" s="9"/>
      <c r="L540" s="45">
        <v>131.3</v>
      </c>
      <c r="M540" s="45">
        <v>131.3</v>
      </c>
    </row>
    <row r="541">
      <c r="A541" s="34" t="s">
        <v>70</v>
      </c>
      <c r="B541" s="34" t="s">
        <v>1579</v>
      </c>
      <c r="C541" s="34">
        <v>78.0</v>
      </c>
      <c r="D541" s="34" t="s">
        <v>1580</v>
      </c>
      <c r="E541" s="34" t="s">
        <v>1593</v>
      </c>
      <c r="F541" s="34" t="s">
        <v>1594</v>
      </c>
      <c r="G541" s="34">
        <v>78172.0</v>
      </c>
      <c r="H541" s="34" t="s">
        <v>1595</v>
      </c>
      <c r="I541" s="34" t="s">
        <v>18</v>
      </c>
      <c r="J541" s="34" t="s">
        <v>15</v>
      </c>
      <c r="K541" s="45">
        <v>122.3</v>
      </c>
      <c r="L541" s="9"/>
      <c r="M541" s="45">
        <v>122.3</v>
      </c>
    </row>
    <row r="542">
      <c r="A542" s="34" t="s">
        <v>70</v>
      </c>
      <c r="B542" s="34" t="s">
        <v>1579</v>
      </c>
      <c r="C542" s="34">
        <v>78.0</v>
      </c>
      <c r="D542" s="34" t="s">
        <v>1580</v>
      </c>
      <c r="E542" s="34" t="s">
        <v>1596</v>
      </c>
      <c r="F542" s="34" t="s">
        <v>1597</v>
      </c>
      <c r="G542" s="34">
        <v>78423.0</v>
      </c>
      <c r="H542" s="34" t="s">
        <v>1589</v>
      </c>
      <c r="I542" s="34" t="s">
        <v>17</v>
      </c>
      <c r="J542" s="34" t="s">
        <v>15</v>
      </c>
      <c r="K542" s="45">
        <v>150.5</v>
      </c>
      <c r="L542" s="9"/>
      <c r="M542" s="45">
        <v>150.5</v>
      </c>
    </row>
    <row r="543">
      <c r="A543" s="34" t="s">
        <v>70</v>
      </c>
      <c r="B543" s="34" t="s">
        <v>1579</v>
      </c>
      <c r="C543" s="34">
        <v>78.0</v>
      </c>
      <c r="D543" s="34" t="s">
        <v>1580</v>
      </c>
      <c r="E543" s="34" t="s">
        <v>1598</v>
      </c>
      <c r="F543" s="34" t="s">
        <v>1599</v>
      </c>
      <c r="G543" s="34">
        <v>78501.0</v>
      </c>
      <c r="H543" s="34" t="s">
        <v>1600</v>
      </c>
      <c r="I543" s="34" t="s">
        <v>18</v>
      </c>
      <c r="J543" s="34" t="s">
        <v>14</v>
      </c>
      <c r="K543" s="45">
        <v>114.2</v>
      </c>
      <c r="L543" s="45">
        <v>87.0</v>
      </c>
      <c r="M543" s="45">
        <v>88.3</v>
      </c>
    </row>
    <row r="544">
      <c r="A544" s="34" t="s">
        <v>70</v>
      </c>
      <c r="B544" s="34" t="s">
        <v>1579</v>
      </c>
      <c r="C544" s="34">
        <v>78.0</v>
      </c>
      <c r="D544" s="34" t="s">
        <v>1580</v>
      </c>
      <c r="E544" s="34" t="s">
        <v>1601</v>
      </c>
      <c r="F544" s="34" t="s">
        <v>1602</v>
      </c>
      <c r="G544" s="34">
        <v>78354.0</v>
      </c>
      <c r="H544" s="34" t="s">
        <v>1603</v>
      </c>
      <c r="I544" s="34" t="s">
        <v>18</v>
      </c>
      <c r="J544" s="34" t="s">
        <v>14</v>
      </c>
      <c r="K544" s="45">
        <v>112.6</v>
      </c>
      <c r="L544" s="45">
        <v>90.2</v>
      </c>
      <c r="M544" s="45">
        <v>107.6</v>
      </c>
    </row>
    <row r="545">
      <c r="A545" s="34" t="s">
        <v>70</v>
      </c>
      <c r="B545" s="34" t="s">
        <v>1579</v>
      </c>
      <c r="C545" s="34">
        <v>78.0</v>
      </c>
      <c r="D545" s="34" t="s">
        <v>1580</v>
      </c>
      <c r="E545" s="34" t="s">
        <v>1604</v>
      </c>
      <c r="F545" s="34" t="s">
        <v>1605</v>
      </c>
      <c r="G545" s="34">
        <v>78498.0</v>
      </c>
      <c r="H545" s="34" t="s">
        <v>1606</v>
      </c>
      <c r="I545" s="34" t="s">
        <v>18</v>
      </c>
      <c r="J545" s="34" t="s">
        <v>15</v>
      </c>
      <c r="K545" s="45">
        <v>120.7</v>
      </c>
      <c r="L545" s="9"/>
      <c r="M545" s="45">
        <v>120.7</v>
      </c>
    </row>
    <row r="546">
      <c r="A546" s="34" t="s">
        <v>70</v>
      </c>
      <c r="B546" s="34" t="s">
        <v>1579</v>
      </c>
      <c r="C546" s="34">
        <v>78.0</v>
      </c>
      <c r="D546" s="34" t="s">
        <v>1580</v>
      </c>
      <c r="E546" s="34" t="s">
        <v>1607</v>
      </c>
      <c r="F546" s="34" t="s">
        <v>1608</v>
      </c>
      <c r="G546" s="34">
        <v>78646.0</v>
      </c>
      <c r="H546" s="34" t="s">
        <v>1579</v>
      </c>
      <c r="I546" s="34" t="s">
        <v>18</v>
      </c>
      <c r="J546" s="34" t="s">
        <v>14</v>
      </c>
      <c r="K546" s="45">
        <v>129.6</v>
      </c>
      <c r="L546" s="45">
        <v>102.3</v>
      </c>
      <c r="M546" s="45">
        <v>125.3</v>
      </c>
    </row>
    <row r="547">
      <c r="A547" s="34" t="s">
        <v>70</v>
      </c>
      <c r="B547" s="34" t="s">
        <v>1579</v>
      </c>
      <c r="C547" s="34">
        <v>78.0</v>
      </c>
      <c r="D547" s="34" t="s">
        <v>1580</v>
      </c>
      <c r="E547" s="34" t="s">
        <v>1609</v>
      </c>
      <c r="F547" s="34" t="s">
        <v>1251</v>
      </c>
      <c r="G547" s="34">
        <v>78646.0</v>
      </c>
      <c r="H547" s="34" t="s">
        <v>1579</v>
      </c>
      <c r="I547" s="34" t="s">
        <v>18</v>
      </c>
      <c r="J547" s="34" t="s">
        <v>15</v>
      </c>
      <c r="K547" s="45">
        <v>129.6</v>
      </c>
      <c r="L547" s="9"/>
      <c r="M547" s="45">
        <v>129.6</v>
      </c>
    </row>
    <row r="548">
      <c r="A548" s="34" t="s">
        <v>70</v>
      </c>
      <c r="B548" s="34" t="s">
        <v>1579</v>
      </c>
      <c r="C548" s="34">
        <v>78.0</v>
      </c>
      <c r="D548" s="34" t="s">
        <v>1580</v>
      </c>
      <c r="E548" s="34" t="s">
        <v>1610</v>
      </c>
      <c r="F548" s="34" t="s">
        <v>1611</v>
      </c>
      <c r="G548" s="34">
        <v>78126.0</v>
      </c>
      <c r="H548" s="34" t="s">
        <v>1612</v>
      </c>
      <c r="I548" s="34" t="s">
        <v>18</v>
      </c>
      <c r="J548" s="34" t="s">
        <v>14</v>
      </c>
      <c r="K548" s="45">
        <v>131.4</v>
      </c>
      <c r="L548" s="45">
        <v>91.2</v>
      </c>
      <c r="M548" s="45">
        <v>124.0</v>
      </c>
    </row>
    <row r="549">
      <c r="A549" s="34" t="s">
        <v>70</v>
      </c>
      <c r="B549" s="34" t="s">
        <v>1579</v>
      </c>
      <c r="C549" s="34">
        <v>78.0</v>
      </c>
      <c r="D549" s="34" t="s">
        <v>1580</v>
      </c>
      <c r="E549" s="34" t="s">
        <v>1613</v>
      </c>
      <c r="F549" s="34" t="s">
        <v>1614</v>
      </c>
      <c r="G549" s="34">
        <v>78545.0</v>
      </c>
      <c r="H549" s="34" t="s">
        <v>1615</v>
      </c>
      <c r="I549" s="34" t="s">
        <v>18</v>
      </c>
      <c r="J549" s="34" t="s">
        <v>15</v>
      </c>
      <c r="K549" s="45">
        <v>120.6</v>
      </c>
      <c r="L549" s="9"/>
      <c r="M549" s="45">
        <v>120.6</v>
      </c>
    </row>
    <row r="550">
      <c r="A550" s="34" t="s">
        <v>70</v>
      </c>
      <c r="B550" s="34" t="s">
        <v>1579</v>
      </c>
      <c r="C550" s="34">
        <v>78.0</v>
      </c>
      <c r="D550" s="34" t="s">
        <v>1580</v>
      </c>
      <c r="E550" s="34" t="s">
        <v>1616</v>
      </c>
      <c r="F550" s="34" t="s">
        <v>1617</v>
      </c>
      <c r="G550" s="34">
        <v>78642.0</v>
      </c>
      <c r="H550" s="34" t="s">
        <v>1618</v>
      </c>
      <c r="I550" s="34" t="s">
        <v>17</v>
      </c>
      <c r="J550" s="34" t="s">
        <v>15</v>
      </c>
      <c r="K550" s="45">
        <v>147.3</v>
      </c>
      <c r="L550" s="9"/>
      <c r="M550" s="45">
        <v>147.3</v>
      </c>
    </row>
    <row r="551">
      <c r="A551" s="34" t="s">
        <v>70</v>
      </c>
      <c r="B551" s="34" t="s">
        <v>1579</v>
      </c>
      <c r="C551" s="34">
        <v>78.0</v>
      </c>
      <c r="D551" s="34" t="s">
        <v>1580</v>
      </c>
      <c r="E551" s="34" t="s">
        <v>1619</v>
      </c>
      <c r="F551" s="34" t="s">
        <v>1620</v>
      </c>
      <c r="G551" s="34">
        <v>78362.0</v>
      </c>
      <c r="H551" s="34" t="s">
        <v>1621</v>
      </c>
      <c r="I551" s="34" t="s">
        <v>18</v>
      </c>
      <c r="J551" s="34" t="s">
        <v>13</v>
      </c>
      <c r="K551" s="9"/>
      <c r="L551" s="45">
        <v>82.1</v>
      </c>
      <c r="M551" s="45">
        <v>82.1</v>
      </c>
    </row>
    <row r="552">
      <c r="A552" s="34" t="s">
        <v>70</v>
      </c>
      <c r="B552" s="34" t="s">
        <v>284</v>
      </c>
      <c r="C552" s="34">
        <v>79.0</v>
      </c>
      <c r="D552" s="34" t="s">
        <v>1622</v>
      </c>
      <c r="E552" s="34" t="s">
        <v>1623</v>
      </c>
      <c r="F552" s="34" t="s">
        <v>1624</v>
      </c>
      <c r="G552" s="34">
        <v>79191.0</v>
      </c>
      <c r="H552" s="34" t="s">
        <v>1625</v>
      </c>
      <c r="I552" s="34" t="s">
        <v>18</v>
      </c>
      <c r="J552" s="34" t="s">
        <v>15</v>
      </c>
      <c r="K552" s="45">
        <v>122.9</v>
      </c>
      <c r="L552" s="9"/>
      <c r="M552" s="45">
        <v>122.9</v>
      </c>
    </row>
    <row r="553">
      <c r="A553" s="34" t="s">
        <v>70</v>
      </c>
      <c r="B553" s="34" t="s">
        <v>284</v>
      </c>
      <c r="C553" s="34">
        <v>79.0</v>
      </c>
      <c r="D553" s="34" t="s">
        <v>1622</v>
      </c>
      <c r="E553" s="34" t="s">
        <v>1626</v>
      </c>
      <c r="F553" s="34" t="s">
        <v>694</v>
      </c>
      <c r="G553" s="34">
        <v>79329.0</v>
      </c>
      <c r="H553" s="34" t="s">
        <v>1627</v>
      </c>
      <c r="I553" s="34" t="s">
        <v>17</v>
      </c>
      <c r="J553" s="34" t="s">
        <v>15</v>
      </c>
      <c r="K553" s="45">
        <v>106.1</v>
      </c>
      <c r="L553" s="9"/>
      <c r="M553" s="45">
        <v>106.1</v>
      </c>
    </row>
    <row r="554">
      <c r="A554" s="34" t="s">
        <v>70</v>
      </c>
      <c r="B554" s="34" t="s">
        <v>284</v>
      </c>
      <c r="C554" s="34">
        <v>79.0</v>
      </c>
      <c r="D554" s="34" t="s">
        <v>1622</v>
      </c>
      <c r="E554" s="34" t="s">
        <v>1628</v>
      </c>
      <c r="F554" s="34" t="s">
        <v>1629</v>
      </c>
      <c r="G554" s="34">
        <v>79191.0</v>
      </c>
      <c r="H554" s="34" t="s">
        <v>1625</v>
      </c>
      <c r="I554" s="34" t="s">
        <v>17</v>
      </c>
      <c r="J554" s="34" t="s">
        <v>14</v>
      </c>
      <c r="K554" s="45">
        <v>125.9</v>
      </c>
      <c r="L554" s="45">
        <v>102.6</v>
      </c>
      <c r="M554" s="45">
        <v>119.2</v>
      </c>
    </row>
    <row r="555">
      <c r="A555" s="34" t="s">
        <v>70</v>
      </c>
      <c r="B555" s="34" t="s">
        <v>284</v>
      </c>
      <c r="C555" s="34">
        <v>79.0</v>
      </c>
      <c r="D555" s="34" t="s">
        <v>1622</v>
      </c>
      <c r="E555" s="34" t="s">
        <v>1630</v>
      </c>
      <c r="F555" s="34" t="s">
        <v>1631</v>
      </c>
      <c r="G555" s="34">
        <v>79049.0</v>
      </c>
      <c r="H555" s="34" t="s">
        <v>1632</v>
      </c>
      <c r="I555" s="34" t="s">
        <v>18</v>
      </c>
      <c r="J555" s="34" t="s">
        <v>13</v>
      </c>
      <c r="K555" s="9"/>
      <c r="L555" s="45">
        <v>84.6</v>
      </c>
      <c r="M555" s="45">
        <v>84.6</v>
      </c>
    </row>
    <row r="556">
      <c r="A556" s="34" t="s">
        <v>70</v>
      </c>
      <c r="B556" s="34" t="s">
        <v>284</v>
      </c>
      <c r="C556" s="34">
        <v>79.0</v>
      </c>
      <c r="D556" s="34" t="s">
        <v>1622</v>
      </c>
      <c r="E556" s="34" t="s">
        <v>1633</v>
      </c>
      <c r="F556" s="34" t="s">
        <v>1634</v>
      </c>
      <c r="G556" s="34">
        <v>79191.0</v>
      </c>
      <c r="H556" s="34" t="s">
        <v>1625</v>
      </c>
      <c r="I556" s="34" t="s">
        <v>18</v>
      </c>
      <c r="J556" s="34" t="s">
        <v>15</v>
      </c>
      <c r="K556" s="45">
        <v>113.2</v>
      </c>
      <c r="L556" s="9"/>
      <c r="M556" s="45">
        <v>113.2</v>
      </c>
    </row>
    <row r="557">
      <c r="A557" s="34" t="s">
        <v>70</v>
      </c>
      <c r="B557" s="34" t="s">
        <v>88</v>
      </c>
      <c r="C557" s="34">
        <v>80.0</v>
      </c>
      <c r="D557" s="34" t="s">
        <v>1635</v>
      </c>
      <c r="E557" s="34" t="s">
        <v>1636</v>
      </c>
      <c r="F557" s="34" t="s">
        <v>1637</v>
      </c>
      <c r="G557" s="34">
        <v>80021.0</v>
      </c>
      <c r="H557" s="34" t="s">
        <v>88</v>
      </c>
      <c r="I557" s="34" t="s">
        <v>18</v>
      </c>
      <c r="J557" s="34" t="s">
        <v>13</v>
      </c>
      <c r="K557" s="9"/>
      <c r="L557" s="45">
        <v>75.5</v>
      </c>
      <c r="M557" s="45">
        <v>75.5</v>
      </c>
    </row>
    <row r="558">
      <c r="A558" s="34" t="s">
        <v>70</v>
      </c>
      <c r="B558" s="34" t="s">
        <v>88</v>
      </c>
      <c r="C558" s="34">
        <v>80.0</v>
      </c>
      <c r="D558" s="34" t="s">
        <v>1635</v>
      </c>
      <c r="E558" s="34" t="s">
        <v>1638</v>
      </c>
      <c r="F558" s="34" t="s">
        <v>1639</v>
      </c>
      <c r="G558" s="34">
        <v>80620.0</v>
      </c>
      <c r="H558" s="34" t="s">
        <v>1640</v>
      </c>
      <c r="I558" s="34" t="s">
        <v>17</v>
      </c>
      <c r="J558" s="34" t="s">
        <v>15</v>
      </c>
      <c r="K558" s="45">
        <v>109.7</v>
      </c>
      <c r="L558" s="9"/>
      <c r="M558" s="45">
        <v>109.7</v>
      </c>
    </row>
    <row r="559">
      <c r="A559" s="34" t="s">
        <v>70</v>
      </c>
      <c r="B559" s="34" t="s">
        <v>88</v>
      </c>
      <c r="C559" s="34">
        <v>80.0</v>
      </c>
      <c r="D559" s="34" t="s">
        <v>1635</v>
      </c>
      <c r="E559" s="34" t="s">
        <v>1641</v>
      </c>
      <c r="F559" s="34" t="s">
        <v>1642</v>
      </c>
      <c r="G559" s="34">
        <v>80523.0</v>
      </c>
      <c r="H559" s="34" t="s">
        <v>1643</v>
      </c>
      <c r="I559" s="34" t="s">
        <v>17</v>
      </c>
      <c r="J559" s="34" t="s">
        <v>13</v>
      </c>
      <c r="K559" s="9"/>
      <c r="L559" s="45">
        <v>89.8</v>
      </c>
      <c r="M559" s="45">
        <v>89.8</v>
      </c>
    </row>
    <row r="560">
      <c r="A560" s="34" t="s">
        <v>70</v>
      </c>
      <c r="B560" s="34" t="s">
        <v>88</v>
      </c>
      <c r="C560" s="34">
        <v>80.0</v>
      </c>
      <c r="D560" s="34" t="s">
        <v>1635</v>
      </c>
      <c r="E560" s="34" t="s">
        <v>1644</v>
      </c>
      <c r="F560" s="34" t="s">
        <v>1645</v>
      </c>
      <c r="G560" s="34">
        <v>80021.0</v>
      </c>
      <c r="H560" s="34" t="s">
        <v>88</v>
      </c>
      <c r="I560" s="34" t="s">
        <v>18</v>
      </c>
      <c r="J560" s="34" t="s">
        <v>15</v>
      </c>
      <c r="K560" s="45">
        <v>82.9</v>
      </c>
      <c r="L560" s="9"/>
      <c r="M560" s="45">
        <v>82.9</v>
      </c>
    </row>
    <row r="561">
      <c r="A561" s="34" t="s">
        <v>70</v>
      </c>
      <c r="B561" s="34" t="s">
        <v>88</v>
      </c>
      <c r="C561" s="34">
        <v>80.0</v>
      </c>
      <c r="D561" s="34" t="s">
        <v>1635</v>
      </c>
      <c r="E561" s="34" t="s">
        <v>1646</v>
      </c>
      <c r="F561" s="34" t="s">
        <v>1647</v>
      </c>
      <c r="G561" s="34">
        <v>80021.0</v>
      </c>
      <c r="H561" s="34" t="s">
        <v>88</v>
      </c>
      <c r="I561" s="34" t="s">
        <v>17</v>
      </c>
      <c r="J561" s="34" t="s">
        <v>15</v>
      </c>
      <c r="K561" s="45">
        <v>127.6</v>
      </c>
      <c r="L561" s="9"/>
      <c r="M561" s="45">
        <v>127.6</v>
      </c>
    </row>
    <row r="562">
      <c r="A562" s="34" t="s">
        <v>70</v>
      </c>
      <c r="B562" s="34" t="s">
        <v>88</v>
      </c>
      <c r="C562" s="34">
        <v>80.0</v>
      </c>
      <c r="D562" s="34" t="s">
        <v>1635</v>
      </c>
      <c r="E562" s="34" t="s">
        <v>1648</v>
      </c>
      <c r="F562" s="34" t="s">
        <v>1649</v>
      </c>
      <c r="G562" s="34">
        <v>80021.0</v>
      </c>
      <c r="H562" s="34" t="s">
        <v>88</v>
      </c>
      <c r="I562" s="34" t="s">
        <v>17</v>
      </c>
      <c r="J562" s="34" t="s">
        <v>15</v>
      </c>
      <c r="K562" s="45">
        <v>120.0</v>
      </c>
      <c r="L562" s="9"/>
      <c r="M562" s="45">
        <v>120.0</v>
      </c>
    </row>
    <row r="563">
      <c r="A563" s="34" t="s">
        <v>70</v>
      </c>
      <c r="B563" s="34" t="s">
        <v>182</v>
      </c>
      <c r="C563" s="34">
        <v>81.0</v>
      </c>
      <c r="D563" s="34" t="s">
        <v>1650</v>
      </c>
      <c r="E563" s="34" t="s">
        <v>1651</v>
      </c>
      <c r="F563" s="34" t="s">
        <v>1652</v>
      </c>
      <c r="G563" s="34">
        <v>81004.0</v>
      </c>
      <c r="H563" s="34" t="s">
        <v>1653</v>
      </c>
      <c r="I563" s="34" t="s">
        <v>18</v>
      </c>
      <c r="J563" s="34" t="s">
        <v>13</v>
      </c>
      <c r="K563" s="9"/>
      <c r="L563" s="45">
        <v>90.4</v>
      </c>
      <c r="M563" s="45">
        <v>90.4</v>
      </c>
    </row>
    <row r="564">
      <c r="A564" s="34" t="s">
        <v>70</v>
      </c>
      <c r="B564" s="34" t="s">
        <v>182</v>
      </c>
      <c r="C564" s="34">
        <v>81.0</v>
      </c>
      <c r="D564" s="34" t="s">
        <v>1650</v>
      </c>
      <c r="E564" s="34" t="s">
        <v>1654</v>
      </c>
      <c r="F564" s="34" t="s">
        <v>1655</v>
      </c>
      <c r="G564" s="34">
        <v>81004.0</v>
      </c>
      <c r="H564" s="34" t="s">
        <v>1653</v>
      </c>
      <c r="I564" s="34" t="s">
        <v>18</v>
      </c>
      <c r="J564" s="34" t="s">
        <v>14</v>
      </c>
      <c r="K564" s="45">
        <v>110.4</v>
      </c>
      <c r="L564" s="45">
        <v>90.6</v>
      </c>
      <c r="M564" s="45">
        <v>105.8</v>
      </c>
    </row>
    <row r="565">
      <c r="A565" s="34" t="s">
        <v>70</v>
      </c>
      <c r="B565" s="34" t="s">
        <v>182</v>
      </c>
      <c r="C565" s="34">
        <v>81.0</v>
      </c>
      <c r="D565" s="34" t="s">
        <v>1650</v>
      </c>
      <c r="E565" s="34" t="s">
        <v>1656</v>
      </c>
      <c r="F565" s="34" t="s">
        <v>1657</v>
      </c>
      <c r="G565" s="34">
        <v>81004.0</v>
      </c>
      <c r="H565" s="34" t="s">
        <v>1653</v>
      </c>
      <c r="I565" s="34" t="s">
        <v>17</v>
      </c>
      <c r="J565" s="34" t="s">
        <v>15</v>
      </c>
      <c r="K565" s="45">
        <v>118.1</v>
      </c>
      <c r="L565" s="9"/>
      <c r="M565" s="45">
        <v>118.1</v>
      </c>
    </row>
    <row r="566">
      <c r="A566" s="34" t="s">
        <v>70</v>
      </c>
      <c r="B566" s="34" t="s">
        <v>182</v>
      </c>
      <c r="C566" s="34">
        <v>81.0</v>
      </c>
      <c r="D566" s="34" t="s">
        <v>1650</v>
      </c>
      <c r="E566" s="34" t="s">
        <v>1658</v>
      </c>
      <c r="F566" s="34" t="s">
        <v>1617</v>
      </c>
      <c r="G566" s="34">
        <v>81065.0</v>
      </c>
      <c r="H566" s="34" t="s">
        <v>1659</v>
      </c>
      <c r="I566" s="34" t="s">
        <v>17</v>
      </c>
      <c r="J566" s="34" t="s">
        <v>15</v>
      </c>
      <c r="K566" s="45">
        <v>101.7</v>
      </c>
      <c r="L566" s="9"/>
      <c r="M566" s="45">
        <v>101.7</v>
      </c>
    </row>
    <row r="567">
      <c r="A567" s="34" t="s">
        <v>70</v>
      </c>
      <c r="B567" s="34" t="s">
        <v>182</v>
      </c>
      <c r="C567" s="34">
        <v>81.0</v>
      </c>
      <c r="D567" s="34" t="s">
        <v>1650</v>
      </c>
      <c r="E567" s="34" t="s">
        <v>1660</v>
      </c>
      <c r="F567" s="34" t="s">
        <v>1661</v>
      </c>
      <c r="G567" s="34">
        <v>81004.0</v>
      </c>
      <c r="H567" s="34" t="s">
        <v>1653</v>
      </c>
      <c r="I567" s="34" t="s">
        <v>17</v>
      </c>
      <c r="J567" s="34" t="s">
        <v>13</v>
      </c>
      <c r="K567" s="9"/>
      <c r="L567" s="45">
        <v>87.7</v>
      </c>
      <c r="M567" s="45">
        <v>87.7</v>
      </c>
    </row>
    <row r="568">
      <c r="A568" s="34" t="s">
        <v>70</v>
      </c>
      <c r="B568" s="34" t="s">
        <v>182</v>
      </c>
      <c r="C568" s="34">
        <v>81.0</v>
      </c>
      <c r="D568" s="34" t="s">
        <v>1650</v>
      </c>
      <c r="E568" s="34" t="s">
        <v>1662</v>
      </c>
      <c r="F568" s="34" t="s">
        <v>1663</v>
      </c>
      <c r="G568" s="34">
        <v>81163.0</v>
      </c>
      <c r="H568" s="34" t="s">
        <v>1664</v>
      </c>
      <c r="I568" s="34" t="s">
        <v>18</v>
      </c>
      <c r="J568" s="34" t="s">
        <v>13</v>
      </c>
      <c r="K568" s="9"/>
      <c r="L568" s="45">
        <v>84.6</v>
      </c>
      <c r="M568" s="45">
        <v>84.6</v>
      </c>
    </row>
    <row r="569">
      <c r="A569" s="34" t="s">
        <v>70</v>
      </c>
      <c r="B569" s="34" t="s">
        <v>182</v>
      </c>
      <c r="C569" s="34">
        <v>82.0</v>
      </c>
      <c r="D569" s="34" t="s">
        <v>1665</v>
      </c>
      <c r="E569" s="34" t="s">
        <v>1666</v>
      </c>
      <c r="F569" s="34" t="s">
        <v>1667</v>
      </c>
      <c r="G569" s="34">
        <v>82112.0</v>
      </c>
      <c r="H569" s="34" t="s">
        <v>1668</v>
      </c>
      <c r="I569" s="34" t="s">
        <v>18</v>
      </c>
      <c r="J569" s="34" t="s">
        <v>15</v>
      </c>
      <c r="K569" s="45">
        <v>104.5</v>
      </c>
      <c r="L569" s="9"/>
      <c r="M569" s="45">
        <v>104.5</v>
      </c>
    </row>
    <row r="570">
      <c r="A570" s="34" t="s">
        <v>70</v>
      </c>
      <c r="B570" s="34" t="s">
        <v>182</v>
      </c>
      <c r="C570" s="34">
        <v>82.0</v>
      </c>
      <c r="D570" s="34" t="s">
        <v>1665</v>
      </c>
      <c r="E570" s="34" t="s">
        <v>1669</v>
      </c>
      <c r="F570" s="34" t="s">
        <v>1670</v>
      </c>
      <c r="G570" s="34">
        <v>82126.0</v>
      </c>
      <c r="H570" s="34" t="s">
        <v>1671</v>
      </c>
      <c r="I570" s="34" t="s">
        <v>18</v>
      </c>
      <c r="J570" s="34" t="s">
        <v>14</v>
      </c>
      <c r="K570" s="45">
        <v>105.1</v>
      </c>
      <c r="L570" s="45">
        <v>93.9</v>
      </c>
      <c r="M570" s="45">
        <v>102.5</v>
      </c>
    </row>
    <row r="571">
      <c r="A571" s="34" t="s">
        <v>70</v>
      </c>
      <c r="B571" s="34" t="s">
        <v>182</v>
      </c>
      <c r="C571" s="34">
        <v>82.0</v>
      </c>
      <c r="D571" s="34" t="s">
        <v>1665</v>
      </c>
      <c r="E571" s="34" t="s">
        <v>1672</v>
      </c>
      <c r="F571" s="34" t="s">
        <v>1673</v>
      </c>
      <c r="G571" s="34">
        <v>82121.0</v>
      </c>
      <c r="H571" s="34" t="s">
        <v>1674</v>
      </c>
      <c r="I571" s="34" t="s">
        <v>17</v>
      </c>
      <c r="J571" s="34" t="s">
        <v>13</v>
      </c>
      <c r="K571" s="9"/>
      <c r="L571" s="45">
        <v>93.1</v>
      </c>
      <c r="M571" s="45">
        <v>93.1</v>
      </c>
    </row>
    <row r="572">
      <c r="A572" s="34" t="s">
        <v>70</v>
      </c>
      <c r="B572" s="34" t="s">
        <v>182</v>
      </c>
      <c r="C572" s="34">
        <v>82.0</v>
      </c>
      <c r="D572" s="34" t="s">
        <v>1665</v>
      </c>
      <c r="E572" s="34" t="s">
        <v>1675</v>
      </c>
      <c r="F572" s="34" t="s">
        <v>1676</v>
      </c>
      <c r="G572" s="34">
        <v>82125.0</v>
      </c>
      <c r="H572" s="34" t="s">
        <v>1677</v>
      </c>
      <c r="I572" s="34" t="s">
        <v>18</v>
      </c>
      <c r="J572" s="34" t="s">
        <v>14</v>
      </c>
      <c r="K572" s="45">
        <v>116.0</v>
      </c>
      <c r="L572" s="45">
        <v>90.3</v>
      </c>
      <c r="M572" s="45">
        <v>111.7</v>
      </c>
    </row>
    <row r="573">
      <c r="A573" s="34" t="s">
        <v>70</v>
      </c>
      <c r="B573" s="34" t="s">
        <v>134</v>
      </c>
      <c r="C573" s="34">
        <v>83.0</v>
      </c>
      <c r="D573" s="34" t="s">
        <v>1678</v>
      </c>
      <c r="E573" s="34" t="s">
        <v>1679</v>
      </c>
      <c r="F573" s="34" t="s">
        <v>456</v>
      </c>
      <c r="G573" s="34">
        <v>83050.0</v>
      </c>
      <c r="H573" s="34" t="s">
        <v>1680</v>
      </c>
      <c r="I573" s="34" t="s">
        <v>18</v>
      </c>
      <c r="J573" s="34" t="s">
        <v>15</v>
      </c>
      <c r="K573" s="45">
        <v>107.9</v>
      </c>
      <c r="L573" s="9"/>
      <c r="M573" s="45">
        <v>107.9</v>
      </c>
    </row>
    <row r="574">
      <c r="A574" s="34" t="s">
        <v>70</v>
      </c>
      <c r="B574" s="34" t="s">
        <v>134</v>
      </c>
      <c r="C574" s="34">
        <v>83.0</v>
      </c>
      <c r="D574" s="34" t="s">
        <v>1678</v>
      </c>
      <c r="E574" s="34" t="s">
        <v>1681</v>
      </c>
      <c r="F574" s="34" t="s">
        <v>391</v>
      </c>
      <c r="G574" s="34">
        <v>83118.0</v>
      </c>
      <c r="H574" s="34" t="s">
        <v>1682</v>
      </c>
      <c r="I574" s="34" t="s">
        <v>18</v>
      </c>
      <c r="J574" s="34" t="s">
        <v>14</v>
      </c>
      <c r="K574" s="45">
        <v>115.3</v>
      </c>
      <c r="L574" s="45">
        <v>89.2</v>
      </c>
      <c r="M574" s="45">
        <v>109.6</v>
      </c>
    </row>
    <row r="575">
      <c r="A575" s="34" t="s">
        <v>70</v>
      </c>
      <c r="B575" s="34" t="s">
        <v>134</v>
      </c>
      <c r="C575" s="34">
        <v>83.0</v>
      </c>
      <c r="D575" s="34" t="s">
        <v>1678</v>
      </c>
      <c r="E575" s="34" t="s">
        <v>1683</v>
      </c>
      <c r="F575" s="34" t="s">
        <v>1684</v>
      </c>
      <c r="G575" s="34">
        <v>83126.0</v>
      </c>
      <c r="H575" s="34" t="s">
        <v>1685</v>
      </c>
      <c r="I575" s="34" t="s">
        <v>18</v>
      </c>
      <c r="J575" s="34" t="s">
        <v>15</v>
      </c>
      <c r="K575" s="45">
        <v>112.0</v>
      </c>
      <c r="L575" s="9"/>
      <c r="M575" s="45">
        <v>112.0</v>
      </c>
    </row>
    <row r="576">
      <c r="A576" s="34" t="s">
        <v>70</v>
      </c>
      <c r="B576" s="34" t="s">
        <v>134</v>
      </c>
      <c r="C576" s="34">
        <v>83.0</v>
      </c>
      <c r="D576" s="34" t="s">
        <v>1678</v>
      </c>
      <c r="E576" s="34" t="s">
        <v>1686</v>
      </c>
      <c r="F576" s="34" t="s">
        <v>1687</v>
      </c>
      <c r="G576" s="34">
        <v>83137.0</v>
      </c>
      <c r="H576" s="34" t="s">
        <v>1688</v>
      </c>
      <c r="I576" s="34" t="s">
        <v>18</v>
      </c>
      <c r="J576" s="34" t="s">
        <v>13</v>
      </c>
      <c r="K576" s="9"/>
      <c r="L576" s="45">
        <v>88.2</v>
      </c>
      <c r="M576" s="45">
        <v>88.2</v>
      </c>
    </row>
    <row r="577">
      <c r="A577" s="34" t="s">
        <v>70</v>
      </c>
      <c r="B577" s="34" t="s">
        <v>134</v>
      </c>
      <c r="C577" s="34">
        <v>83.0</v>
      </c>
      <c r="D577" s="34" t="s">
        <v>1678</v>
      </c>
      <c r="E577" s="34" t="s">
        <v>1689</v>
      </c>
      <c r="F577" s="34" t="s">
        <v>1690</v>
      </c>
      <c r="G577" s="34">
        <v>83137.0</v>
      </c>
      <c r="H577" s="34" t="s">
        <v>1688</v>
      </c>
      <c r="I577" s="34" t="s">
        <v>18</v>
      </c>
      <c r="J577" s="34" t="s">
        <v>13</v>
      </c>
      <c r="K577" s="9"/>
      <c r="L577" s="45">
        <v>81.2</v>
      </c>
      <c r="M577" s="45">
        <v>81.2</v>
      </c>
    </row>
    <row r="578">
      <c r="A578" s="34" t="s">
        <v>70</v>
      </c>
      <c r="B578" s="34" t="s">
        <v>134</v>
      </c>
      <c r="C578" s="34">
        <v>83.0</v>
      </c>
      <c r="D578" s="34" t="s">
        <v>1678</v>
      </c>
      <c r="E578" s="34" t="s">
        <v>1691</v>
      </c>
      <c r="F578" s="34" t="s">
        <v>1692</v>
      </c>
      <c r="G578" s="34">
        <v>83126.0</v>
      </c>
      <c r="H578" s="34" t="s">
        <v>1685</v>
      </c>
      <c r="I578" s="34" t="s">
        <v>18</v>
      </c>
      <c r="J578" s="34" t="s">
        <v>14</v>
      </c>
      <c r="K578" s="45">
        <v>122.8</v>
      </c>
      <c r="L578" s="45">
        <v>89.6</v>
      </c>
      <c r="M578" s="45">
        <v>113.7</v>
      </c>
    </row>
    <row r="579">
      <c r="A579" s="34" t="s">
        <v>70</v>
      </c>
      <c r="B579" s="34" t="s">
        <v>134</v>
      </c>
      <c r="C579" s="34">
        <v>83.0</v>
      </c>
      <c r="D579" s="34" t="s">
        <v>1678</v>
      </c>
      <c r="E579" s="34" t="s">
        <v>1693</v>
      </c>
      <c r="F579" s="34" t="s">
        <v>1694</v>
      </c>
      <c r="G579" s="34">
        <v>83061.0</v>
      </c>
      <c r="H579" s="34" t="s">
        <v>1695</v>
      </c>
      <c r="I579" s="34" t="s">
        <v>18</v>
      </c>
      <c r="J579" s="34" t="s">
        <v>13</v>
      </c>
      <c r="K579" s="9"/>
      <c r="L579" s="45">
        <v>87.5</v>
      </c>
      <c r="M579" s="45">
        <v>87.5</v>
      </c>
    </row>
    <row r="580">
      <c r="A580" s="34" t="s">
        <v>70</v>
      </c>
      <c r="B580" s="34" t="s">
        <v>134</v>
      </c>
      <c r="C580" s="34">
        <v>83.0</v>
      </c>
      <c r="D580" s="34" t="s">
        <v>1678</v>
      </c>
      <c r="E580" s="34" t="s">
        <v>1696</v>
      </c>
      <c r="F580" s="34" t="s">
        <v>1697</v>
      </c>
      <c r="G580" s="34">
        <v>83129.0</v>
      </c>
      <c r="H580" s="34" t="s">
        <v>1698</v>
      </c>
      <c r="I580" s="34" t="s">
        <v>18</v>
      </c>
      <c r="J580" s="34" t="s">
        <v>13</v>
      </c>
      <c r="K580" s="9"/>
      <c r="L580" s="45">
        <v>91.5</v>
      </c>
      <c r="M580" s="45">
        <v>91.5</v>
      </c>
    </row>
    <row r="581">
      <c r="A581" s="34" t="s">
        <v>70</v>
      </c>
      <c r="B581" s="34" t="s">
        <v>134</v>
      </c>
      <c r="C581" s="34">
        <v>83.0</v>
      </c>
      <c r="D581" s="34" t="s">
        <v>1678</v>
      </c>
      <c r="E581" s="34" t="s">
        <v>1699</v>
      </c>
      <c r="F581" s="34" t="s">
        <v>1700</v>
      </c>
      <c r="G581" s="34">
        <v>83137.0</v>
      </c>
      <c r="H581" s="34" t="s">
        <v>1688</v>
      </c>
      <c r="I581" s="34" t="s">
        <v>18</v>
      </c>
      <c r="J581" s="34" t="s">
        <v>14</v>
      </c>
      <c r="K581" s="45">
        <v>110.0</v>
      </c>
      <c r="L581" s="45">
        <v>98.7</v>
      </c>
      <c r="M581" s="45">
        <v>101.3</v>
      </c>
    </row>
    <row r="582">
      <c r="A582" s="34" t="s">
        <v>70</v>
      </c>
      <c r="B582" s="34" t="s">
        <v>134</v>
      </c>
      <c r="C582" s="34">
        <v>83.0</v>
      </c>
      <c r="D582" s="34" t="s">
        <v>1678</v>
      </c>
      <c r="E582" s="34" t="s">
        <v>1701</v>
      </c>
      <c r="F582" s="34" t="s">
        <v>1702</v>
      </c>
      <c r="G582" s="34">
        <v>83116.0</v>
      </c>
      <c r="H582" s="34" t="s">
        <v>1703</v>
      </c>
      <c r="I582" s="34" t="s">
        <v>18</v>
      </c>
      <c r="J582" s="34" t="s">
        <v>14</v>
      </c>
      <c r="K582" s="45">
        <v>122.3</v>
      </c>
      <c r="L582" s="45">
        <v>97.1</v>
      </c>
      <c r="M582" s="45">
        <v>117.6</v>
      </c>
    </row>
    <row r="583">
      <c r="A583" s="34" t="s">
        <v>70</v>
      </c>
      <c r="B583" s="34" t="s">
        <v>129</v>
      </c>
      <c r="C583" s="34">
        <v>84.0</v>
      </c>
      <c r="D583" s="34" t="s">
        <v>1704</v>
      </c>
      <c r="E583" s="34" t="s">
        <v>1705</v>
      </c>
      <c r="F583" s="34" t="s">
        <v>1706</v>
      </c>
      <c r="G583" s="34">
        <v>84007.0</v>
      </c>
      <c r="H583" s="34" t="s">
        <v>1707</v>
      </c>
      <c r="I583" s="34" t="s">
        <v>17</v>
      </c>
      <c r="J583" s="34" t="s">
        <v>15</v>
      </c>
      <c r="K583" s="45">
        <v>125.4</v>
      </c>
      <c r="L583" s="9"/>
      <c r="M583" s="45">
        <v>125.4</v>
      </c>
    </row>
    <row r="584">
      <c r="A584" s="34" t="s">
        <v>70</v>
      </c>
      <c r="B584" s="34" t="s">
        <v>779</v>
      </c>
      <c r="C584" s="34">
        <v>85.0</v>
      </c>
      <c r="D584" s="34" t="s">
        <v>1708</v>
      </c>
      <c r="E584" s="34" t="s">
        <v>1709</v>
      </c>
      <c r="F584" s="34" t="s">
        <v>1710</v>
      </c>
      <c r="G584" s="34">
        <v>85128.0</v>
      </c>
      <c r="H584" s="34" t="s">
        <v>1711</v>
      </c>
      <c r="I584" s="34" t="s">
        <v>18</v>
      </c>
      <c r="J584" s="34" t="s">
        <v>14</v>
      </c>
      <c r="K584" s="45">
        <v>103.3</v>
      </c>
      <c r="L584" s="45">
        <v>83.7</v>
      </c>
      <c r="M584" s="45">
        <v>99.3</v>
      </c>
    </row>
    <row r="585">
      <c r="A585" s="34" t="s">
        <v>70</v>
      </c>
      <c r="B585" s="34" t="s">
        <v>779</v>
      </c>
      <c r="C585" s="34">
        <v>85.0</v>
      </c>
      <c r="D585" s="34" t="s">
        <v>1708</v>
      </c>
      <c r="E585" s="34" t="s">
        <v>1712</v>
      </c>
      <c r="F585" s="34" t="s">
        <v>1713</v>
      </c>
      <c r="G585" s="34">
        <v>85194.0</v>
      </c>
      <c r="H585" s="34" t="s">
        <v>1714</v>
      </c>
      <c r="I585" s="34" t="s">
        <v>18</v>
      </c>
      <c r="J585" s="34" t="s">
        <v>13</v>
      </c>
      <c r="K585" s="9"/>
      <c r="L585" s="45">
        <v>95.1</v>
      </c>
      <c r="M585" s="45">
        <v>95.1</v>
      </c>
    </row>
    <row r="586">
      <c r="A586" s="34" t="s">
        <v>70</v>
      </c>
      <c r="B586" s="34" t="s">
        <v>779</v>
      </c>
      <c r="C586" s="34">
        <v>85.0</v>
      </c>
      <c r="D586" s="34" t="s">
        <v>1708</v>
      </c>
      <c r="E586" s="34" t="s">
        <v>1715</v>
      </c>
      <c r="F586" s="34" t="s">
        <v>1716</v>
      </c>
      <c r="G586" s="34">
        <v>85109.0</v>
      </c>
      <c r="H586" s="34" t="s">
        <v>1717</v>
      </c>
      <c r="I586" s="34" t="s">
        <v>17</v>
      </c>
      <c r="J586" s="34" t="s">
        <v>15</v>
      </c>
      <c r="K586" s="45">
        <v>115.8</v>
      </c>
      <c r="L586" s="9"/>
      <c r="M586" s="45">
        <v>115.8</v>
      </c>
    </row>
    <row r="587">
      <c r="A587" s="34" t="s">
        <v>70</v>
      </c>
      <c r="B587" s="34" t="s">
        <v>779</v>
      </c>
      <c r="C587" s="34">
        <v>85.0</v>
      </c>
      <c r="D587" s="34" t="s">
        <v>1708</v>
      </c>
      <c r="E587" s="34" t="s">
        <v>1718</v>
      </c>
      <c r="F587" s="34" t="s">
        <v>1719</v>
      </c>
      <c r="G587" s="34">
        <v>85128.0</v>
      </c>
      <c r="H587" s="34" t="s">
        <v>1711</v>
      </c>
      <c r="I587" s="34" t="s">
        <v>17</v>
      </c>
      <c r="J587" s="34" t="s">
        <v>14</v>
      </c>
      <c r="K587" s="45">
        <v>110.3</v>
      </c>
      <c r="L587" s="45">
        <v>105.7</v>
      </c>
      <c r="M587" s="45">
        <v>109.5</v>
      </c>
    </row>
    <row r="588">
      <c r="A588" s="34" t="s">
        <v>70</v>
      </c>
      <c r="B588" s="34" t="s">
        <v>779</v>
      </c>
      <c r="C588" s="34">
        <v>85.0</v>
      </c>
      <c r="D588" s="34" t="s">
        <v>1708</v>
      </c>
      <c r="E588" s="34" t="s">
        <v>1720</v>
      </c>
      <c r="F588" s="34" t="s">
        <v>1721</v>
      </c>
      <c r="G588" s="34">
        <v>85182.0</v>
      </c>
      <c r="H588" s="34" t="s">
        <v>1722</v>
      </c>
      <c r="I588" s="34" t="s">
        <v>17</v>
      </c>
      <c r="J588" s="34" t="s">
        <v>15</v>
      </c>
      <c r="K588" s="45">
        <v>103.0</v>
      </c>
      <c r="L588" s="9"/>
      <c r="M588" s="45">
        <v>103.0</v>
      </c>
    </row>
    <row r="589">
      <c r="A589" s="34" t="s">
        <v>70</v>
      </c>
      <c r="B589" s="34" t="s">
        <v>779</v>
      </c>
      <c r="C589" s="34">
        <v>85.0</v>
      </c>
      <c r="D589" s="34" t="s">
        <v>1708</v>
      </c>
      <c r="E589" s="34" t="s">
        <v>1723</v>
      </c>
      <c r="F589" s="34" t="s">
        <v>1724</v>
      </c>
      <c r="G589" s="34">
        <v>85191.0</v>
      </c>
      <c r="H589" s="34" t="s">
        <v>1725</v>
      </c>
      <c r="I589" s="34" t="s">
        <v>17</v>
      </c>
      <c r="J589" s="34" t="s">
        <v>14</v>
      </c>
      <c r="K589" s="45">
        <v>118.7</v>
      </c>
      <c r="L589" s="45">
        <v>105.1</v>
      </c>
      <c r="M589" s="45">
        <v>113.9</v>
      </c>
    </row>
    <row r="590">
      <c r="A590" s="34" t="s">
        <v>70</v>
      </c>
      <c r="B590" s="34" t="s">
        <v>779</v>
      </c>
      <c r="C590" s="34">
        <v>85.0</v>
      </c>
      <c r="D590" s="34" t="s">
        <v>1708</v>
      </c>
      <c r="E590" s="34" t="s">
        <v>1726</v>
      </c>
      <c r="F590" s="34" t="s">
        <v>1597</v>
      </c>
      <c r="G590" s="34">
        <v>85191.0</v>
      </c>
      <c r="H590" s="34" t="s">
        <v>1725</v>
      </c>
      <c r="I590" s="34" t="s">
        <v>17</v>
      </c>
      <c r="J590" s="34" t="s">
        <v>15</v>
      </c>
      <c r="K590" s="45">
        <v>126.0</v>
      </c>
      <c r="L590" s="9"/>
      <c r="M590" s="45">
        <v>126.0</v>
      </c>
    </row>
    <row r="591">
      <c r="A591" s="34" t="s">
        <v>70</v>
      </c>
      <c r="B591" s="34" t="s">
        <v>284</v>
      </c>
      <c r="C591" s="34">
        <v>86.0</v>
      </c>
      <c r="D591" s="34" t="s">
        <v>695</v>
      </c>
      <c r="E591" s="34" t="s">
        <v>1727</v>
      </c>
      <c r="F591" s="34" t="s">
        <v>1728</v>
      </c>
      <c r="G591" s="34">
        <v>86137.0</v>
      </c>
      <c r="H591" s="34" t="s">
        <v>1729</v>
      </c>
      <c r="I591" s="34" t="s">
        <v>18</v>
      </c>
      <c r="J591" s="34" t="s">
        <v>13</v>
      </c>
      <c r="K591" s="9"/>
      <c r="L591" s="45">
        <v>86.6</v>
      </c>
      <c r="M591" s="45">
        <v>86.6</v>
      </c>
    </row>
    <row r="592">
      <c r="A592" s="34" t="s">
        <v>70</v>
      </c>
      <c r="B592" s="34" t="s">
        <v>284</v>
      </c>
      <c r="C592" s="34">
        <v>86.0</v>
      </c>
      <c r="D592" s="34" t="s">
        <v>695</v>
      </c>
      <c r="E592" s="34" t="s">
        <v>1730</v>
      </c>
      <c r="F592" s="34" t="s">
        <v>456</v>
      </c>
      <c r="G592" s="34">
        <v>86165.0</v>
      </c>
      <c r="H592" s="34" t="s">
        <v>1731</v>
      </c>
      <c r="I592" s="34" t="s">
        <v>18</v>
      </c>
      <c r="J592" s="34" t="s">
        <v>15</v>
      </c>
      <c r="K592" s="45">
        <v>110.3</v>
      </c>
      <c r="L592" s="9"/>
      <c r="M592" s="45">
        <v>110.3</v>
      </c>
    </row>
    <row r="593">
      <c r="A593" s="34" t="s">
        <v>70</v>
      </c>
      <c r="B593" s="34" t="s">
        <v>284</v>
      </c>
      <c r="C593" s="34">
        <v>86.0</v>
      </c>
      <c r="D593" s="34" t="s">
        <v>695</v>
      </c>
      <c r="E593" s="34" t="s">
        <v>1732</v>
      </c>
      <c r="F593" s="34" t="s">
        <v>1733</v>
      </c>
      <c r="G593" s="34">
        <v>86194.0</v>
      </c>
      <c r="H593" s="34" t="s">
        <v>284</v>
      </c>
      <c r="I593" s="34" t="s">
        <v>18</v>
      </c>
      <c r="J593" s="34" t="s">
        <v>15</v>
      </c>
      <c r="K593" s="45">
        <v>121.6</v>
      </c>
      <c r="L593" s="9"/>
      <c r="M593" s="45">
        <v>121.6</v>
      </c>
    </row>
    <row r="594">
      <c r="A594" s="34" t="s">
        <v>70</v>
      </c>
      <c r="B594" s="34" t="s">
        <v>284</v>
      </c>
      <c r="C594" s="34">
        <v>86.0</v>
      </c>
      <c r="D594" s="34" t="s">
        <v>695</v>
      </c>
      <c r="E594" s="34" t="s">
        <v>1734</v>
      </c>
      <c r="F594" s="34" t="s">
        <v>1735</v>
      </c>
      <c r="G594" s="34">
        <v>86194.0</v>
      </c>
      <c r="H594" s="34" t="s">
        <v>284</v>
      </c>
      <c r="I594" s="34" t="s">
        <v>18</v>
      </c>
      <c r="J594" s="34" t="s">
        <v>14</v>
      </c>
      <c r="K594" s="45">
        <v>107.8</v>
      </c>
      <c r="L594" s="45">
        <v>95.5</v>
      </c>
      <c r="M594" s="45">
        <v>99.2</v>
      </c>
    </row>
    <row r="595">
      <c r="A595" s="34" t="s">
        <v>70</v>
      </c>
      <c r="B595" s="34" t="s">
        <v>322</v>
      </c>
      <c r="C595" s="34">
        <v>87.0</v>
      </c>
      <c r="D595" s="34" t="s">
        <v>1736</v>
      </c>
      <c r="E595" s="34" t="s">
        <v>1737</v>
      </c>
      <c r="F595" s="34" t="s">
        <v>1738</v>
      </c>
      <c r="G595" s="34">
        <v>87085.0</v>
      </c>
      <c r="H595" s="34" t="s">
        <v>322</v>
      </c>
      <c r="I595" s="34" t="s">
        <v>17</v>
      </c>
      <c r="J595" s="34" t="s">
        <v>13</v>
      </c>
      <c r="K595" s="9"/>
      <c r="L595" s="45">
        <v>83.7</v>
      </c>
      <c r="M595" s="45">
        <v>83.7</v>
      </c>
    </row>
    <row r="596">
      <c r="A596" s="34" t="s">
        <v>70</v>
      </c>
      <c r="B596" s="34" t="s">
        <v>322</v>
      </c>
      <c r="C596" s="34">
        <v>87.0</v>
      </c>
      <c r="D596" s="34" t="s">
        <v>1736</v>
      </c>
      <c r="E596" s="34" t="s">
        <v>1739</v>
      </c>
      <c r="F596" s="34" t="s">
        <v>1740</v>
      </c>
      <c r="G596" s="34">
        <v>87085.0</v>
      </c>
      <c r="H596" s="34" t="s">
        <v>322</v>
      </c>
      <c r="I596" s="34" t="s">
        <v>18</v>
      </c>
      <c r="J596" s="34" t="s">
        <v>13</v>
      </c>
      <c r="K596" s="9"/>
      <c r="L596" s="45">
        <v>84.3</v>
      </c>
      <c r="M596" s="45">
        <v>84.3</v>
      </c>
    </row>
    <row r="597">
      <c r="A597" s="34" t="s">
        <v>70</v>
      </c>
      <c r="B597" s="34" t="s">
        <v>322</v>
      </c>
      <c r="C597" s="34">
        <v>87.0</v>
      </c>
      <c r="D597" s="34" t="s">
        <v>1736</v>
      </c>
      <c r="E597" s="34" t="s">
        <v>1741</v>
      </c>
      <c r="F597" s="34" t="s">
        <v>1742</v>
      </c>
      <c r="G597" s="34">
        <v>87085.0</v>
      </c>
      <c r="H597" s="34" t="s">
        <v>322</v>
      </c>
      <c r="I597" s="34" t="s">
        <v>17</v>
      </c>
      <c r="J597" s="34" t="s">
        <v>13</v>
      </c>
      <c r="K597" s="9"/>
      <c r="L597" s="45">
        <v>105.3</v>
      </c>
      <c r="M597" s="45">
        <v>105.3</v>
      </c>
    </row>
    <row r="598">
      <c r="A598" s="34" t="s">
        <v>70</v>
      </c>
      <c r="B598" s="34" t="s">
        <v>322</v>
      </c>
      <c r="C598" s="34">
        <v>87.0</v>
      </c>
      <c r="D598" s="34" t="s">
        <v>1736</v>
      </c>
      <c r="E598" s="34" t="s">
        <v>1743</v>
      </c>
      <c r="F598" s="34" t="s">
        <v>1744</v>
      </c>
      <c r="G598" s="34">
        <v>87085.0</v>
      </c>
      <c r="H598" s="34" t="s">
        <v>322</v>
      </c>
      <c r="I598" s="34" t="s">
        <v>18</v>
      </c>
      <c r="J598" s="34" t="s">
        <v>14</v>
      </c>
      <c r="K598" s="45">
        <v>109.1</v>
      </c>
      <c r="L598" s="45">
        <v>87.8</v>
      </c>
      <c r="M598" s="45">
        <v>91.0</v>
      </c>
    </row>
    <row r="599">
      <c r="A599" s="34" t="s">
        <v>70</v>
      </c>
      <c r="B599" s="34" t="s">
        <v>930</v>
      </c>
      <c r="C599" s="34">
        <v>88.0</v>
      </c>
      <c r="D599" s="34" t="s">
        <v>1745</v>
      </c>
      <c r="E599" s="34" t="s">
        <v>1746</v>
      </c>
      <c r="F599" s="34" t="s">
        <v>1747</v>
      </c>
      <c r="G599" s="34">
        <v>88160.0</v>
      </c>
      <c r="H599" s="34" t="s">
        <v>1748</v>
      </c>
      <c r="I599" s="34" t="s">
        <v>18</v>
      </c>
      <c r="J599" s="34" t="s">
        <v>14</v>
      </c>
      <c r="K599" s="45">
        <v>114.5</v>
      </c>
      <c r="L599" s="45">
        <v>85.7</v>
      </c>
      <c r="M599" s="45">
        <v>107.4</v>
      </c>
    </row>
    <row r="600">
      <c r="A600" s="34" t="s">
        <v>70</v>
      </c>
      <c r="B600" s="34" t="s">
        <v>930</v>
      </c>
      <c r="C600" s="34">
        <v>88.0</v>
      </c>
      <c r="D600" s="34" t="s">
        <v>1745</v>
      </c>
      <c r="E600" s="34" t="s">
        <v>1749</v>
      </c>
      <c r="F600" s="34" t="s">
        <v>1750</v>
      </c>
      <c r="G600" s="34">
        <v>88321.0</v>
      </c>
      <c r="H600" s="34" t="s">
        <v>1751</v>
      </c>
      <c r="I600" s="34" t="s">
        <v>18</v>
      </c>
      <c r="J600" s="34" t="s">
        <v>14</v>
      </c>
      <c r="K600" s="45">
        <v>104.4</v>
      </c>
      <c r="L600" s="45">
        <v>94.7</v>
      </c>
      <c r="M600" s="45">
        <v>102.9</v>
      </c>
    </row>
    <row r="601">
      <c r="A601" s="34" t="s">
        <v>70</v>
      </c>
      <c r="B601" s="34" t="s">
        <v>930</v>
      </c>
      <c r="C601" s="34">
        <v>88.0</v>
      </c>
      <c r="D601" s="34" t="s">
        <v>1745</v>
      </c>
      <c r="E601" s="34" t="s">
        <v>1752</v>
      </c>
      <c r="F601" s="34" t="s">
        <v>1753</v>
      </c>
      <c r="G601" s="34">
        <v>88465.0</v>
      </c>
      <c r="H601" s="34" t="s">
        <v>1754</v>
      </c>
      <c r="I601" s="34" t="s">
        <v>18</v>
      </c>
      <c r="J601" s="34" t="s">
        <v>13</v>
      </c>
      <c r="K601" s="9"/>
      <c r="L601" s="45">
        <v>84.4</v>
      </c>
      <c r="M601" s="45">
        <v>84.4</v>
      </c>
    </row>
    <row r="602">
      <c r="A602" s="34" t="s">
        <v>70</v>
      </c>
      <c r="B602" s="34" t="s">
        <v>930</v>
      </c>
      <c r="C602" s="34">
        <v>88.0</v>
      </c>
      <c r="D602" s="34" t="s">
        <v>1745</v>
      </c>
      <c r="E602" s="34" t="s">
        <v>1755</v>
      </c>
      <c r="F602" s="34" t="s">
        <v>595</v>
      </c>
      <c r="G602" s="34">
        <v>88078.0</v>
      </c>
      <c r="H602" s="34" t="s">
        <v>1756</v>
      </c>
      <c r="I602" s="34" t="s">
        <v>17</v>
      </c>
      <c r="J602" s="34" t="s">
        <v>13</v>
      </c>
      <c r="K602" s="9"/>
      <c r="L602" s="45">
        <v>80.6</v>
      </c>
      <c r="M602" s="45">
        <v>80.6</v>
      </c>
    </row>
    <row r="603">
      <c r="A603" s="34" t="s">
        <v>70</v>
      </c>
      <c r="B603" s="34" t="s">
        <v>930</v>
      </c>
      <c r="C603" s="34">
        <v>88.0</v>
      </c>
      <c r="D603" s="34" t="s">
        <v>1745</v>
      </c>
      <c r="E603" s="34" t="s">
        <v>1757</v>
      </c>
      <c r="F603" s="34" t="s">
        <v>1758</v>
      </c>
      <c r="G603" s="34">
        <v>88402.0</v>
      </c>
      <c r="H603" s="34" t="s">
        <v>1759</v>
      </c>
      <c r="I603" s="34" t="s">
        <v>17</v>
      </c>
      <c r="J603" s="34" t="s">
        <v>13</v>
      </c>
      <c r="K603" s="9"/>
      <c r="L603" s="45">
        <v>78.0</v>
      </c>
      <c r="M603" s="45">
        <v>78.0</v>
      </c>
    </row>
    <row r="604">
      <c r="A604" s="34" t="s">
        <v>70</v>
      </c>
      <c r="B604" s="34" t="s">
        <v>930</v>
      </c>
      <c r="C604" s="34">
        <v>88.0</v>
      </c>
      <c r="D604" s="34" t="s">
        <v>1745</v>
      </c>
      <c r="E604" s="34" t="s">
        <v>1760</v>
      </c>
      <c r="F604" s="34" t="s">
        <v>1761</v>
      </c>
      <c r="G604" s="34">
        <v>88196.0</v>
      </c>
      <c r="H604" s="34" t="s">
        <v>1762</v>
      </c>
      <c r="I604" s="34" t="s">
        <v>18</v>
      </c>
      <c r="J604" s="34" t="s">
        <v>14</v>
      </c>
      <c r="K604" s="45">
        <v>108.3</v>
      </c>
      <c r="L604" s="45">
        <v>92.2</v>
      </c>
      <c r="M604" s="45">
        <v>95.3</v>
      </c>
    </row>
    <row r="605">
      <c r="A605" s="34" t="s">
        <v>70</v>
      </c>
      <c r="B605" s="34" t="s">
        <v>333</v>
      </c>
      <c r="C605" s="34">
        <v>89.0</v>
      </c>
      <c r="D605" s="34" t="s">
        <v>1763</v>
      </c>
      <c r="E605" s="34" t="s">
        <v>1764</v>
      </c>
      <c r="F605" s="34" t="s">
        <v>1765</v>
      </c>
      <c r="G605" s="34">
        <v>89024.0</v>
      </c>
      <c r="H605" s="34" t="s">
        <v>1766</v>
      </c>
      <c r="I605" s="34" t="s">
        <v>18</v>
      </c>
      <c r="J605" s="34" t="s">
        <v>14</v>
      </c>
      <c r="K605" s="45">
        <v>103.8</v>
      </c>
      <c r="L605" s="45">
        <v>85.6</v>
      </c>
      <c r="M605" s="45">
        <v>98.7</v>
      </c>
    </row>
    <row r="606">
      <c r="A606" s="34" t="s">
        <v>70</v>
      </c>
      <c r="B606" s="34" t="s">
        <v>333</v>
      </c>
      <c r="C606" s="34">
        <v>89.0</v>
      </c>
      <c r="D606" s="34" t="s">
        <v>1763</v>
      </c>
      <c r="E606" s="34" t="s">
        <v>1767</v>
      </c>
      <c r="F606" s="34" t="s">
        <v>1768</v>
      </c>
      <c r="G606" s="34">
        <v>89025.0</v>
      </c>
      <c r="H606" s="34" t="s">
        <v>1769</v>
      </c>
      <c r="I606" s="34" t="s">
        <v>18</v>
      </c>
      <c r="J606" s="34" t="s">
        <v>14</v>
      </c>
      <c r="K606" s="45">
        <v>109.5</v>
      </c>
      <c r="L606" s="45">
        <v>85.6</v>
      </c>
      <c r="M606" s="45">
        <v>104.0</v>
      </c>
    </row>
    <row r="607">
      <c r="A607" s="34" t="s">
        <v>70</v>
      </c>
      <c r="B607" s="34" t="s">
        <v>333</v>
      </c>
      <c r="C607" s="34">
        <v>89.0</v>
      </c>
      <c r="D607" s="34" t="s">
        <v>1763</v>
      </c>
      <c r="E607" s="34" t="s">
        <v>1770</v>
      </c>
      <c r="F607" s="34" t="s">
        <v>1771</v>
      </c>
      <c r="G607" s="34">
        <v>89418.0</v>
      </c>
      <c r="H607" s="34" t="s">
        <v>1772</v>
      </c>
      <c r="I607" s="34" t="s">
        <v>18</v>
      </c>
      <c r="J607" s="34" t="s">
        <v>14</v>
      </c>
      <c r="K607" s="45">
        <v>103.0</v>
      </c>
      <c r="L607" s="45">
        <v>85.5</v>
      </c>
      <c r="M607" s="45">
        <v>100.6</v>
      </c>
    </row>
    <row r="608">
      <c r="A608" s="34" t="s">
        <v>70</v>
      </c>
      <c r="B608" s="34" t="s">
        <v>333</v>
      </c>
      <c r="C608" s="34">
        <v>89.0</v>
      </c>
      <c r="D608" s="34" t="s">
        <v>1763</v>
      </c>
      <c r="E608" s="34" t="s">
        <v>1773</v>
      </c>
      <c r="F608" s="34" t="s">
        <v>848</v>
      </c>
      <c r="G608" s="34">
        <v>89025.0</v>
      </c>
      <c r="H608" s="34" t="s">
        <v>1769</v>
      </c>
      <c r="I608" s="34" t="s">
        <v>17</v>
      </c>
      <c r="J608" s="34" t="s">
        <v>14</v>
      </c>
      <c r="K608" s="45">
        <v>107.0</v>
      </c>
      <c r="L608" s="45">
        <v>89.0</v>
      </c>
      <c r="M608" s="45">
        <v>99.7</v>
      </c>
    </row>
    <row r="609">
      <c r="A609" s="34" t="s">
        <v>70</v>
      </c>
      <c r="B609" s="34" t="s">
        <v>333</v>
      </c>
      <c r="C609" s="34">
        <v>89.0</v>
      </c>
      <c r="D609" s="34" t="s">
        <v>1763</v>
      </c>
      <c r="E609" s="34" t="s">
        <v>1774</v>
      </c>
      <c r="F609" s="34" t="s">
        <v>350</v>
      </c>
      <c r="G609" s="34">
        <v>89024.0</v>
      </c>
      <c r="H609" s="34" t="s">
        <v>1766</v>
      </c>
      <c r="I609" s="34" t="s">
        <v>17</v>
      </c>
      <c r="J609" s="34" t="s">
        <v>14</v>
      </c>
      <c r="K609" s="45">
        <v>117.2</v>
      </c>
      <c r="L609" s="45">
        <v>94.0</v>
      </c>
      <c r="M609" s="45">
        <v>112.1</v>
      </c>
    </row>
    <row r="610">
      <c r="A610" s="34" t="s">
        <v>70</v>
      </c>
      <c r="B610" s="34" t="s">
        <v>333</v>
      </c>
      <c r="C610" s="34">
        <v>89.0</v>
      </c>
      <c r="D610" s="34" t="s">
        <v>1763</v>
      </c>
      <c r="E610" s="34" t="s">
        <v>1775</v>
      </c>
      <c r="F610" s="34" t="s">
        <v>1776</v>
      </c>
      <c r="G610" s="34">
        <v>89206.0</v>
      </c>
      <c r="H610" s="34" t="s">
        <v>1777</v>
      </c>
      <c r="I610" s="34" t="s">
        <v>17</v>
      </c>
      <c r="J610" s="34" t="s">
        <v>13</v>
      </c>
      <c r="K610" s="9"/>
      <c r="L610" s="45">
        <v>105.3</v>
      </c>
      <c r="M610" s="45">
        <v>105.3</v>
      </c>
    </row>
    <row r="611">
      <c r="A611" s="34" t="s">
        <v>70</v>
      </c>
      <c r="B611" s="34" t="s">
        <v>393</v>
      </c>
      <c r="C611" s="34">
        <v>90.0</v>
      </c>
      <c r="D611" s="34" t="s">
        <v>1778</v>
      </c>
      <c r="E611" s="34" t="s">
        <v>1779</v>
      </c>
      <c r="F611" s="34" t="s">
        <v>1780</v>
      </c>
      <c r="G611" s="34">
        <v>90010.0</v>
      </c>
      <c r="H611" s="34" t="s">
        <v>1781</v>
      </c>
      <c r="I611" s="34" t="s">
        <v>18</v>
      </c>
      <c r="J611" s="34" t="s">
        <v>15</v>
      </c>
      <c r="K611" s="45">
        <v>116.1</v>
      </c>
      <c r="L611" s="9"/>
      <c r="M611" s="45">
        <v>116.1</v>
      </c>
    </row>
    <row r="612">
      <c r="A612" s="34" t="s">
        <v>70</v>
      </c>
      <c r="B612" s="34" t="s">
        <v>393</v>
      </c>
      <c r="C612" s="34">
        <v>90.0</v>
      </c>
      <c r="D612" s="34" t="s">
        <v>1778</v>
      </c>
      <c r="E612" s="34" t="s">
        <v>1782</v>
      </c>
      <c r="F612" s="34" t="s">
        <v>1783</v>
      </c>
      <c r="G612" s="34">
        <v>90010.0</v>
      </c>
      <c r="H612" s="34" t="s">
        <v>1781</v>
      </c>
      <c r="I612" s="34" t="s">
        <v>18</v>
      </c>
      <c r="J612" s="34" t="s">
        <v>13</v>
      </c>
      <c r="K612" s="9"/>
      <c r="L612" s="45">
        <v>82.1</v>
      </c>
      <c r="M612" s="45">
        <v>82.1</v>
      </c>
    </row>
    <row r="613">
      <c r="A613" s="34" t="s">
        <v>70</v>
      </c>
      <c r="B613" s="34" t="s">
        <v>1579</v>
      </c>
      <c r="C613" s="34">
        <v>91.0</v>
      </c>
      <c r="D613" s="34" t="s">
        <v>1784</v>
      </c>
      <c r="E613" s="34" t="s">
        <v>1785</v>
      </c>
      <c r="F613" s="34" t="s">
        <v>1786</v>
      </c>
      <c r="G613" s="34">
        <v>91377.0</v>
      </c>
      <c r="H613" s="34" t="s">
        <v>1787</v>
      </c>
      <c r="I613" s="34" t="s">
        <v>18</v>
      </c>
      <c r="J613" s="34" t="s">
        <v>13</v>
      </c>
      <c r="K613" s="9"/>
      <c r="L613" s="45">
        <v>87.3</v>
      </c>
      <c r="M613" s="45">
        <v>87.3</v>
      </c>
    </row>
    <row r="614">
      <c r="A614" s="34" t="s">
        <v>70</v>
      </c>
      <c r="B614" s="34" t="s">
        <v>1579</v>
      </c>
      <c r="C614" s="34">
        <v>91.0</v>
      </c>
      <c r="D614" s="34" t="s">
        <v>1784</v>
      </c>
      <c r="E614" s="34" t="s">
        <v>1788</v>
      </c>
      <c r="F614" s="34" t="s">
        <v>1789</v>
      </c>
      <c r="G614" s="34">
        <v>91377.0</v>
      </c>
      <c r="H614" s="34" t="s">
        <v>1787</v>
      </c>
      <c r="I614" s="34" t="s">
        <v>18</v>
      </c>
      <c r="J614" s="34" t="s">
        <v>14</v>
      </c>
      <c r="K614" s="45">
        <v>126.4</v>
      </c>
      <c r="L614" s="45">
        <v>95.9</v>
      </c>
      <c r="M614" s="45">
        <v>117.5</v>
      </c>
    </row>
    <row r="615">
      <c r="A615" s="34" t="s">
        <v>70</v>
      </c>
      <c r="B615" s="34" t="s">
        <v>1579</v>
      </c>
      <c r="C615" s="34">
        <v>91.0</v>
      </c>
      <c r="D615" s="34" t="s">
        <v>1784</v>
      </c>
      <c r="E615" s="34" t="s">
        <v>1790</v>
      </c>
      <c r="F615" s="34" t="s">
        <v>1791</v>
      </c>
      <c r="G615" s="34">
        <v>91665.0</v>
      </c>
      <c r="H615" s="34" t="s">
        <v>1792</v>
      </c>
      <c r="I615" s="34" t="s">
        <v>17</v>
      </c>
      <c r="J615" s="34" t="s">
        <v>15</v>
      </c>
      <c r="K615" s="45">
        <v>143.0</v>
      </c>
      <c r="L615" s="9"/>
      <c r="M615" s="45">
        <v>143.0</v>
      </c>
    </row>
    <row r="616">
      <c r="A616" s="34" t="s">
        <v>70</v>
      </c>
      <c r="B616" s="34" t="s">
        <v>1579</v>
      </c>
      <c r="C616" s="34">
        <v>91.0</v>
      </c>
      <c r="D616" s="34" t="s">
        <v>1784</v>
      </c>
      <c r="E616" s="34" t="s">
        <v>1793</v>
      </c>
      <c r="F616" s="34" t="s">
        <v>1794</v>
      </c>
      <c r="G616" s="34">
        <v>91691.0</v>
      </c>
      <c r="H616" s="34" t="s">
        <v>1795</v>
      </c>
      <c r="I616" s="34" t="s">
        <v>17</v>
      </c>
      <c r="J616" s="34" t="s">
        <v>14</v>
      </c>
      <c r="K616" s="45">
        <v>137.8</v>
      </c>
      <c r="L616" s="45">
        <v>117.8</v>
      </c>
      <c r="M616" s="45">
        <v>130.4</v>
      </c>
    </row>
    <row r="617">
      <c r="A617" s="34" t="s">
        <v>70</v>
      </c>
      <c r="B617" s="34" t="s">
        <v>1579</v>
      </c>
      <c r="C617" s="34">
        <v>91.0</v>
      </c>
      <c r="D617" s="34" t="s">
        <v>1784</v>
      </c>
      <c r="E617" s="34" t="s">
        <v>1796</v>
      </c>
      <c r="F617" s="34" t="s">
        <v>1797</v>
      </c>
      <c r="G617" s="34">
        <v>91103.0</v>
      </c>
      <c r="H617" s="34" t="s">
        <v>1798</v>
      </c>
      <c r="I617" s="34" t="s">
        <v>18</v>
      </c>
      <c r="J617" s="34" t="s">
        <v>14</v>
      </c>
      <c r="K617" s="45">
        <v>111.2</v>
      </c>
      <c r="L617" s="45">
        <v>94.0</v>
      </c>
      <c r="M617" s="45">
        <v>107.7</v>
      </c>
    </row>
    <row r="618">
      <c r="A618" s="34" t="s">
        <v>70</v>
      </c>
      <c r="B618" s="34" t="s">
        <v>1579</v>
      </c>
      <c r="C618" s="34">
        <v>91.0</v>
      </c>
      <c r="D618" s="34" t="s">
        <v>1784</v>
      </c>
      <c r="E618" s="34" t="s">
        <v>1799</v>
      </c>
      <c r="F618" s="34" t="s">
        <v>1800</v>
      </c>
      <c r="G618" s="34">
        <v>91434.0</v>
      </c>
      <c r="H618" s="34" t="s">
        <v>1801</v>
      </c>
      <c r="I618" s="34" t="s">
        <v>18</v>
      </c>
      <c r="J618" s="34" t="s">
        <v>13</v>
      </c>
      <c r="K618" s="9"/>
      <c r="L618" s="45">
        <v>91.7</v>
      </c>
      <c r="M618" s="45">
        <v>91.7</v>
      </c>
    </row>
    <row r="619">
      <c r="A619" s="34" t="s">
        <v>70</v>
      </c>
      <c r="B619" s="34" t="s">
        <v>1579</v>
      </c>
      <c r="C619" s="34">
        <v>91.0</v>
      </c>
      <c r="D619" s="34" t="s">
        <v>1784</v>
      </c>
      <c r="E619" s="34" t="s">
        <v>1802</v>
      </c>
      <c r="F619" s="34" t="s">
        <v>1803</v>
      </c>
      <c r="G619" s="34">
        <v>91228.0</v>
      </c>
      <c r="H619" s="34" t="s">
        <v>1804</v>
      </c>
      <c r="I619" s="34" t="s">
        <v>18</v>
      </c>
      <c r="J619" s="34" t="s">
        <v>15</v>
      </c>
      <c r="K619" s="45">
        <v>99.6</v>
      </c>
      <c r="L619" s="9"/>
      <c r="M619" s="45">
        <v>99.6</v>
      </c>
    </row>
    <row r="620">
      <c r="A620" s="34" t="s">
        <v>70</v>
      </c>
      <c r="B620" s="34" t="s">
        <v>1579</v>
      </c>
      <c r="C620" s="34">
        <v>91.0</v>
      </c>
      <c r="D620" s="34" t="s">
        <v>1784</v>
      </c>
      <c r="E620" s="34" t="s">
        <v>1805</v>
      </c>
      <c r="F620" s="34" t="s">
        <v>1806</v>
      </c>
      <c r="G620" s="34">
        <v>91228.0</v>
      </c>
      <c r="H620" s="34" t="s">
        <v>1804</v>
      </c>
      <c r="I620" s="34" t="s">
        <v>18</v>
      </c>
      <c r="J620" s="34" t="s">
        <v>13</v>
      </c>
      <c r="K620" s="9"/>
      <c r="L620" s="45">
        <v>84.4</v>
      </c>
      <c r="M620" s="45">
        <v>84.4</v>
      </c>
    </row>
    <row r="621">
      <c r="A621" s="34" t="s">
        <v>70</v>
      </c>
      <c r="B621" s="34" t="s">
        <v>1579</v>
      </c>
      <c r="C621" s="34">
        <v>91.0</v>
      </c>
      <c r="D621" s="34" t="s">
        <v>1784</v>
      </c>
      <c r="E621" s="34" t="s">
        <v>1807</v>
      </c>
      <c r="F621" s="34" t="s">
        <v>1808</v>
      </c>
      <c r="G621" s="34">
        <v>91021.0</v>
      </c>
      <c r="H621" s="34" t="s">
        <v>1809</v>
      </c>
      <c r="I621" s="34" t="s">
        <v>18</v>
      </c>
      <c r="J621" s="34" t="s">
        <v>15</v>
      </c>
      <c r="K621" s="45">
        <v>120.8</v>
      </c>
      <c r="L621" s="9"/>
      <c r="M621" s="45">
        <v>120.8</v>
      </c>
    </row>
    <row r="622">
      <c r="A622" s="34" t="s">
        <v>70</v>
      </c>
      <c r="B622" s="34" t="s">
        <v>1579</v>
      </c>
      <c r="C622" s="34">
        <v>91.0</v>
      </c>
      <c r="D622" s="34" t="s">
        <v>1784</v>
      </c>
      <c r="E622" s="34" t="s">
        <v>1810</v>
      </c>
      <c r="F622" s="34" t="s">
        <v>1811</v>
      </c>
      <c r="G622" s="34">
        <v>91589.0</v>
      </c>
      <c r="H622" s="34" t="s">
        <v>1812</v>
      </c>
      <c r="I622" s="34" t="s">
        <v>18</v>
      </c>
      <c r="J622" s="34" t="s">
        <v>14</v>
      </c>
      <c r="K622" s="45">
        <v>102.7</v>
      </c>
      <c r="L622" s="45">
        <v>84.3</v>
      </c>
      <c r="M622" s="45">
        <v>95.5</v>
      </c>
    </row>
    <row r="623">
      <c r="A623" s="34" t="s">
        <v>70</v>
      </c>
      <c r="B623" s="34" t="s">
        <v>1579</v>
      </c>
      <c r="C623" s="34">
        <v>91.0</v>
      </c>
      <c r="D623" s="34" t="s">
        <v>1784</v>
      </c>
      <c r="E623" s="34" t="s">
        <v>1813</v>
      </c>
      <c r="F623" s="34" t="s">
        <v>1814</v>
      </c>
      <c r="G623" s="34">
        <v>91103.0</v>
      </c>
      <c r="H623" s="34" t="s">
        <v>1798</v>
      </c>
      <c r="I623" s="34" t="s">
        <v>17</v>
      </c>
      <c r="J623" s="34" t="s">
        <v>15</v>
      </c>
      <c r="K623" s="45">
        <v>134.1</v>
      </c>
      <c r="L623" s="9"/>
      <c r="M623" s="45">
        <v>134.1</v>
      </c>
    </row>
    <row r="624">
      <c r="A624" s="34" t="s">
        <v>70</v>
      </c>
      <c r="B624" s="34" t="s">
        <v>1579</v>
      </c>
      <c r="C624" s="34">
        <v>92.0</v>
      </c>
      <c r="D624" s="34" t="s">
        <v>1815</v>
      </c>
      <c r="E624" s="34" t="s">
        <v>1816</v>
      </c>
      <c r="F624" s="34" t="s">
        <v>1817</v>
      </c>
      <c r="G624" s="34">
        <v>92019.0</v>
      </c>
      <c r="H624" s="34" t="s">
        <v>1818</v>
      </c>
      <c r="I624" s="34" t="s">
        <v>18</v>
      </c>
      <c r="J624" s="34" t="s">
        <v>15</v>
      </c>
      <c r="K624" s="45">
        <v>122.6</v>
      </c>
      <c r="L624" s="9"/>
      <c r="M624" s="45">
        <v>122.6</v>
      </c>
    </row>
    <row r="625">
      <c r="A625" s="34" t="s">
        <v>70</v>
      </c>
      <c r="B625" s="34" t="s">
        <v>1579</v>
      </c>
      <c r="C625" s="34">
        <v>92.0</v>
      </c>
      <c r="D625" s="34" t="s">
        <v>1815</v>
      </c>
      <c r="E625" s="34" t="s">
        <v>1819</v>
      </c>
      <c r="F625" s="34" t="s">
        <v>1820</v>
      </c>
      <c r="G625" s="34">
        <v>92051.0</v>
      </c>
      <c r="H625" s="34" t="s">
        <v>1821</v>
      </c>
      <c r="I625" s="34" t="s">
        <v>18</v>
      </c>
      <c r="J625" s="34" t="s">
        <v>15</v>
      </c>
      <c r="K625" s="45">
        <v>132.8</v>
      </c>
      <c r="L625" s="9"/>
      <c r="M625" s="45">
        <v>132.8</v>
      </c>
    </row>
    <row r="626">
      <c r="A626" s="34" t="s">
        <v>70</v>
      </c>
      <c r="B626" s="34" t="s">
        <v>1579</v>
      </c>
      <c r="C626" s="34">
        <v>92.0</v>
      </c>
      <c r="D626" s="34" t="s">
        <v>1815</v>
      </c>
      <c r="E626" s="34" t="s">
        <v>1822</v>
      </c>
      <c r="F626" s="34" t="s">
        <v>1823</v>
      </c>
      <c r="G626" s="34">
        <v>92062.0</v>
      </c>
      <c r="H626" s="34" t="s">
        <v>1824</v>
      </c>
      <c r="I626" s="34" t="s">
        <v>18</v>
      </c>
      <c r="J626" s="34" t="s">
        <v>15</v>
      </c>
      <c r="K626" s="45">
        <v>116.2</v>
      </c>
      <c r="L626" s="9"/>
      <c r="M626" s="45">
        <v>116.2</v>
      </c>
    </row>
    <row r="627">
      <c r="A627" s="34" t="s">
        <v>70</v>
      </c>
      <c r="B627" s="34" t="s">
        <v>1579</v>
      </c>
      <c r="C627" s="34">
        <v>92.0</v>
      </c>
      <c r="D627" s="34" t="s">
        <v>1815</v>
      </c>
      <c r="E627" s="34" t="s">
        <v>1825</v>
      </c>
      <c r="F627" s="34" t="s">
        <v>1826</v>
      </c>
      <c r="G627" s="34">
        <v>92071.0</v>
      </c>
      <c r="H627" s="34" t="s">
        <v>1827</v>
      </c>
      <c r="I627" s="34" t="s">
        <v>18</v>
      </c>
      <c r="J627" s="34" t="s">
        <v>15</v>
      </c>
      <c r="K627" s="45">
        <v>142.3</v>
      </c>
      <c r="L627" s="9"/>
      <c r="M627" s="45">
        <v>142.3</v>
      </c>
    </row>
    <row r="628">
      <c r="A628" s="34" t="s">
        <v>70</v>
      </c>
      <c r="B628" s="34" t="s">
        <v>1579</v>
      </c>
      <c r="C628" s="34">
        <v>92.0</v>
      </c>
      <c r="D628" s="34" t="s">
        <v>1815</v>
      </c>
      <c r="E628" s="34" t="s">
        <v>1828</v>
      </c>
      <c r="F628" s="34" t="s">
        <v>1829</v>
      </c>
      <c r="G628" s="34">
        <v>92071.0</v>
      </c>
      <c r="H628" s="34" t="s">
        <v>1827</v>
      </c>
      <c r="I628" s="34" t="s">
        <v>18</v>
      </c>
      <c r="J628" s="34" t="s">
        <v>15</v>
      </c>
      <c r="K628" s="45">
        <v>141.5</v>
      </c>
      <c r="L628" s="9"/>
      <c r="M628" s="45">
        <v>141.5</v>
      </c>
    </row>
    <row r="629">
      <c r="A629" s="34" t="s">
        <v>70</v>
      </c>
      <c r="B629" s="34" t="s">
        <v>1579</v>
      </c>
      <c r="C629" s="34">
        <v>92.0</v>
      </c>
      <c r="D629" s="34" t="s">
        <v>1815</v>
      </c>
      <c r="E629" s="34" t="s">
        <v>1830</v>
      </c>
      <c r="F629" s="34" t="s">
        <v>1831</v>
      </c>
      <c r="G629" s="34">
        <v>92048.0</v>
      </c>
      <c r="H629" s="34" t="s">
        <v>1832</v>
      </c>
      <c r="I629" s="34" t="s">
        <v>17</v>
      </c>
      <c r="J629" s="34" t="s">
        <v>15</v>
      </c>
      <c r="K629" s="45">
        <v>148.4</v>
      </c>
      <c r="L629" s="9"/>
      <c r="M629" s="45">
        <v>148.4</v>
      </c>
    </row>
    <row r="630">
      <c r="A630" s="34" t="s">
        <v>70</v>
      </c>
      <c r="B630" s="34" t="s">
        <v>1579</v>
      </c>
      <c r="C630" s="34">
        <v>92.0</v>
      </c>
      <c r="D630" s="34" t="s">
        <v>1815</v>
      </c>
      <c r="E630" s="34" t="s">
        <v>1833</v>
      </c>
      <c r="F630" s="34" t="s">
        <v>1834</v>
      </c>
      <c r="G630" s="34">
        <v>92051.0</v>
      </c>
      <c r="H630" s="34" t="s">
        <v>1821</v>
      </c>
      <c r="I630" s="34" t="s">
        <v>17</v>
      </c>
      <c r="J630" s="34" t="s">
        <v>15</v>
      </c>
      <c r="K630" s="45">
        <v>151.3</v>
      </c>
      <c r="L630" s="9"/>
      <c r="M630" s="45">
        <v>151.3</v>
      </c>
    </row>
    <row r="631">
      <c r="A631" s="34" t="s">
        <v>70</v>
      </c>
      <c r="B631" s="34" t="s">
        <v>1579</v>
      </c>
      <c r="C631" s="34">
        <v>92.0</v>
      </c>
      <c r="D631" s="34" t="s">
        <v>1815</v>
      </c>
      <c r="E631" s="34" t="s">
        <v>1835</v>
      </c>
      <c r="F631" s="34" t="s">
        <v>789</v>
      </c>
      <c r="G631" s="34">
        <v>92051.0</v>
      </c>
      <c r="H631" s="34" t="s">
        <v>1821</v>
      </c>
      <c r="I631" s="34" t="s">
        <v>17</v>
      </c>
      <c r="J631" s="34" t="s">
        <v>15</v>
      </c>
      <c r="K631" s="45">
        <v>152.1</v>
      </c>
      <c r="L631" s="9"/>
      <c r="M631" s="45">
        <v>152.1</v>
      </c>
    </row>
    <row r="632">
      <c r="A632" s="34" t="s">
        <v>70</v>
      </c>
      <c r="B632" s="34" t="s">
        <v>1579</v>
      </c>
      <c r="C632" s="34">
        <v>92.0</v>
      </c>
      <c r="D632" s="34" t="s">
        <v>1815</v>
      </c>
      <c r="E632" s="34" t="s">
        <v>1836</v>
      </c>
      <c r="F632" s="34" t="s">
        <v>1837</v>
      </c>
      <c r="G632" s="34">
        <v>92051.0</v>
      </c>
      <c r="H632" s="34" t="s">
        <v>1821</v>
      </c>
      <c r="I632" s="34" t="s">
        <v>17</v>
      </c>
      <c r="J632" s="34" t="s">
        <v>14</v>
      </c>
      <c r="K632" s="45">
        <v>144.0</v>
      </c>
      <c r="L632" s="45">
        <v>123.7</v>
      </c>
      <c r="M632" s="45">
        <v>140.1</v>
      </c>
    </row>
    <row r="633">
      <c r="A633" s="34" t="s">
        <v>70</v>
      </c>
      <c r="B633" s="34" t="s">
        <v>1579</v>
      </c>
      <c r="C633" s="34">
        <v>92.0</v>
      </c>
      <c r="D633" s="34" t="s">
        <v>1815</v>
      </c>
      <c r="E633" s="34" t="s">
        <v>1838</v>
      </c>
      <c r="F633" s="34" t="s">
        <v>210</v>
      </c>
      <c r="G633" s="34">
        <v>92025.0</v>
      </c>
      <c r="H633" s="34" t="s">
        <v>1839</v>
      </c>
      <c r="I633" s="34" t="s">
        <v>17</v>
      </c>
      <c r="J633" s="34" t="s">
        <v>15</v>
      </c>
      <c r="K633" s="45">
        <v>138.3</v>
      </c>
      <c r="L633" s="9"/>
      <c r="M633" s="45">
        <v>138.3</v>
      </c>
    </row>
    <row r="634">
      <c r="A634" s="34" t="s">
        <v>70</v>
      </c>
      <c r="B634" s="34" t="s">
        <v>1579</v>
      </c>
      <c r="C634" s="34">
        <v>92.0</v>
      </c>
      <c r="D634" s="34" t="s">
        <v>1815</v>
      </c>
      <c r="E634" s="34" t="s">
        <v>1840</v>
      </c>
      <c r="F634" s="34" t="s">
        <v>1841</v>
      </c>
      <c r="G634" s="34">
        <v>92063.0</v>
      </c>
      <c r="H634" s="34" t="s">
        <v>1842</v>
      </c>
      <c r="I634" s="34" t="s">
        <v>17</v>
      </c>
      <c r="J634" s="34" t="s">
        <v>13</v>
      </c>
      <c r="K634" s="9"/>
      <c r="L634" s="45">
        <v>120.1</v>
      </c>
      <c r="M634" s="45">
        <v>120.1</v>
      </c>
    </row>
    <row r="635">
      <c r="A635" s="34" t="s">
        <v>70</v>
      </c>
      <c r="B635" s="34" t="s">
        <v>1579</v>
      </c>
      <c r="C635" s="34">
        <v>92.0</v>
      </c>
      <c r="D635" s="34" t="s">
        <v>1815</v>
      </c>
      <c r="E635" s="34" t="s">
        <v>1843</v>
      </c>
      <c r="F635" s="34" t="s">
        <v>1844</v>
      </c>
      <c r="G635" s="34">
        <v>92024.0</v>
      </c>
      <c r="H635" s="34" t="s">
        <v>1845</v>
      </c>
      <c r="I635" s="34" t="s">
        <v>18</v>
      </c>
      <c r="J635" s="34" t="s">
        <v>14</v>
      </c>
      <c r="K635" s="45">
        <v>96.6</v>
      </c>
      <c r="L635" s="45">
        <v>87.0</v>
      </c>
      <c r="M635" s="45">
        <v>91.7</v>
      </c>
    </row>
    <row r="636">
      <c r="A636" s="34" t="s">
        <v>70</v>
      </c>
      <c r="B636" s="34" t="s">
        <v>1579</v>
      </c>
      <c r="C636" s="34">
        <v>92.0</v>
      </c>
      <c r="D636" s="34" t="s">
        <v>1815</v>
      </c>
      <c r="E636" s="34" t="s">
        <v>1846</v>
      </c>
      <c r="F636" s="34" t="s">
        <v>1847</v>
      </c>
      <c r="G636" s="34">
        <v>92009.0</v>
      </c>
      <c r="H636" s="34" t="s">
        <v>1848</v>
      </c>
      <c r="I636" s="34" t="s">
        <v>17</v>
      </c>
      <c r="J636" s="34" t="s">
        <v>15</v>
      </c>
      <c r="K636" s="45">
        <v>145.4</v>
      </c>
      <c r="L636" s="9"/>
      <c r="M636" s="45">
        <v>145.4</v>
      </c>
    </row>
    <row r="637">
      <c r="A637" s="34" t="s">
        <v>70</v>
      </c>
      <c r="B637" s="34" t="s">
        <v>1579</v>
      </c>
      <c r="C637" s="34">
        <v>92.0</v>
      </c>
      <c r="D637" s="34" t="s">
        <v>1815</v>
      </c>
      <c r="E637" s="34" t="s">
        <v>1849</v>
      </c>
      <c r="F637" s="34" t="s">
        <v>1850</v>
      </c>
      <c r="G637" s="34">
        <v>92026.0</v>
      </c>
      <c r="H637" s="34" t="s">
        <v>1851</v>
      </c>
      <c r="I637" s="34" t="s">
        <v>18</v>
      </c>
      <c r="J637" s="34" t="s">
        <v>15</v>
      </c>
      <c r="K637" s="45">
        <v>138.5</v>
      </c>
      <c r="L637" s="9"/>
      <c r="M637" s="45">
        <v>138.5</v>
      </c>
    </row>
    <row r="638">
      <c r="A638" s="34" t="s">
        <v>70</v>
      </c>
      <c r="B638" s="34" t="s">
        <v>1545</v>
      </c>
      <c r="C638" s="34">
        <v>93.0</v>
      </c>
      <c r="D638" s="34" t="s">
        <v>1852</v>
      </c>
      <c r="E638" s="34" t="s">
        <v>1853</v>
      </c>
      <c r="F638" s="34" t="s">
        <v>1854</v>
      </c>
      <c r="G638" s="34">
        <v>93048.0</v>
      </c>
      <c r="H638" s="34" t="s">
        <v>1855</v>
      </c>
      <c r="I638" s="34" t="s">
        <v>18</v>
      </c>
      <c r="J638" s="34" t="s">
        <v>15</v>
      </c>
      <c r="K638" s="45">
        <v>101.9</v>
      </c>
      <c r="L638" s="9"/>
      <c r="M638" s="45">
        <v>101.9</v>
      </c>
    </row>
    <row r="639">
      <c r="A639" s="34" t="s">
        <v>70</v>
      </c>
      <c r="B639" s="34" t="s">
        <v>1545</v>
      </c>
      <c r="C639" s="34">
        <v>93.0</v>
      </c>
      <c r="D639" s="34" t="s">
        <v>1852</v>
      </c>
      <c r="E639" s="34" t="s">
        <v>1856</v>
      </c>
      <c r="F639" s="34" t="s">
        <v>1857</v>
      </c>
      <c r="G639" s="34">
        <v>93066.0</v>
      </c>
      <c r="H639" s="34" t="s">
        <v>1858</v>
      </c>
      <c r="I639" s="34" t="s">
        <v>18</v>
      </c>
      <c r="J639" s="34" t="s">
        <v>14</v>
      </c>
      <c r="K639" s="45">
        <v>57.1</v>
      </c>
      <c r="L639" s="45">
        <v>72.5</v>
      </c>
      <c r="M639" s="45">
        <v>72.4</v>
      </c>
    </row>
    <row r="640">
      <c r="A640" s="34" t="s">
        <v>70</v>
      </c>
      <c r="B640" s="34" t="s">
        <v>1545</v>
      </c>
      <c r="C640" s="34">
        <v>93.0</v>
      </c>
      <c r="D640" s="34" t="s">
        <v>1852</v>
      </c>
      <c r="E640" s="34" t="s">
        <v>1859</v>
      </c>
      <c r="F640" s="34" t="s">
        <v>1860</v>
      </c>
      <c r="G640" s="34">
        <v>93005.0</v>
      </c>
      <c r="H640" s="34" t="s">
        <v>1861</v>
      </c>
      <c r="I640" s="34" t="s">
        <v>18</v>
      </c>
      <c r="J640" s="34" t="s">
        <v>15</v>
      </c>
      <c r="K640" s="45">
        <v>79.8</v>
      </c>
      <c r="L640" s="9"/>
      <c r="M640" s="45">
        <v>79.8</v>
      </c>
    </row>
    <row r="641">
      <c r="A641" s="34" t="s">
        <v>70</v>
      </c>
      <c r="B641" s="34" t="s">
        <v>1545</v>
      </c>
      <c r="C641" s="34">
        <v>93.0</v>
      </c>
      <c r="D641" s="34" t="s">
        <v>1852</v>
      </c>
      <c r="E641" s="34" t="s">
        <v>1862</v>
      </c>
      <c r="F641" s="34" t="s">
        <v>1863</v>
      </c>
      <c r="G641" s="34">
        <v>93048.0</v>
      </c>
      <c r="H641" s="34" t="s">
        <v>1855</v>
      </c>
      <c r="I641" s="34" t="s">
        <v>17</v>
      </c>
      <c r="J641" s="34" t="s">
        <v>13</v>
      </c>
      <c r="K641" s="9"/>
      <c r="L641" s="45">
        <v>108.2</v>
      </c>
      <c r="M641" s="45">
        <v>108.2</v>
      </c>
    </row>
    <row r="642">
      <c r="A642" s="34" t="s">
        <v>70</v>
      </c>
      <c r="B642" s="34" t="s">
        <v>1545</v>
      </c>
      <c r="C642" s="34">
        <v>93.0</v>
      </c>
      <c r="D642" s="34" t="s">
        <v>1852</v>
      </c>
      <c r="E642" s="34" t="s">
        <v>1864</v>
      </c>
      <c r="F642" s="34" t="s">
        <v>1865</v>
      </c>
      <c r="G642" s="34">
        <v>93008.0</v>
      </c>
      <c r="H642" s="34" t="s">
        <v>1866</v>
      </c>
      <c r="I642" s="34" t="s">
        <v>17</v>
      </c>
      <c r="J642" s="34" t="s">
        <v>15</v>
      </c>
      <c r="K642" s="45">
        <v>98.0</v>
      </c>
      <c r="L642" s="9"/>
      <c r="M642" s="45">
        <v>98.0</v>
      </c>
    </row>
    <row r="643">
      <c r="A643" s="34" t="s">
        <v>70</v>
      </c>
      <c r="B643" s="34" t="s">
        <v>1545</v>
      </c>
      <c r="C643" s="34">
        <v>93.0</v>
      </c>
      <c r="D643" s="34" t="s">
        <v>1852</v>
      </c>
      <c r="E643" s="34" t="s">
        <v>1867</v>
      </c>
      <c r="F643" s="34" t="s">
        <v>1868</v>
      </c>
      <c r="G643" s="34">
        <v>93048.0</v>
      </c>
      <c r="H643" s="34" t="s">
        <v>1855</v>
      </c>
      <c r="I643" s="34" t="s">
        <v>17</v>
      </c>
      <c r="J643" s="34" t="s">
        <v>15</v>
      </c>
      <c r="K643" s="45">
        <v>129.9</v>
      </c>
      <c r="L643" s="9"/>
      <c r="M643" s="45">
        <v>129.9</v>
      </c>
    </row>
    <row r="644">
      <c r="A644" s="34" t="s">
        <v>70</v>
      </c>
      <c r="B644" s="34" t="s">
        <v>1545</v>
      </c>
      <c r="C644" s="34">
        <v>93.0</v>
      </c>
      <c r="D644" s="34" t="s">
        <v>1852</v>
      </c>
      <c r="E644" s="34" t="s">
        <v>1869</v>
      </c>
      <c r="F644" s="34" t="s">
        <v>1870</v>
      </c>
      <c r="G644" s="34">
        <v>93077.0</v>
      </c>
      <c r="H644" s="34" t="s">
        <v>1871</v>
      </c>
      <c r="I644" s="34" t="s">
        <v>17</v>
      </c>
      <c r="J644" s="34" t="s">
        <v>15</v>
      </c>
      <c r="K644" s="45">
        <v>135.9</v>
      </c>
      <c r="L644" s="9"/>
      <c r="M644" s="45">
        <v>135.9</v>
      </c>
    </row>
    <row r="645">
      <c r="A645" s="34" t="s">
        <v>70</v>
      </c>
      <c r="B645" s="34" t="s">
        <v>1545</v>
      </c>
      <c r="C645" s="34">
        <v>93.0</v>
      </c>
      <c r="D645" s="34" t="s">
        <v>1852</v>
      </c>
      <c r="E645" s="34" t="s">
        <v>1872</v>
      </c>
      <c r="F645" s="34" t="s">
        <v>1873</v>
      </c>
      <c r="G645" s="34">
        <v>93001.0</v>
      </c>
      <c r="H645" s="34" t="s">
        <v>1874</v>
      </c>
      <c r="I645" s="34" t="s">
        <v>18</v>
      </c>
      <c r="J645" s="34" t="s">
        <v>14</v>
      </c>
      <c r="K645" s="45">
        <v>66.3</v>
      </c>
      <c r="L645" s="45">
        <v>71.9</v>
      </c>
      <c r="M645" s="45">
        <v>71.7</v>
      </c>
    </row>
    <row r="646">
      <c r="A646" s="34" t="s">
        <v>70</v>
      </c>
      <c r="B646" s="34" t="s">
        <v>1545</v>
      </c>
      <c r="C646" s="34">
        <v>93.0</v>
      </c>
      <c r="D646" s="34" t="s">
        <v>1852</v>
      </c>
      <c r="E646" s="34" t="s">
        <v>1875</v>
      </c>
      <c r="F646" s="34" t="s">
        <v>1876</v>
      </c>
      <c r="G646" s="34">
        <v>93032.0</v>
      </c>
      <c r="H646" s="34" t="s">
        <v>1877</v>
      </c>
      <c r="I646" s="34" t="s">
        <v>18</v>
      </c>
      <c r="J646" s="34" t="s">
        <v>15</v>
      </c>
      <c r="K646" s="45">
        <v>99.2</v>
      </c>
      <c r="L646" s="9"/>
      <c r="M646" s="45">
        <v>99.2</v>
      </c>
    </row>
    <row r="647">
      <c r="A647" s="34" t="s">
        <v>70</v>
      </c>
      <c r="B647" s="34" t="s">
        <v>1545</v>
      </c>
      <c r="C647" s="34">
        <v>93.0</v>
      </c>
      <c r="D647" s="34" t="s">
        <v>1852</v>
      </c>
      <c r="E647" s="34" t="s">
        <v>1878</v>
      </c>
      <c r="F647" s="34" t="s">
        <v>1879</v>
      </c>
      <c r="G647" s="34">
        <v>93027.0</v>
      </c>
      <c r="H647" s="34" t="s">
        <v>1880</v>
      </c>
      <c r="I647" s="34" t="s">
        <v>18</v>
      </c>
      <c r="J647" s="34" t="s">
        <v>15</v>
      </c>
      <c r="K647" s="45">
        <v>78.3</v>
      </c>
      <c r="L647" s="9"/>
      <c r="M647" s="45">
        <v>78.3</v>
      </c>
    </row>
    <row r="648">
      <c r="A648" s="34" t="s">
        <v>70</v>
      </c>
      <c r="B648" s="34" t="s">
        <v>1545</v>
      </c>
      <c r="C648" s="34">
        <v>93.0</v>
      </c>
      <c r="D648" s="34" t="s">
        <v>1852</v>
      </c>
      <c r="E648" s="34" t="s">
        <v>1881</v>
      </c>
      <c r="F648" s="34" t="s">
        <v>1882</v>
      </c>
      <c r="G648" s="34">
        <v>93032.0</v>
      </c>
      <c r="H648" s="34" t="s">
        <v>1877</v>
      </c>
      <c r="I648" s="34" t="s">
        <v>17</v>
      </c>
      <c r="J648" s="34" t="s">
        <v>15</v>
      </c>
      <c r="K648" s="45">
        <v>140.1</v>
      </c>
      <c r="L648" s="9"/>
      <c r="M648" s="45">
        <v>140.1</v>
      </c>
    </row>
    <row r="649">
      <c r="A649" s="34" t="s">
        <v>70</v>
      </c>
      <c r="B649" s="34" t="s">
        <v>1545</v>
      </c>
      <c r="C649" s="34">
        <v>93.0</v>
      </c>
      <c r="D649" s="34" t="s">
        <v>1852</v>
      </c>
      <c r="E649" s="34" t="s">
        <v>1883</v>
      </c>
      <c r="F649" s="34" t="s">
        <v>1884</v>
      </c>
      <c r="G649" s="34">
        <v>93048.0</v>
      </c>
      <c r="H649" s="34" t="s">
        <v>1855</v>
      </c>
      <c r="I649" s="34" t="s">
        <v>17</v>
      </c>
      <c r="J649" s="34" t="s">
        <v>15</v>
      </c>
      <c r="K649" s="45">
        <v>114.0</v>
      </c>
      <c r="L649" s="9"/>
      <c r="M649" s="45">
        <v>114.0</v>
      </c>
    </row>
    <row r="650">
      <c r="A650" s="34" t="s">
        <v>70</v>
      </c>
      <c r="B650" s="34" t="s">
        <v>1545</v>
      </c>
      <c r="C650" s="34">
        <v>93.0</v>
      </c>
      <c r="D650" s="34" t="s">
        <v>1852</v>
      </c>
      <c r="E650" s="34" t="s">
        <v>1885</v>
      </c>
      <c r="F650" s="34" t="s">
        <v>982</v>
      </c>
      <c r="G650" s="34">
        <v>93064.0</v>
      </c>
      <c r="H650" s="34" t="s">
        <v>1886</v>
      </c>
      <c r="I650" s="34" t="s">
        <v>18</v>
      </c>
      <c r="J650" s="34" t="s">
        <v>15</v>
      </c>
      <c r="K650" s="45">
        <v>95.4</v>
      </c>
      <c r="L650" s="9"/>
      <c r="M650" s="45">
        <v>95.4</v>
      </c>
    </row>
    <row r="651">
      <c r="A651" s="34" t="s">
        <v>70</v>
      </c>
      <c r="B651" s="34" t="s">
        <v>1545</v>
      </c>
      <c r="C651" s="34">
        <v>93.0</v>
      </c>
      <c r="D651" s="34" t="s">
        <v>1852</v>
      </c>
      <c r="E651" s="34" t="s">
        <v>1887</v>
      </c>
      <c r="F651" s="34" t="s">
        <v>1888</v>
      </c>
      <c r="G651" s="34">
        <v>93077.0</v>
      </c>
      <c r="H651" s="34" t="s">
        <v>1871</v>
      </c>
      <c r="I651" s="34" t="s">
        <v>18</v>
      </c>
      <c r="J651" s="34" t="s">
        <v>14</v>
      </c>
      <c r="K651" s="45">
        <v>90.1</v>
      </c>
      <c r="L651" s="45">
        <v>80.7</v>
      </c>
      <c r="M651" s="45">
        <v>83.2</v>
      </c>
    </row>
    <row r="652">
      <c r="A652" s="34" t="s">
        <v>70</v>
      </c>
      <c r="B652" s="34" t="s">
        <v>1545</v>
      </c>
      <c r="C652" s="34">
        <v>93.0</v>
      </c>
      <c r="D652" s="34" t="s">
        <v>1852</v>
      </c>
      <c r="E652" s="34" t="s">
        <v>1889</v>
      </c>
      <c r="F652" s="34" t="s">
        <v>1890</v>
      </c>
      <c r="G652" s="34">
        <v>93029.0</v>
      </c>
      <c r="H652" s="34" t="s">
        <v>1891</v>
      </c>
      <c r="I652" s="34" t="s">
        <v>17</v>
      </c>
      <c r="J652" s="34" t="s">
        <v>15</v>
      </c>
      <c r="K652" s="45">
        <v>113.6</v>
      </c>
      <c r="L652" s="9"/>
      <c r="M652" s="45">
        <v>113.6</v>
      </c>
    </row>
    <row r="653">
      <c r="A653" s="34" t="s">
        <v>70</v>
      </c>
      <c r="B653" s="34" t="s">
        <v>1545</v>
      </c>
      <c r="C653" s="34">
        <v>93.0</v>
      </c>
      <c r="D653" s="34" t="s">
        <v>1852</v>
      </c>
      <c r="E653" s="34" t="s">
        <v>1892</v>
      </c>
      <c r="F653" s="34" t="s">
        <v>1893</v>
      </c>
      <c r="G653" s="34">
        <v>93055.0</v>
      </c>
      <c r="H653" s="34" t="s">
        <v>1894</v>
      </c>
      <c r="I653" s="34" t="s">
        <v>17</v>
      </c>
      <c r="J653" s="34" t="s">
        <v>15</v>
      </c>
      <c r="K653" s="45">
        <v>106.2</v>
      </c>
      <c r="L653" s="9"/>
      <c r="M653" s="45">
        <v>106.2</v>
      </c>
    </row>
    <row r="654">
      <c r="A654" s="34" t="s">
        <v>70</v>
      </c>
      <c r="B654" s="34" t="s">
        <v>1545</v>
      </c>
      <c r="C654" s="34">
        <v>94.0</v>
      </c>
      <c r="D654" s="34" t="s">
        <v>1895</v>
      </c>
      <c r="E654" s="34" t="s">
        <v>1896</v>
      </c>
      <c r="F654" s="34" t="s">
        <v>1897</v>
      </c>
      <c r="G654" s="34">
        <v>94017.0</v>
      </c>
      <c r="H654" s="34" t="s">
        <v>1898</v>
      </c>
      <c r="I654" s="34" t="s">
        <v>18</v>
      </c>
      <c r="J654" s="34" t="s">
        <v>14</v>
      </c>
      <c r="K654" s="45">
        <v>93.5</v>
      </c>
      <c r="L654" s="45">
        <v>78.3</v>
      </c>
      <c r="M654" s="45">
        <v>87.7</v>
      </c>
    </row>
    <row r="655">
      <c r="A655" s="34" t="s">
        <v>70</v>
      </c>
      <c r="B655" s="34" t="s">
        <v>1545</v>
      </c>
      <c r="C655" s="34">
        <v>94.0</v>
      </c>
      <c r="D655" s="34" t="s">
        <v>1895</v>
      </c>
      <c r="E655" s="34" t="s">
        <v>1899</v>
      </c>
      <c r="F655" s="34" t="s">
        <v>1900</v>
      </c>
      <c r="G655" s="34">
        <v>94041.0</v>
      </c>
      <c r="H655" s="34" t="s">
        <v>1901</v>
      </c>
      <c r="I655" s="34" t="s">
        <v>18</v>
      </c>
      <c r="J655" s="34" t="s">
        <v>15</v>
      </c>
      <c r="K655" s="45">
        <v>96.9</v>
      </c>
      <c r="L655" s="9"/>
      <c r="M655" s="45">
        <v>96.9</v>
      </c>
    </row>
    <row r="656">
      <c r="A656" s="34" t="s">
        <v>70</v>
      </c>
      <c r="B656" s="34" t="s">
        <v>1545</v>
      </c>
      <c r="C656" s="34">
        <v>94.0</v>
      </c>
      <c r="D656" s="34" t="s">
        <v>1895</v>
      </c>
      <c r="E656" s="34" t="s">
        <v>1902</v>
      </c>
      <c r="F656" s="34" t="s">
        <v>1903</v>
      </c>
      <c r="G656" s="34">
        <v>94052.0</v>
      </c>
      <c r="H656" s="34" t="s">
        <v>1904</v>
      </c>
      <c r="I656" s="34" t="s">
        <v>18</v>
      </c>
      <c r="J656" s="34" t="s">
        <v>14</v>
      </c>
      <c r="K656" s="45">
        <v>119.7</v>
      </c>
      <c r="L656" s="45">
        <v>99.2</v>
      </c>
      <c r="M656" s="45">
        <v>109.5</v>
      </c>
    </row>
    <row r="657">
      <c r="A657" s="34" t="s">
        <v>70</v>
      </c>
      <c r="B657" s="34" t="s">
        <v>1545</v>
      </c>
      <c r="C657" s="34">
        <v>94.0</v>
      </c>
      <c r="D657" s="34" t="s">
        <v>1895</v>
      </c>
      <c r="E657" s="34" t="s">
        <v>1905</v>
      </c>
      <c r="F657" s="34" t="s">
        <v>1906</v>
      </c>
      <c r="G657" s="34">
        <v>94002.0</v>
      </c>
      <c r="H657" s="34" t="s">
        <v>1907</v>
      </c>
      <c r="I657" s="34" t="s">
        <v>18</v>
      </c>
      <c r="J657" s="34" t="s">
        <v>14</v>
      </c>
      <c r="K657" s="45">
        <v>97.1</v>
      </c>
      <c r="L657" s="45">
        <v>81.8</v>
      </c>
      <c r="M657" s="45">
        <v>91.3</v>
      </c>
    </row>
    <row r="658">
      <c r="A658" s="34" t="s">
        <v>70</v>
      </c>
      <c r="B658" s="34" t="s">
        <v>1545</v>
      </c>
      <c r="C658" s="34">
        <v>94.0</v>
      </c>
      <c r="D658" s="34" t="s">
        <v>1895</v>
      </c>
      <c r="E658" s="34" t="s">
        <v>1908</v>
      </c>
      <c r="F658" s="34" t="s">
        <v>1909</v>
      </c>
      <c r="G658" s="34">
        <v>94016.0</v>
      </c>
      <c r="H658" s="34" t="s">
        <v>1910</v>
      </c>
      <c r="I658" s="34" t="s">
        <v>17</v>
      </c>
      <c r="J658" s="34" t="s">
        <v>13</v>
      </c>
      <c r="K658" s="9"/>
      <c r="L658" s="45">
        <v>106.8</v>
      </c>
      <c r="M658" s="45">
        <v>106.8</v>
      </c>
    </row>
    <row r="659">
      <c r="A659" s="34" t="s">
        <v>70</v>
      </c>
      <c r="B659" s="34" t="s">
        <v>1545</v>
      </c>
      <c r="C659" s="34">
        <v>94.0</v>
      </c>
      <c r="D659" s="34" t="s">
        <v>1895</v>
      </c>
      <c r="E659" s="34" t="s">
        <v>1911</v>
      </c>
      <c r="F659" s="34" t="s">
        <v>1912</v>
      </c>
      <c r="G659" s="34">
        <v>94073.0</v>
      </c>
      <c r="H659" s="34" t="s">
        <v>1913</v>
      </c>
      <c r="I659" s="34" t="s">
        <v>17</v>
      </c>
      <c r="J659" s="34" t="s">
        <v>13</v>
      </c>
      <c r="K659" s="9"/>
      <c r="L659" s="45">
        <v>85.3</v>
      </c>
      <c r="M659" s="45">
        <v>85.3</v>
      </c>
    </row>
    <row r="660">
      <c r="A660" s="34" t="s">
        <v>70</v>
      </c>
      <c r="B660" s="34" t="s">
        <v>1545</v>
      </c>
      <c r="C660" s="34">
        <v>94.0</v>
      </c>
      <c r="D660" s="34" t="s">
        <v>1895</v>
      </c>
      <c r="E660" s="34" t="s">
        <v>1914</v>
      </c>
      <c r="F660" s="34" t="s">
        <v>1915</v>
      </c>
      <c r="G660" s="34">
        <v>94052.0</v>
      </c>
      <c r="H660" s="34" t="s">
        <v>1904</v>
      </c>
      <c r="I660" s="34" t="s">
        <v>17</v>
      </c>
      <c r="J660" s="34" t="s">
        <v>15</v>
      </c>
      <c r="K660" s="45">
        <v>149.2</v>
      </c>
      <c r="L660" s="9"/>
      <c r="M660" s="45">
        <v>149.2</v>
      </c>
    </row>
    <row r="661">
      <c r="A661" s="34" t="s">
        <v>70</v>
      </c>
      <c r="B661" s="34" t="s">
        <v>1545</v>
      </c>
      <c r="C661" s="34">
        <v>94.0</v>
      </c>
      <c r="D661" s="34" t="s">
        <v>1895</v>
      </c>
      <c r="E661" s="34" t="s">
        <v>1916</v>
      </c>
      <c r="F661" s="34" t="s">
        <v>1917</v>
      </c>
      <c r="G661" s="34">
        <v>94022.0</v>
      </c>
      <c r="H661" s="34" t="s">
        <v>1918</v>
      </c>
      <c r="I661" s="34" t="s">
        <v>17</v>
      </c>
      <c r="J661" s="34" t="s">
        <v>15</v>
      </c>
      <c r="K661" s="45">
        <v>108.8</v>
      </c>
      <c r="L661" s="9"/>
      <c r="M661" s="45">
        <v>108.8</v>
      </c>
    </row>
    <row r="662">
      <c r="A662" s="34" t="s">
        <v>70</v>
      </c>
      <c r="B662" s="34" t="s">
        <v>1545</v>
      </c>
      <c r="C662" s="34">
        <v>94.0</v>
      </c>
      <c r="D662" s="34" t="s">
        <v>1895</v>
      </c>
      <c r="E662" s="34" t="s">
        <v>1919</v>
      </c>
      <c r="F662" s="34" t="s">
        <v>1920</v>
      </c>
      <c r="G662" s="34">
        <v>94034.0</v>
      </c>
      <c r="H662" s="34" t="s">
        <v>1921</v>
      </c>
      <c r="I662" s="34" t="s">
        <v>18</v>
      </c>
      <c r="J662" s="34" t="s">
        <v>14</v>
      </c>
      <c r="K662" s="45">
        <v>116.1</v>
      </c>
      <c r="L662" s="45">
        <v>85.0</v>
      </c>
      <c r="M662" s="45">
        <v>108.9</v>
      </c>
    </row>
    <row r="663">
      <c r="A663" s="34" t="s">
        <v>70</v>
      </c>
      <c r="B663" s="34" t="s">
        <v>1545</v>
      </c>
      <c r="C663" s="34">
        <v>94.0</v>
      </c>
      <c r="D663" s="34" t="s">
        <v>1895</v>
      </c>
      <c r="E663" s="34" t="s">
        <v>1922</v>
      </c>
      <c r="F663" s="34" t="s">
        <v>1923</v>
      </c>
      <c r="G663" s="34">
        <v>94033.0</v>
      </c>
      <c r="H663" s="34" t="s">
        <v>1924</v>
      </c>
      <c r="I663" s="34" t="s">
        <v>18</v>
      </c>
      <c r="J663" s="34" t="s">
        <v>15</v>
      </c>
      <c r="K663" s="45">
        <v>109.7</v>
      </c>
      <c r="L663" s="9"/>
      <c r="M663" s="45">
        <v>109.7</v>
      </c>
    </row>
    <row r="664">
      <c r="A664" s="34" t="s">
        <v>70</v>
      </c>
      <c r="B664" s="34" t="s">
        <v>1545</v>
      </c>
      <c r="C664" s="34">
        <v>94.0</v>
      </c>
      <c r="D664" s="34" t="s">
        <v>1895</v>
      </c>
      <c r="E664" s="34" t="s">
        <v>1925</v>
      </c>
      <c r="F664" s="34" t="s">
        <v>1926</v>
      </c>
      <c r="G664" s="34">
        <v>94041.0</v>
      </c>
      <c r="H664" s="34" t="s">
        <v>1901</v>
      </c>
      <c r="I664" s="34" t="s">
        <v>18</v>
      </c>
      <c r="J664" s="34" t="s">
        <v>14</v>
      </c>
      <c r="K664" s="45">
        <v>84.5</v>
      </c>
      <c r="L664" s="45">
        <v>81.1</v>
      </c>
      <c r="M664" s="45">
        <v>82.9</v>
      </c>
    </row>
    <row r="665">
      <c r="A665" s="34" t="s">
        <v>70</v>
      </c>
      <c r="B665" s="34" t="s">
        <v>1579</v>
      </c>
      <c r="C665" s="34">
        <v>95.0</v>
      </c>
      <c r="D665" s="34" t="s">
        <v>1927</v>
      </c>
      <c r="E665" s="34" t="s">
        <v>1928</v>
      </c>
      <c r="F665" s="34" t="s">
        <v>1929</v>
      </c>
      <c r="G665" s="34">
        <v>95018.0</v>
      </c>
      <c r="H665" s="34" t="s">
        <v>1930</v>
      </c>
      <c r="I665" s="34" t="s">
        <v>18</v>
      </c>
      <c r="J665" s="34" t="s">
        <v>15</v>
      </c>
      <c r="K665" s="45">
        <v>100.8</v>
      </c>
      <c r="L665" s="9"/>
      <c r="M665" s="45">
        <v>100.8</v>
      </c>
    </row>
    <row r="666">
      <c r="A666" s="34" t="s">
        <v>70</v>
      </c>
      <c r="B666" s="34" t="s">
        <v>1579</v>
      </c>
      <c r="C666" s="34">
        <v>95.0</v>
      </c>
      <c r="D666" s="34" t="s">
        <v>1927</v>
      </c>
      <c r="E666" s="34" t="s">
        <v>1931</v>
      </c>
      <c r="F666" s="34" t="s">
        <v>1932</v>
      </c>
      <c r="G666" s="34">
        <v>95585.0</v>
      </c>
      <c r="H666" s="34" t="s">
        <v>1933</v>
      </c>
      <c r="I666" s="34" t="s">
        <v>18</v>
      </c>
      <c r="J666" s="34" t="s">
        <v>14</v>
      </c>
      <c r="K666" s="45">
        <v>86.3</v>
      </c>
      <c r="L666" s="45">
        <v>81.4</v>
      </c>
      <c r="M666" s="45">
        <v>85.3</v>
      </c>
    </row>
    <row r="667">
      <c r="A667" s="34" t="s">
        <v>70</v>
      </c>
      <c r="B667" s="34" t="s">
        <v>1579</v>
      </c>
      <c r="C667" s="34">
        <v>95.0</v>
      </c>
      <c r="D667" s="34" t="s">
        <v>1927</v>
      </c>
      <c r="E667" s="34" t="s">
        <v>1934</v>
      </c>
      <c r="F667" s="34" t="s">
        <v>1935</v>
      </c>
      <c r="G667" s="34">
        <v>95572.0</v>
      </c>
      <c r="H667" s="34" t="s">
        <v>1936</v>
      </c>
      <c r="I667" s="34" t="s">
        <v>18</v>
      </c>
      <c r="J667" s="34" t="s">
        <v>13</v>
      </c>
      <c r="K667" s="9"/>
      <c r="L667" s="45">
        <v>84.1</v>
      </c>
      <c r="M667" s="45">
        <v>84.1</v>
      </c>
    </row>
    <row r="668">
      <c r="A668" s="34" t="s">
        <v>70</v>
      </c>
      <c r="B668" s="34" t="s">
        <v>1579</v>
      </c>
      <c r="C668" s="34">
        <v>95.0</v>
      </c>
      <c r="D668" s="34" t="s">
        <v>1927</v>
      </c>
      <c r="E668" s="34" t="s">
        <v>1937</v>
      </c>
      <c r="F668" s="34" t="s">
        <v>1938</v>
      </c>
      <c r="G668" s="34">
        <v>95210.0</v>
      </c>
      <c r="H668" s="34" t="s">
        <v>1939</v>
      </c>
      <c r="I668" s="34" t="s">
        <v>17</v>
      </c>
      <c r="J668" s="34" t="s">
        <v>15</v>
      </c>
      <c r="K668" s="45">
        <v>141.0</v>
      </c>
      <c r="L668" s="9"/>
      <c r="M668" s="45">
        <v>141.0</v>
      </c>
    </row>
    <row r="669">
      <c r="A669" s="34" t="s">
        <v>70</v>
      </c>
      <c r="B669" s="34" t="s">
        <v>1579</v>
      </c>
      <c r="C669" s="34">
        <v>95.0</v>
      </c>
      <c r="D669" s="34" t="s">
        <v>1927</v>
      </c>
      <c r="E669" s="34" t="s">
        <v>1940</v>
      </c>
      <c r="F669" s="34" t="s">
        <v>1941</v>
      </c>
      <c r="G669" s="34">
        <v>95500.0</v>
      </c>
      <c r="H669" s="34" t="s">
        <v>1942</v>
      </c>
      <c r="I669" s="34" t="s">
        <v>17</v>
      </c>
      <c r="J669" s="34" t="s">
        <v>14</v>
      </c>
      <c r="K669" s="45">
        <v>140.7</v>
      </c>
      <c r="L669" s="45">
        <v>110.5</v>
      </c>
      <c r="M669" s="45">
        <v>138.5</v>
      </c>
    </row>
    <row r="670">
      <c r="A670" s="34" t="s">
        <v>70</v>
      </c>
      <c r="B670" s="34" t="s">
        <v>1579</v>
      </c>
      <c r="C670" s="34">
        <v>95.0</v>
      </c>
      <c r="D670" s="34" t="s">
        <v>1927</v>
      </c>
      <c r="E670" s="34" t="s">
        <v>1943</v>
      </c>
      <c r="F670" s="34" t="s">
        <v>1944</v>
      </c>
      <c r="G670" s="34">
        <v>95018.0</v>
      </c>
      <c r="H670" s="34" t="s">
        <v>1930</v>
      </c>
      <c r="I670" s="34" t="s">
        <v>17</v>
      </c>
      <c r="J670" s="34" t="s">
        <v>13</v>
      </c>
      <c r="K670" s="9"/>
      <c r="L670" s="45">
        <v>96.1</v>
      </c>
      <c r="M670" s="45">
        <v>96.1</v>
      </c>
    </row>
    <row r="671">
      <c r="A671" s="34" t="s">
        <v>70</v>
      </c>
      <c r="B671" s="34" t="s">
        <v>1579</v>
      </c>
      <c r="C671" s="34">
        <v>95.0</v>
      </c>
      <c r="D671" s="34" t="s">
        <v>1927</v>
      </c>
      <c r="E671" s="34" t="s">
        <v>1945</v>
      </c>
      <c r="F671" s="34" t="s">
        <v>1946</v>
      </c>
      <c r="G671" s="34">
        <v>95585.0</v>
      </c>
      <c r="H671" s="34" t="s">
        <v>1933</v>
      </c>
      <c r="I671" s="34" t="s">
        <v>18</v>
      </c>
      <c r="J671" s="34" t="s">
        <v>14</v>
      </c>
      <c r="K671" s="45">
        <v>82.7</v>
      </c>
      <c r="L671" s="45">
        <v>80.3</v>
      </c>
      <c r="M671" s="45">
        <v>81.8</v>
      </c>
    </row>
    <row r="672">
      <c r="A672" s="34" t="s">
        <v>70</v>
      </c>
      <c r="B672" s="34" t="s">
        <v>1579</v>
      </c>
      <c r="C672" s="34">
        <v>95.0</v>
      </c>
      <c r="D672" s="34" t="s">
        <v>1927</v>
      </c>
      <c r="E672" s="34" t="s">
        <v>1947</v>
      </c>
      <c r="F672" s="34" t="s">
        <v>1948</v>
      </c>
      <c r="G672" s="34">
        <v>95500.0</v>
      </c>
      <c r="H672" s="34" t="s">
        <v>1942</v>
      </c>
      <c r="I672" s="34" t="s">
        <v>17</v>
      </c>
      <c r="J672" s="34" t="s">
        <v>14</v>
      </c>
      <c r="K672" s="45">
        <v>143.2</v>
      </c>
      <c r="L672" s="45">
        <v>125.7</v>
      </c>
      <c r="M672" s="45">
        <v>140.1</v>
      </c>
    </row>
    <row r="673">
      <c r="A673" s="34" t="s">
        <v>70</v>
      </c>
      <c r="B673" s="34" t="s">
        <v>1579</v>
      </c>
      <c r="C673" s="34">
        <v>95.0</v>
      </c>
      <c r="D673" s="34" t="s">
        <v>1927</v>
      </c>
      <c r="E673" s="34" t="s">
        <v>1949</v>
      </c>
      <c r="F673" s="34" t="s">
        <v>1950</v>
      </c>
      <c r="G673" s="34">
        <v>95127.0</v>
      </c>
      <c r="H673" s="34" t="s">
        <v>1951</v>
      </c>
      <c r="I673" s="34" t="s">
        <v>18</v>
      </c>
      <c r="J673" s="34" t="s">
        <v>15</v>
      </c>
      <c r="K673" s="45">
        <v>110.7</v>
      </c>
      <c r="L673" s="9"/>
      <c r="M673" s="45">
        <v>110.7</v>
      </c>
    </row>
    <row r="674">
      <c r="A674" s="34" t="s">
        <v>70</v>
      </c>
      <c r="B674" s="34" t="s">
        <v>1579</v>
      </c>
      <c r="C674" s="34">
        <v>95.0</v>
      </c>
      <c r="D674" s="34" t="s">
        <v>1927</v>
      </c>
      <c r="E674" s="34" t="s">
        <v>1952</v>
      </c>
      <c r="F674" s="34" t="s">
        <v>1953</v>
      </c>
      <c r="G674" s="34">
        <v>95637.0</v>
      </c>
      <c r="H674" s="34" t="s">
        <v>1954</v>
      </c>
      <c r="I674" s="34" t="s">
        <v>18</v>
      </c>
      <c r="J674" s="34" t="s">
        <v>14</v>
      </c>
      <c r="K674" s="45">
        <v>124.2</v>
      </c>
      <c r="L674" s="45">
        <v>106.1</v>
      </c>
      <c r="M674" s="45">
        <v>123.0</v>
      </c>
    </row>
    <row r="675">
      <c r="A675" s="34" t="s">
        <v>70</v>
      </c>
      <c r="B675" s="34" t="s">
        <v>1579</v>
      </c>
      <c r="C675" s="34">
        <v>95.0</v>
      </c>
      <c r="D675" s="34" t="s">
        <v>1927</v>
      </c>
      <c r="E675" s="34" t="s">
        <v>1955</v>
      </c>
      <c r="F675" s="34" t="s">
        <v>1956</v>
      </c>
      <c r="G675" s="34">
        <v>95268.0</v>
      </c>
      <c r="H675" s="34" t="s">
        <v>1957</v>
      </c>
      <c r="I675" s="34" t="s">
        <v>18</v>
      </c>
      <c r="J675" s="34" t="s">
        <v>14</v>
      </c>
      <c r="K675" s="45">
        <v>70.9</v>
      </c>
      <c r="L675" s="45">
        <v>71.6</v>
      </c>
      <c r="M675" s="45">
        <v>71.6</v>
      </c>
    </row>
    <row r="676">
      <c r="A676" s="34" t="s">
        <v>70</v>
      </c>
      <c r="B676" s="34" t="s">
        <v>1579</v>
      </c>
      <c r="C676" s="34">
        <v>95.0</v>
      </c>
      <c r="D676" s="34" t="s">
        <v>1927</v>
      </c>
      <c r="E676" s="34" t="s">
        <v>1958</v>
      </c>
      <c r="F676" s="34" t="s">
        <v>1959</v>
      </c>
      <c r="G676" s="34">
        <v>95197.0</v>
      </c>
      <c r="H676" s="34" t="s">
        <v>1960</v>
      </c>
      <c r="I676" s="34" t="s">
        <v>18</v>
      </c>
      <c r="J676" s="34" t="s">
        <v>15</v>
      </c>
      <c r="K676" s="45">
        <v>106.9</v>
      </c>
      <c r="L676" s="9"/>
      <c r="M676" s="45">
        <v>106.9</v>
      </c>
    </row>
    <row r="677">
      <c r="A677" s="34" t="s">
        <v>70</v>
      </c>
      <c r="B677" s="34" t="s">
        <v>1579</v>
      </c>
      <c r="C677" s="34">
        <v>95.0</v>
      </c>
      <c r="D677" s="34" t="s">
        <v>1927</v>
      </c>
      <c r="E677" s="34" t="s">
        <v>1961</v>
      </c>
      <c r="F677" s="34" t="s">
        <v>1962</v>
      </c>
      <c r="G677" s="34">
        <v>95427.0</v>
      </c>
      <c r="H677" s="34" t="s">
        <v>1963</v>
      </c>
      <c r="I677" s="34" t="s">
        <v>17</v>
      </c>
      <c r="J677" s="34" t="s">
        <v>15</v>
      </c>
      <c r="K677" s="45">
        <v>125.3</v>
      </c>
      <c r="L677" s="9"/>
      <c r="M677" s="45">
        <v>125.3</v>
      </c>
    </row>
    <row r="678">
      <c r="A678" s="34" t="s">
        <v>70</v>
      </c>
      <c r="B678" s="34" t="s">
        <v>1964</v>
      </c>
      <c r="C678" s="34" t="s">
        <v>1965</v>
      </c>
      <c r="D678" s="34" t="s">
        <v>1966</v>
      </c>
      <c r="E678" s="34" t="s">
        <v>1967</v>
      </c>
      <c r="F678" s="34" t="s">
        <v>1968</v>
      </c>
      <c r="G678" s="34" t="s">
        <v>1969</v>
      </c>
      <c r="H678" s="34" t="s">
        <v>1970</v>
      </c>
      <c r="I678" s="34" t="s">
        <v>18</v>
      </c>
      <c r="J678" s="34" t="s">
        <v>13</v>
      </c>
      <c r="K678" s="9"/>
      <c r="L678" s="45">
        <v>88.9</v>
      </c>
      <c r="M678" s="45">
        <v>88.9</v>
      </c>
    </row>
    <row r="679">
      <c r="A679" s="34" t="s">
        <v>70</v>
      </c>
      <c r="B679" s="34" t="s">
        <v>1964</v>
      </c>
      <c r="C679" s="34" t="s">
        <v>1965</v>
      </c>
      <c r="D679" s="34" t="s">
        <v>1966</v>
      </c>
      <c r="E679" s="34" t="s">
        <v>1971</v>
      </c>
      <c r="F679" s="34" t="s">
        <v>1972</v>
      </c>
      <c r="G679" s="34" t="s">
        <v>1973</v>
      </c>
      <c r="H679" s="34" t="s">
        <v>1974</v>
      </c>
      <c r="I679" s="34" t="s">
        <v>18</v>
      </c>
      <c r="J679" s="34" t="s">
        <v>14</v>
      </c>
      <c r="K679" s="45">
        <v>102.1</v>
      </c>
      <c r="L679" s="45">
        <v>83.0</v>
      </c>
      <c r="M679" s="45">
        <v>98.8</v>
      </c>
    </row>
    <row r="680">
      <c r="A680" s="34" t="s">
        <v>70</v>
      </c>
      <c r="B680" s="34" t="s">
        <v>1964</v>
      </c>
      <c r="C680" s="34" t="s">
        <v>1975</v>
      </c>
      <c r="D680" s="34" t="s">
        <v>1976</v>
      </c>
      <c r="E680" s="34" t="s">
        <v>1977</v>
      </c>
      <c r="F680" s="34" t="s">
        <v>1978</v>
      </c>
      <c r="G680" s="34" t="s">
        <v>1979</v>
      </c>
      <c r="H680" s="34" t="s">
        <v>1980</v>
      </c>
      <c r="I680" s="34" t="s">
        <v>18</v>
      </c>
      <c r="J680" s="34" t="s">
        <v>14</v>
      </c>
      <c r="K680" s="45">
        <v>89.3</v>
      </c>
      <c r="L680" s="45">
        <v>85.2</v>
      </c>
      <c r="M680" s="45">
        <v>85.3</v>
      </c>
    </row>
    <row r="681">
      <c r="A681" s="34" t="s">
        <v>70</v>
      </c>
      <c r="B681" s="34" t="s">
        <v>1964</v>
      </c>
      <c r="C681" s="34" t="s">
        <v>1975</v>
      </c>
      <c r="D681" s="34" t="s">
        <v>1976</v>
      </c>
      <c r="E681" s="34" t="s">
        <v>1981</v>
      </c>
      <c r="F681" s="34" t="s">
        <v>1982</v>
      </c>
      <c r="G681" s="34" t="s">
        <v>1983</v>
      </c>
      <c r="H681" s="34" t="s">
        <v>1984</v>
      </c>
      <c r="I681" s="34" t="s">
        <v>18</v>
      </c>
      <c r="J681" s="34" t="s">
        <v>15</v>
      </c>
      <c r="K681" s="45">
        <v>117.4</v>
      </c>
      <c r="L681" s="9"/>
      <c r="M681" s="45">
        <v>117.4</v>
      </c>
    </row>
    <row r="682">
      <c r="A682" s="34" t="s">
        <v>70</v>
      </c>
      <c r="B682" s="34" t="s">
        <v>1964</v>
      </c>
      <c r="C682" s="34" t="s">
        <v>1975</v>
      </c>
      <c r="D682" s="34" t="s">
        <v>1976</v>
      </c>
      <c r="E682" s="34" t="s">
        <v>1985</v>
      </c>
      <c r="F682" s="34" t="s">
        <v>1986</v>
      </c>
      <c r="G682" s="34" t="s">
        <v>1987</v>
      </c>
      <c r="H682" s="34" t="s">
        <v>1988</v>
      </c>
      <c r="I682" s="34" t="s">
        <v>18</v>
      </c>
      <c r="J682" s="34" t="s">
        <v>14</v>
      </c>
      <c r="K682" s="45">
        <v>105.7</v>
      </c>
      <c r="L682" s="45">
        <v>77.8</v>
      </c>
      <c r="M682" s="45">
        <v>104.8</v>
      </c>
    </row>
    <row r="683">
      <c r="A683" s="34" t="s">
        <v>70</v>
      </c>
      <c r="B683" s="34" t="s">
        <v>1989</v>
      </c>
      <c r="C683" s="34">
        <v>971.0</v>
      </c>
      <c r="D683" s="34" t="s">
        <v>1989</v>
      </c>
      <c r="E683" s="34" t="s">
        <v>1990</v>
      </c>
      <c r="F683" s="34" t="s">
        <v>1991</v>
      </c>
      <c r="G683" s="34">
        <v>97105.0</v>
      </c>
      <c r="H683" s="34" t="s">
        <v>1992</v>
      </c>
      <c r="I683" s="34" t="s">
        <v>17</v>
      </c>
      <c r="J683" s="34" t="s">
        <v>14</v>
      </c>
      <c r="K683" s="45">
        <v>106.6</v>
      </c>
      <c r="L683" s="45">
        <v>79.6</v>
      </c>
      <c r="M683" s="45">
        <v>100.9</v>
      </c>
    </row>
    <row r="684">
      <c r="A684" s="34" t="s">
        <v>70</v>
      </c>
      <c r="B684" s="34" t="s">
        <v>1989</v>
      </c>
      <c r="C684" s="34">
        <v>971.0</v>
      </c>
      <c r="D684" s="34" t="s">
        <v>1989</v>
      </c>
      <c r="E684" s="34" t="s">
        <v>1993</v>
      </c>
      <c r="F684" s="34" t="s">
        <v>1994</v>
      </c>
      <c r="G684" s="34">
        <v>97109.0</v>
      </c>
      <c r="H684" s="34" t="s">
        <v>1995</v>
      </c>
      <c r="I684" s="34" t="s">
        <v>17</v>
      </c>
      <c r="J684" s="34" t="s">
        <v>13</v>
      </c>
      <c r="K684" s="9"/>
      <c r="L684" s="45">
        <v>74.3</v>
      </c>
      <c r="M684" s="45">
        <v>74.3</v>
      </c>
    </row>
    <row r="685">
      <c r="A685" s="34" t="s">
        <v>70</v>
      </c>
      <c r="B685" s="34" t="s">
        <v>1989</v>
      </c>
      <c r="C685" s="34">
        <v>971.0</v>
      </c>
      <c r="D685" s="34" t="s">
        <v>1989</v>
      </c>
      <c r="E685" s="34" t="s">
        <v>1996</v>
      </c>
      <c r="F685" s="34" t="s">
        <v>1997</v>
      </c>
      <c r="G685" s="34">
        <v>97115.0</v>
      </c>
      <c r="H685" s="34" t="s">
        <v>1998</v>
      </c>
      <c r="I685" s="34" t="s">
        <v>18</v>
      </c>
      <c r="J685" s="34" t="s">
        <v>13</v>
      </c>
      <c r="K685" s="9"/>
      <c r="L685" s="45">
        <v>71.0</v>
      </c>
      <c r="M685" s="45">
        <v>71.0</v>
      </c>
    </row>
    <row r="686">
      <c r="A686" s="34" t="s">
        <v>70</v>
      </c>
      <c r="B686" s="34" t="s">
        <v>1989</v>
      </c>
      <c r="C686" s="34">
        <v>971.0</v>
      </c>
      <c r="D686" s="34" t="s">
        <v>1989</v>
      </c>
      <c r="E686" s="34" t="s">
        <v>1999</v>
      </c>
      <c r="F686" s="34" t="s">
        <v>2000</v>
      </c>
      <c r="G686" s="34">
        <v>97120.0</v>
      </c>
      <c r="H686" s="34" t="s">
        <v>2001</v>
      </c>
      <c r="I686" s="34" t="s">
        <v>18</v>
      </c>
      <c r="J686" s="34" t="s">
        <v>14</v>
      </c>
      <c r="K686" s="45">
        <v>80.6</v>
      </c>
      <c r="L686" s="45">
        <v>69.4</v>
      </c>
      <c r="M686" s="45">
        <v>71.6</v>
      </c>
    </row>
    <row r="687">
      <c r="A687" s="34" t="s">
        <v>70</v>
      </c>
      <c r="B687" s="34" t="s">
        <v>1989</v>
      </c>
      <c r="C687" s="34">
        <v>971.0</v>
      </c>
      <c r="D687" s="34" t="s">
        <v>1989</v>
      </c>
      <c r="E687" s="34" t="s">
        <v>2002</v>
      </c>
      <c r="F687" s="34" t="s">
        <v>2003</v>
      </c>
      <c r="G687" s="34">
        <v>97128.0</v>
      </c>
      <c r="H687" s="34" t="s">
        <v>2004</v>
      </c>
      <c r="I687" s="34" t="s">
        <v>18</v>
      </c>
      <c r="J687" s="34" t="s">
        <v>15</v>
      </c>
      <c r="K687" s="45">
        <v>109.7</v>
      </c>
      <c r="L687" s="9"/>
      <c r="M687" s="45">
        <v>109.7</v>
      </c>
    </row>
    <row r="688">
      <c r="A688" s="34" t="s">
        <v>70</v>
      </c>
      <c r="B688" s="34" t="s">
        <v>1989</v>
      </c>
      <c r="C688" s="34">
        <v>971.0</v>
      </c>
      <c r="D688" s="34" t="s">
        <v>1989</v>
      </c>
      <c r="E688" s="34" t="s">
        <v>2005</v>
      </c>
      <c r="F688" s="34" t="s">
        <v>2006</v>
      </c>
      <c r="G688" s="34">
        <v>97801.0</v>
      </c>
      <c r="H688" s="34" t="s">
        <v>2007</v>
      </c>
      <c r="I688" s="34" t="s">
        <v>18</v>
      </c>
      <c r="J688" s="34" t="s">
        <v>13</v>
      </c>
      <c r="K688" s="9"/>
      <c r="L688" s="45">
        <v>73.9</v>
      </c>
      <c r="M688" s="45">
        <v>73.9</v>
      </c>
    </row>
    <row r="689">
      <c r="A689" s="34" t="s">
        <v>70</v>
      </c>
      <c r="B689" s="34" t="s">
        <v>1989</v>
      </c>
      <c r="C689" s="34">
        <v>971.0</v>
      </c>
      <c r="D689" s="34" t="s">
        <v>1989</v>
      </c>
      <c r="E689" s="34" t="s">
        <v>2008</v>
      </c>
      <c r="F689" s="34" t="s">
        <v>2009</v>
      </c>
      <c r="G689" s="34">
        <v>97105.0</v>
      </c>
      <c r="H689" s="34" t="s">
        <v>1992</v>
      </c>
      <c r="I689" s="34" t="s">
        <v>17</v>
      </c>
      <c r="J689" s="34" t="s">
        <v>15</v>
      </c>
      <c r="K689" s="45">
        <v>78.1</v>
      </c>
      <c r="L689" s="9"/>
      <c r="M689" s="45">
        <v>78.1</v>
      </c>
    </row>
    <row r="690">
      <c r="A690" s="34" t="s">
        <v>70</v>
      </c>
      <c r="B690" s="34" t="s">
        <v>1989</v>
      </c>
      <c r="C690" s="34">
        <v>971.0</v>
      </c>
      <c r="D690" s="34" t="s">
        <v>1989</v>
      </c>
      <c r="E690" s="34" t="s">
        <v>2010</v>
      </c>
      <c r="F690" s="34" t="s">
        <v>2011</v>
      </c>
      <c r="G690" s="34">
        <v>97113.0</v>
      </c>
      <c r="H690" s="34" t="s">
        <v>2012</v>
      </c>
      <c r="I690" s="34" t="s">
        <v>18</v>
      </c>
      <c r="J690" s="34" t="s">
        <v>14</v>
      </c>
      <c r="K690" s="45">
        <v>95.7</v>
      </c>
      <c r="L690" s="45">
        <v>82.5</v>
      </c>
      <c r="M690" s="45">
        <v>85.0</v>
      </c>
    </row>
    <row r="691">
      <c r="A691" s="34" t="s">
        <v>70</v>
      </c>
      <c r="B691" s="34" t="s">
        <v>2013</v>
      </c>
      <c r="C691" s="34">
        <v>972.0</v>
      </c>
      <c r="D691" s="34" t="s">
        <v>2013</v>
      </c>
      <c r="E691" s="34" t="s">
        <v>2014</v>
      </c>
      <c r="F691" s="34" t="s">
        <v>2015</v>
      </c>
      <c r="G691" s="34">
        <v>97209.0</v>
      </c>
      <c r="H691" s="34" t="s">
        <v>2016</v>
      </c>
      <c r="I691" s="34" t="s">
        <v>17</v>
      </c>
      <c r="J691" s="34" t="s">
        <v>15</v>
      </c>
      <c r="K691" s="45">
        <v>87.1</v>
      </c>
      <c r="L691" s="9"/>
      <c r="M691" s="45">
        <v>87.1</v>
      </c>
    </row>
    <row r="692">
      <c r="A692" s="34" t="s">
        <v>70</v>
      </c>
      <c r="B692" s="34" t="s">
        <v>2013</v>
      </c>
      <c r="C692" s="34">
        <v>972.0</v>
      </c>
      <c r="D692" s="34" t="s">
        <v>2013</v>
      </c>
      <c r="E692" s="34" t="s">
        <v>2017</v>
      </c>
      <c r="F692" s="34" t="s">
        <v>2018</v>
      </c>
      <c r="G692" s="34">
        <v>97213.0</v>
      </c>
      <c r="H692" s="34" t="s">
        <v>2019</v>
      </c>
      <c r="I692" s="34" t="s">
        <v>18</v>
      </c>
      <c r="J692" s="34" t="s">
        <v>13</v>
      </c>
      <c r="K692" s="9"/>
      <c r="L692" s="45">
        <v>74.2</v>
      </c>
      <c r="M692" s="45">
        <v>74.2</v>
      </c>
    </row>
    <row r="693">
      <c r="A693" s="34" t="s">
        <v>70</v>
      </c>
      <c r="B693" s="34" t="s">
        <v>2013</v>
      </c>
      <c r="C693" s="34">
        <v>972.0</v>
      </c>
      <c r="D693" s="34" t="s">
        <v>2013</v>
      </c>
      <c r="E693" s="34" t="s">
        <v>2020</v>
      </c>
      <c r="F693" s="34" t="s">
        <v>2021</v>
      </c>
      <c r="G693" s="34">
        <v>97230.0</v>
      </c>
      <c r="H693" s="34" t="s">
        <v>2022</v>
      </c>
      <c r="I693" s="34" t="s">
        <v>18</v>
      </c>
      <c r="J693" s="34" t="s">
        <v>13</v>
      </c>
      <c r="K693" s="9"/>
      <c r="L693" s="45">
        <v>73.5</v>
      </c>
      <c r="M693" s="45">
        <v>73.5</v>
      </c>
    </row>
    <row r="694">
      <c r="A694" s="34" t="s">
        <v>70</v>
      </c>
      <c r="B694" s="34" t="s">
        <v>2013</v>
      </c>
      <c r="C694" s="34">
        <v>972.0</v>
      </c>
      <c r="D694" s="34" t="s">
        <v>2013</v>
      </c>
      <c r="E694" s="34" t="s">
        <v>2023</v>
      </c>
      <c r="F694" s="34" t="s">
        <v>2024</v>
      </c>
      <c r="G694" s="34">
        <v>97214.0</v>
      </c>
      <c r="H694" s="34" t="s">
        <v>2025</v>
      </c>
      <c r="I694" s="34" t="s">
        <v>18</v>
      </c>
      <c r="J694" s="34" t="s">
        <v>14</v>
      </c>
      <c r="K694" s="45">
        <v>85.3</v>
      </c>
      <c r="L694" s="45">
        <v>72.2</v>
      </c>
      <c r="M694" s="45">
        <v>76.2</v>
      </c>
    </row>
    <row r="695">
      <c r="A695" s="34" t="s">
        <v>70</v>
      </c>
      <c r="B695" s="34" t="s">
        <v>2013</v>
      </c>
      <c r="C695" s="34">
        <v>972.0</v>
      </c>
      <c r="D695" s="34" t="s">
        <v>2013</v>
      </c>
      <c r="E695" s="34" t="s">
        <v>2026</v>
      </c>
      <c r="F695" s="34" t="s">
        <v>2027</v>
      </c>
      <c r="G695" s="34">
        <v>97217.0</v>
      </c>
      <c r="H695" s="34" t="s">
        <v>2028</v>
      </c>
      <c r="I695" s="34" t="s">
        <v>18</v>
      </c>
      <c r="J695" s="34" t="s">
        <v>15</v>
      </c>
      <c r="K695" s="45">
        <v>92.2</v>
      </c>
      <c r="L695" s="9"/>
      <c r="M695" s="45">
        <v>92.2</v>
      </c>
    </row>
    <row r="696">
      <c r="A696" s="34" t="s">
        <v>70</v>
      </c>
      <c r="B696" s="34" t="s">
        <v>2013</v>
      </c>
      <c r="C696" s="34">
        <v>972.0</v>
      </c>
      <c r="D696" s="34" t="s">
        <v>2013</v>
      </c>
      <c r="E696" s="34" t="s">
        <v>2029</v>
      </c>
      <c r="F696" s="34" t="s">
        <v>2030</v>
      </c>
      <c r="G696" s="34">
        <v>97234.0</v>
      </c>
      <c r="H696" s="34" t="s">
        <v>2031</v>
      </c>
      <c r="I696" s="34" t="s">
        <v>18</v>
      </c>
      <c r="J696" s="34" t="s">
        <v>14</v>
      </c>
      <c r="K696" s="45">
        <v>100.8</v>
      </c>
      <c r="L696" s="45">
        <v>81.4</v>
      </c>
      <c r="M696" s="45">
        <v>89.4</v>
      </c>
    </row>
    <row r="697">
      <c r="A697" s="34" t="s">
        <v>70</v>
      </c>
      <c r="B697" s="34" t="s">
        <v>2013</v>
      </c>
      <c r="C697" s="34">
        <v>972.0</v>
      </c>
      <c r="D697" s="34" t="s">
        <v>2013</v>
      </c>
      <c r="E697" s="34" t="s">
        <v>2032</v>
      </c>
      <c r="F697" s="34" t="s">
        <v>2033</v>
      </c>
      <c r="G697" s="34">
        <v>97225.0</v>
      </c>
      <c r="H697" s="34" t="s">
        <v>2034</v>
      </c>
      <c r="I697" s="34" t="s">
        <v>18</v>
      </c>
      <c r="J697" s="34" t="s">
        <v>14</v>
      </c>
      <c r="K697" s="45">
        <v>102.3</v>
      </c>
      <c r="L697" s="45">
        <v>88.2</v>
      </c>
      <c r="M697" s="45">
        <v>96.8</v>
      </c>
    </row>
    <row r="698">
      <c r="A698" s="34" t="s">
        <v>70</v>
      </c>
      <c r="B698" s="34" t="s">
        <v>2035</v>
      </c>
      <c r="C698" s="34">
        <v>973.0</v>
      </c>
      <c r="D698" s="34" t="s">
        <v>2035</v>
      </c>
      <c r="E698" s="34" t="s">
        <v>2036</v>
      </c>
      <c r="F698" s="34" t="s">
        <v>2037</v>
      </c>
      <c r="G698" s="34">
        <v>97304.0</v>
      </c>
      <c r="H698" s="34" t="s">
        <v>2038</v>
      </c>
      <c r="I698" s="34" t="s">
        <v>18</v>
      </c>
      <c r="J698" s="34" t="s">
        <v>15</v>
      </c>
      <c r="K698" s="45">
        <v>89.3</v>
      </c>
      <c r="L698" s="9"/>
      <c r="M698" s="45">
        <v>89.3</v>
      </c>
    </row>
    <row r="699">
      <c r="A699" s="34" t="s">
        <v>70</v>
      </c>
      <c r="B699" s="34" t="s">
        <v>2035</v>
      </c>
      <c r="C699" s="34">
        <v>973.0</v>
      </c>
      <c r="D699" s="34" t="s">
        <v>2035</v>
      </c>
      <c r="E699" s="34" t="s">
        <v>2039</v>
      </c>
      <c r="F699" s="34" t="s">
        <v>2040</v>
      </c>
      <c r="G699" s="34">
        <v>97309.0</v>
      </c>
      <c r="H699" s="34" t="s">
        <v>2041</v>
      </c>
      <c r="I699" s="34" t="s">
        <v>18</v>
      </c>
      <c r="J699" s="34" t="s">
        <v>15</v>
      </c>
      <c r="K699" s="45">
        <v>92.6</v>
      </c>
      <c r="L699" s="9"/>
      <c r="M699" s="45">
        <v>92.6</v>
      </c>
    </row>
    <row r="700">
      <c r="A700" s="34" t="s">
        <v>70</v>
      </c>
      <c r="B700" s="34" t="s">
        <v>2035</v>
      </c>
      <c r="C700" s="34">
        <v>973.0</v>
      </c>
      <c r="D700" s="34" t="s">
        <v>2035</v>
      </c>
      <c r="E700" s="34" t="s">
        <v>2042</v>
      </c>
      <c r="F700" s="34" t="s">
        <v>2043</v>
      </c>
      <c r="G700" s="34">
        <v>97304.0</v>
      </c>
      <c r="H700" s="34" t="s">
        <v>2038</v>
      </c>
      <c r="I700" s="34" t="s">
        <v>18</v>
      </c>
      <c r="J700" s="34" t="s">
        <v>14</v>
      </c>
      <c r="K700" s="45">
        <v>78.1</v>
      </c>
      <c r="L700" s="45">
        <v>66.8</v>
      </c>
      <c r="M700" s="45">
        <v>68.6</v>
      </c>
    </row>
    <row r="701">
      <c r="A701" s="34" t="s">
        <v>70</v>
      </c>
      <c r="B701" s="34" t="s">
        <v>2035</v>
      </c>
      <c r="C701" s="34">
        <v>973.0</v>
      </c>
      <c r="D701" s="34" t="s">
        <v>2035</v>
      </c>
      <c r="E701" s="34" t="s">
        <v>2044</v>
      </c>
      <c r="F701" s="34" t="s">
        <v>2045</v>
      </c>
      <c r="G701" s="34">
        <v>97302.0</v>
      </c>
      <c r="H701" s="34" t="s">
        <v>2046</v>
      </c>
      <c r="I701" s="34" t="s">
        <v>18</v>
      </c>
      <c r="J701" s="34" t="s">
        <v>14</v>
      </c>
      <c r="K701" s="45">
        <v>88.2</v>
      </c>
      <c r="L701" s="45">
        <v>67.4</v>
      </c>
      <c r="M701" s="45">
        <v>78.8</v>
      </c>
    </row>
    <row r="702">
      <c r="A702" s="34" t="s">
        <v>70</v>
      </c>
      <c r="B702" s="34" t="s">
        <v>2035</v>
      </c>
      <c r="C702" s="34">
        <v>973.0</v>
      </c>
      <c r="D702" s="34" t="s">
        <v>2035</v>
      </c>
      <c r="E702" s="34" t="s">
        <v>2047</v>
      </c>
      <c r="F702" s="34" t="s">
        <v>2048</v>
      </c>
      <c r="G702" s="34">
        <v>97311.0</v>
      </c>
      <c r="H702" s="34" t="s">
        <v>2049</v>
      </c>
      <c r="I702" s="34" t="s">
        <v>18</v>
      </c>
      <c r="J702" s="34" t="s">
        <v>14</v>
      </c>
      <c r="K702" s="45">
        <v>66.4</v>
      </c>
      <c r="L702" s="45">
        <v>54.2</v>
      </c>
      <c r="M702" s="45">
        <v>60.7</v>
      </c>
    </row>
    <row r="703">
      <c r="A703" s="34" t="s">
        <v>70</v>
      </c>
      <c r="B703" s="34" t="s">
        <v>2035</v>
      </c>
      <c r="C703" s="34">
        <v>973.0</v>
      </c>
      <c r="D703" s="34" t="s">
        <v>2035</v>
      </c>
      <c r="E703" s="34" t="s">
        <v>2050</v>
      </c>
      <c r="F703" s="34" t="s">
        <v>2051</v>
      </c>
      <c r="G703" s="34">
        <v>97309.0</v>
      </c>
      <c r="H703" s="34" t="s">
        <v>2041</v>
      </c>
      <c r="I703" s="34" t="s">
        <v>18</v>
      </c>
      <c r="J703" s="34" t="s">
        <v>14</v>
      </c>
      <c r="K703" s="45">
        <v>107.4</v>
      </c>
      <c r="L703" s="45">
        <v>74.7</v>
      </c>
      <c r="M703" s="45">
        <v>97.1</v>
      </c>
    </row>
    <row r="704">
      <c r="A704" s="34" t="s">
        <v>70</v>
      </c>
      <c r="B704" s="34" t="s">
        <v>2035</v>
      </c>
      <c r="C704" s="34">
        <v>973.0</v>
      </c>
      <c r="D704" s="34" t="s">
        <v>2035</v>
      </c>
      <c r="E704" s="34" t="s">
        <v>2052</v>
      </c>
      <c r="F704" s="34" t="s">
        <v>2053</v>
      </c>
      <c r="G704" s="34">
        <v>97309.0</v>
      </c>
      <c r="H704" s="34" t="s">
        <v>2041</v>
      </c>
      <c r="I704" s="34" t="s">
        <v>17</v>
      </c>
      <c r="J704" s="34" t="s">
        <v>15</v>
      </c>
      <c r="K704" s="45">
        <v>130.0</v>
      </c>
      <c r="L704" s="9"/>
      <c r="M704" s="45">
        <v>130.0</v>
      </c>
    </row>
    <row r="705">
      <c r="A705" s="34" t="s">
        <v>70</v>
      </c>
      <c r="B705" s="34" t="s">
        <v>2054</v>
      </c>
      <c r="C705" s="34">
        <v>974.0</v>
      </c>
      <c r="D705" s="34" t="s">
        <v>2054</v>
      </c>
      <c r="E705" s="34" t="s">
        <v>2055</v>
      </c>
      <c r="F705" s="34" t="s">
        <v>2056</v>
      </c>
      <c r="G705" s="34">
        <v>97422.0</v>
      </c>
      <c r="H705" s="34" t="s">
        <v>2057</v>
      </c>
      <c r="I705" s="34" t="s">
        <v>18</v>
      </c>
      <c r="J705" s="34" t="s">
        <v>14</v>
      </c>
      <c r="K705" s="45">
        <v>96.8</v>
      </c>
      <c r="L705" s="45">
        <v>68.6</v>
      </c>
      <c r="M705" s="45">
        <v>91.9</v>
      </c>
    </row>
    <row r="706">
      <c r="A706" s="34" t="s">
        <v>70</v>
      </c>
      <c r="B706" s="34" t="s">
        <v>2054</v>
      </c>
      <c r="C706" s="34">
        <v>974.0</v>
      </c>
      <c r="D706" s="34" t="s">
        <v>2054</v>
      </c>
      <c r="E706" s="34" t="s">
        <v>2058</v>
      </c>
      <c r="F706" s="34" t="s">
        <v>2059</v>
      </c>
      <c r="G706" s="34">
        <v>97414.0</v>
      </c>
      <c r="H706" s="34" t="s">
        <v>2060</v>
      </c>
      <c r="I706" s="34" t="s">
        <v>18</v>
      </c>
      <c r="J706" s="34" t="s">
        <v>13</v>
      </c>
      <c r="K706" s="9"/>
      <c r="L706" s="45">
        <v>65.0</v>
      </c>
      <c r="M706" s="45">
        <v>65.0</v>
      </c>
    </row>
    <row r="707">
      <c r="A707" s="34" t="s">
        <v>70</v>
      </c>
      <c r="B707" s="34" t="s">
        <v>2054</v>
      </c>
      <c r="C707" s="34">
        <v>974.0</v>
      </c>
      <c r="D707" s="34" t="s">
        <v>2054</v>
      </c>
      <c r="E707" s="34" t="s">
        <v>2061</v>
      </c>
      <c r="F707" s="34" t="s">
        <v>391</v>
      </c>
      <c r="G707" s="34">
        <v>97401.0</v>
      </c>
      <c r="H707" s="34" t="s">
        <v>2062</v>
      </c>
      <c r="I707" s="34" t="s">
        <v>18</v>
      </c>
      <c r="J707" s="34" t="s">
        <v>14</v>
      </c>
      <c r="K707" s="45">
        <v>113.5</v>
      </c>
      <c r="L707" s="45">
        <v>73.3</v>
      </c>
      <c r="M707" s="45">
        <v>101.9</v>
      </c>
    </row>
    <row r="708">
      <c r="A708" s="34" t="s">
        <v>70</v>
      </c>
      <c r="B708" s="34" t="s">
        <v>2054</v>
      </c>
      <c r="C708" s="34">
        <v>974.0</v>
      </c>
      <c r="D708" s="34" t="s">
        <v>2054</v>
      </c>
      <c r="E708" s="34" t="s">
        <v>2063</v>
      </c>
      <c r="F708" s="34" t="s">
        <v>2064</v>
      </c>
      <c r="G708" s="34">
        <v>97411.0</v>
      </c>
      <c r="H708" s="34" t="s">
        <v>1858</v>
      </c>
      <c r="I708" s="34" t="s">
        <v>18</v>
      </c>
      <c r="J708" s="34" t="s">
        <v>13</v>
      </c>
      <c r="K708" s="9"/>
      <c r="L708" s="45">
        <v>62.4</v>
      </c>
      <c r="M708" s="45">
        <v>62.4</v>
      </c>
    </row>
    <row r="709">
      <c r="A709" s="34" t="s">
        <v>70</v>
      </c>
      <c r="B709" s="34" t="s">
        <v>2054</v>
      </c>
      <c r="C709" s="34">
        <v>974.0</v>
      </c>
      <c r="D709" s="34" t="s">
        <v>2054</v>
      </c>
      <c r="E709" s="34" t="s">
        <v>2065</v>
      </c>
      <c r="F709" s="34" t="s">
        <v>2066</v>
      </c>
      <c r="G709" s="34">
        <v>97410.0</v>
      </c>
      <c r="H709" s="34" t="s">
        <v>2067</v>
      </c>
      <c r="I709" s="34" t="s">
        <v>18</v>
      </c>
      <c r="J709" s="34" t="s">
        <v>15</v>
      </c>
      <c r="K709" s="45">
        <v>86.4</v>
      </c>
      <c r="L709" s="9"/>
      <c r="M709" s="45">
        <v>86.4</v>
      </c>
    </row>
    <row r="710">
      <c r="A710" s="34" t="s">
        <v>70</v>
      </c>
      <c r="B710" s="34" t="s">
        <v>2054</v>
      </c>
      <c r="C710" s="34">
        <v>974.0</v>
      </c>
      <c r="D710" s="34" t="s">
        <v>2054</v>
      </c>
      <c r="E710" s="34" t="s">
        <v>2068</v>
      </c>
      <c r="F710" s="34" t="s">
        <v>2069</v>
      </c>
      <c r="G710" s="34">
        <v>97411.0</v>
      </c>
      <c r="H710" s="34" t="s">
        <v>1858</v>
      </c>
      <c r="I710" s="34" t="s">
        <v>18</v>
      </c>
      <c r="J710" s="34" t="s">
        <v>13</v>
      </c>
      <c r="K710" s="9"/>
      <c r="L710" s="45">
        <v>64.9</v>
      </c>
      <c r="M710" s="45">
        <v>64.9</v>
      </c>
    </row>
    <row r="711">
      <c r="A711" s="34" t="s">
        <v>70</v>
      </c>
      <c r="B711" s="34" t="s">
        <v>2054</v>
      </c>
      <c r="C711" s="34">
        <v>974.0</v>
      </c>
      <c r="D711" s="34" t="s">
        <v>2054</v>
      </c>
      <c r="E711" s="34" t="s">
        <v>2070</v>
      </c>
      <c r="F711" s="34" t="s">
        <v>2071</v>
      </c>
      <c r="G711" s="34">
        <v>97414.0</v>
      </c>
      <c r="H711" s="34" t="s">
        <v>2060</v>
      </c>
      <c r="I711" s="34" t="s">
        <v>18</v>
      </c>
      <c r="J711" s="34" t="s">
        <v>15</v>
      </c>
      <c r="K711" s="45">
        <v>81.7</v>
      </c>
      <c r="L711" s="9"/>
      <c r="M711" s="45">
        <v>81.7</v>
      </c>
    </row>
    <row r="712">
      <c r="A712" s="34" t="s">
        <v>70</v>
      </c>
      <c r="B712" s="34" t="s">
        <v>2054</v>
      </c>
      <c r="C712" s="34">
        <v>974.0</v>
      </c>
      <c r="D712" s="34" t="s">
        <v>2054</v>
      </c>
      <c r="E712" s="34" t="s">
        <v>2072</v>
      </c>
      <c r="F712" s="34" t="s">
        <v>2073</v>
      </c>
      <c r="G712" s="34">
        <v>97407.0</v>
      </c>
      <c r="H712" s="34" t="s">
        <v>2074</v>
      </c>
      <c r="I712" s="34" t="s">
        <v>18</v>
      </c>
      <c r="J712" s="34" t="s">
        <v>14</v>
      </c>
      <c r="K712" s="45">
        <v>77.3</v>
      </c>
      <c r="L712" s="45">
        <v>66.5</v>
      </c>
      <c r="M712" s="45">
        <v>74.7</v>
      </c>
    </row>
    <row r="713">
      <c r="A713" s="34" t="s">
        <v>70</v>
      </c>
      <c r="B713" s="34" t="s">
        <v>2054</v>
      </c>
      <c r="C713" s="34">
        <v>974.0</v>
      </c>
      <c r="D713" s="34" t="s">
        <v>2054</v>
      </c>
      <c r="E713" s="34" t="s">
        <v>2075</v>
      </c>
      <c r="F713" s="34" t="s">
        <v>2076</v>
      </c>
      <c r="G713" s="34">
        <v>97415.0</v>
      </c>
      <c r="H713" s="34" t="s">
        <v>2077</v>
      </c>
      <c r="I713" s="34" t="s">
        <v>18</v>
      </c>
      <c r="J713" s="34" t="s">
        <v>15</v>
      </c>
      <c r="K713" s="45">
        <v>105.8</v>
      </c>
      <c r="L713" s="9"/>
      <c r="M713" s="45">
        <v>105.8</v>
      </c>
    </row>
    <row r="714">
      <c r="A714" s="34" t="s">
        <v>70</v>
      </c>
      <c r="B714" s="34" t="s">
        <v>2054</v>
      </c>
      <c r="C714" s="34">
        <v>974.0</v>
      </c>
      <c r="D714" s="34" t="s">
        <v>2054</v>
      </c>
      <c r="E714" s="34" t="s">
        <v>2078</v>
      </c>
      <c r="F714" s="34" t="s">
        <v>2079</v>
      </c>
      <c r="G714" s="34">
        <v>97416.0</v>
      </c>
      <c r="H714" s="34" t="s">
        <v>2034</v>
      </c>
      <c r="I714" s="34" t="s">
        <v>18</v>
      </c>
      <c r="J714" s="34" t="s">
        <v>14</v>
      </c>
      <c r="K714" s="45">
        <v>94.8</v>
      </c>
      <c r="L714" s="45">
        <v>67.9</v>
      </c>
      <c r="M714" s="45">
        <v>88.9</v>
      </c>
    </row>
    <row r="715">
      <c r="A715" s="34" t="s">
        <v>70</v>
      </c>
      <c r="B715" s="34" t="s">
        <v>2054</v>
      </c>
      <c r="C715" s="34">
        <v>974.0</v>
      </c>
      <c r="D715" s="34" t="s">
        <v>2054</v>
      </c>
      <c r="E715" s="34" t="s">
        <v>2080</v>
      </c>
      <c r="F715" s="34" t="s">
        <v>2081</v>
      </c>
      <c r="G715" s="34">
        <v>97410.0</v>
      </c>
      <c r="H715" s="34" t="s">
        <v>2067</v>
      </c>
      <c r="I715" s="34" t="s">
        <v>18</v>
      </c>
      <c r="J715" s="34" t="s">
        <v>14</v>
      </c>
      <c r="K715" s="45">
        <v>83.2</v>
      </c>
      <c r="L715" s="45">
        <v>65.3</v>
      </c>
      <c r="M715" s="45">
        <v>78.4</v>
      </c>
    </row>
    <row r="716">
      <c r="A716" s="34" t="s">
        <v>70</v>
      </c>
      <c r="B716" s="34" t="s">
        <v>2054</v>
      </c>
      <c r="C716" s="34">
        <v>974.0</v>
      </c>
      <c r="D716" s="34" t="s">
        <v>2054</v>
      </c>
      <c r="E716" s="34" t="s">
        <v>2082</v>
      </c>
      <c r="F716" s="34" t="s">
        <v>2083</v>
      </c>
      <c r="G716" s="34">
        <v>97415.0</v>
      </c>
      <c r="H716" s="34" t="s">
        <v>2077</v>
      </c>
      <c r="I716" s="34" t="s">
        <v>18</v>
      </c>
      <c r="J716" s="34" t="s">
        <v>14</v>
      </c>
      <c r="K716" s="45">
        <v>96.6</v>
      </c>
      <c r="L716" s="45">
        <v>75.7</v>
      </c>
      <c r="M716" s="45">
        <v>92.5</v>
      </c>
    </row>
    <row r="717">
      <c r="A717" s="34" t="s">
        <v>70</v>
      </c>
      <c r="B717" s="34" t="s">
        <v>2084</v>
      </c>
      <c r="C717" s="34">
        <v>976.0</v>
      </c>
      <c r="D717" s="34" t="s">
        <v>2084</v>
      </c>
      <c r="E717" s="34" t="s">
        <v>2085</v>
      </c>
      <c r="F717" s="34" t="s">
        <v>2086</v>
      </c>
      <c r="G717" s="34">
        <v>97615.0</v>
      </c>
      <c r="H717" s="34" t="s">
        <v>2087</v>
      </c>
      <c r="I717" s="34" t="s">
        <v>18</v>
      </c>
      <c r="J717" s="34" t="s">
        <v>14</v>
      </c>
      <c r="K717" s="45">
        <v>83.3</v>
      </c>
      <c r="L717" s="45">
        <v>66.3</v>
      </c>
      <c r="M717" s="45">
        <v>79.2</v>
      </c>
    </row>
    <row r="718">
      <c r="A718" s="34" t="s">
        <v>70</v>
      </c>
      <c r="B718" s="34" t="s">
        <v>71</v>
      </c>
      <c r="C718" s="34">
        <v>1.0</v>
      </c>
      <c r="D718" s="34" t="s">
        <v>72</v>
      </c>
      <c r="E718" s="34" t="s">
        <v>2088</v>
      </c>
      <c r="F718" s="34" t="s">
        <v>2089</v>
      </c>
      <c r="G718" s="34">
        <v>1053.0</v>
      </c>
      <c r="H718" s="34" t="s">
        <v>84</v>
      </c>
      <c r="I718" s="34" t="s">
        <v>18</v>
      </c>
      <c r="J718" s="34" t="s">
        <v>14</v>
      </c>
      <c r="K718" s="45">
        <v>115.4</v>
      </c>
      <c r="L718" s="45">
        <v>98.0</v>
      </c>
      <c r="M718" s="45">
        <v>112.0</v>
      </c>
    </row>
    <row r="719">
      <c r="A719" s="34" t="s">
        <v>70</v>
      </c>
      <c r="B719" s="34" t="s">
        <v>71</v>
      </c>
      <c r="C719" s="34">
        <v>1.0</v>
      </c>
      <c r="D719" s="34" t="s">
        <v>72</v>
      </c>
      <c r="E719" s="34" t="s">
        <v>2090</v>
      </c>
      <c r="F719" s="34" t="s">
        <v>2091</v>
      </c>
      <c r="G719" s="34">
        <v>1093.0</v>
      </c>
      <c r="H719" s="34" t="s">
        <v>2092</v>
      </c>
      <c r="I719" s="34" t="s">
        <v>18</v>
      </c>
      <c r="J719" s="34" t="s">
        <v>13</v>
      </c>
      <c r="K719" s="9"/>
      <c r="L719" s="45">
        <v>100.4</v>
      </c>
      <c r="M719" s="45">
        <v>100.4</v>
      </c>
    </row>
    <row r="720">
      <c r="A720" s="34" t="s">
        <v>70</v>
      </c>
      <c r="B720" s="34" t="s">
        <v>71</v>
      </c>
      <c r="C720" s="34">
        <v>1.0</v>
      </c>
      <c r="D720" s="34" t="s">
        <v>72</v>
      </c>
      <c r="E720" s="34" t="s">
        <v>2093</v>
      </c>
      <c r="F720" s="34" t="s">
        <v>2094</v>
      </c>
      <c r="G720" s="34">
        <v>1053.0</v>
      </c>
      <c r="H720" s="34" t="s">
        <v>84</v>
      </c>
      <c r="I720" s="34" t="s">
        <v>18</v>
      </c>
      <c r="J720" s="34" t="s">
        <v>13</v>
      </c>
      <c r="K720" s="9"/>
      <c r="L720" s="45">
        <v>84.3</v>
      </c>
      <c r="M720" s="45">
        <v>84.3</v>
      </c>
    </row>
    <row r="721">
      <c r="A721" s="34" t="s">
        <v>70</v>
      </c>
      <c r="B721" s="34" t="s">
        <v>71</v>
      </c>
      <c r="C721" s="34">
        <v>1.0</v>
      </c>
      <c r="D721" s="34" t="s">
        <v>72</v>
      </c>
      <c r="E721" s="34" t="s">
        <v>2095</v>
      </c>
      <c r="F721" s="34" t="s">
        <v>2096</v>
      </c>
      <c r="G721" s="34">
        <v>1427.0</v>
      </c>
      <c r="H721" s="34" t="s">
        <v>2097</v>
      </c>
      <c r="I721" s="34" t="s">
        <v>18</v>
      </c>
      <c r="J721" s="34" t="s">
        <v>15</v>
      </c>
      <c r="K721" s="45">
        <v>125.6</v>
      </c>
      <c r="L721" s="9"/>
      <c r="M721" s="45">
        <v>125.6</v>
      </c>
    </row>
    <row r="722">
      <c r="A722" s="34" t="s">
        <v>70</v>
      </c>
      <c r="B722" s="34" t="s">
        <v>71</v>
      </c>
      <c r="C722" s="34">
        <v>1.0</v>
      </c>
      <c r="D722" s="34" t="s">
        <v>72</v>
      </c>
      <c r="E722" s="34" t="s">
        <v>2098</v>
      </c>
      <c r="F722" s="34" t="s">
        <v>555</v>
      </c>
      <c r="G722" s="34">
        <v>1348.0</v>
      </c>
      <c r="H722" s="34" t="s">
        <v>2099</v>
      </c>
      <c r="I722" s="34" t="s">
        <v>17</v>
      </c>
      <c r="J722" s="34" t="s">
        <v>15</v>
      </c>
      <c r="K722" s="45">
        <v>117.4</v>
      </c>
      <c r="L722" s="9"/>
      <c r="M722" s="45">
        <v>117.4</v>
      </c>
    </row>
    <row r="723">
      <c r="A723" s="34" t="s">
        <v>70</v>
      </c>
      <c r="B723" s="34" t="s">
        <v>88</v>
      </c>
      <c r="C723" s="34">
        <v>2.0</v>
      </c>
      <c r="D723" s="34" t="s">
        <v>89</v>
      </c>
      <c r="E723" s="34" t="s">
        <v>2100</v>
      </c>
      <c r="F723" s="34" t="s">
        <v>2101</v>
      </c>
      <c r="G723" s="34">
        <v>2168.0</v>
      </c>
      <c r="H723" s="34" t="s">
        <v>113</v>
      </c>
      <c r="I723" s="34" t="s">
        <v>18</v>
      </c>
      <c r="J723" s="34" t="s">
        <v>14</v>
      </c>
      <c r="K723" s="45">
        <v>101.1</v>
      </c>
      <c r="L723" s="45">
        <v>79.9</v>
      </c>
      <c r="M723" s="45">
        <v>94.0</v>
      </c>
    </row>
    <row r="724">
      <c r="A724" s="34" t="s">
        <v>70</v>
      </c>
      <c r="B724" s="34" t="s">
        <v>88</v>
      </c>
      <c r="C724" s="34">
        <v>2.0</v>
      </c>
      <c r="D724" s="34" t="s">
        <v>89</v>
      </c>
      <c r="E724" s="34" t="s">
        <v>2102</v>
      </c>
      <c r="F724" s="34" t="s">
        <v>2103</v>
      </c>
      <c r="G724" s="34">
        <v>2173.0</v>
      </c>
      <c r="H724" s="34" t="s">
        <v>108</v>
      </c>
      <c r="I724" s="34" t="s">
        <v>18</v>
      </c>
      <c r="J724" s="34" t="s">
        <v>15</v>
      </c>
      <c r="K724" s="45">
        <v>102.5</v>
      </c>
      <c r="L724" s="9"/>
      <c r="M724" s="45">
        <v>102.5</v>
      </c>
    </row>
    <row r="725">
      <c r="A725" s="34" t="s">
        <v>70</v>
      </c>
      <c r="B725" s="34" t="s">
        <v>88</v>
      </c>
      <c r="C725" s="34">
        <v>2.0</v>
      </c>
      <c r="D725" s="34" t="s">
        <v>89</v>
      </c>
      <c r="E725" s="34" t="s">
        <v>2104</v>
      </c>
      <c r="F725" s="34" t="s">
        <v>2105</v>
      </c>
      <c r="G725" s="34">
        <v>2722.0</v>
      </c>
      <c r="H725" s="34" t="s">
        <v>105</v>
      </c>
      <c r="I725" s="34" t="s">
        <v>18</v>
      </c>
      <c r="J725" s="34" t="s">
        <v>13</v>
      </c>
      <c r="K725" s="9"/>
      <c r="L725" s="45">
        <v>75.4</v>
      </c>
      <c r="M725" s="45">
        <v>75.4</v>
      </c>
    </row>
    <row r="726">
      <c r="A726" s="34" t="s">
        <v>70</v>
      </c>
      <c r="B726" s="34" t="s">
        <v>88</v>
      </c>
      <c r="C726" s="34">
        <v>2.0</v>
      </c>
      <c r="D726" s="34" t="s">
        <v>89</v>
      </c>
      <c r="E726" s="34" t="s">
        <v>2106</v>
      </c>
      <c r="F726" s="34" t="s">
        <v>2107</v>
      </c>
      <c r="G726" s="34">
        <v>2361.0</v>
      </c>
      <c r="H726" s="34" t="s">
        <v>2108</v>
      </c>
      <c r="I726" s="34" t="s">
        <v>18</v>
      </c>
      <c r="J726" s="34" t="s">
        <v>13</v>
      </c>
      <c r="K726" s="9"/>
      <c r="L726" s="45">
        <v>71.9</v>
      </c>
      <c r="M726" s="45">
        <v>71.9</v>
      </c>
    </row>
    <row r="727">
      <c r="A727" s="34" t="s">
        <v>70</v>
      </c>
      <c r="B727" s="34" t="s">
        <v>88</v>
      </c>
      <c r="C727" s="34">
        <v>2.0</v>
      </c>
      <c r="D727" s="34" t="s">
        <v>89</v>
      </c>
      <c r="E727" s="34" t="s">
        <v>2109</v>
      </c>
      <c r="F727" s="34" t="s">
        <v>1531</v>
      </c>
      <c r="G727" s="34">
        <v>2408.0</v>
      </c>
      <c r="H727" s="34" t="s">
        <v>102</v>
      </c>
      <c r="I727" s="34" t="s">
        <v>17</v>
      </c>
      <c r="J727" s="34" t="s">
        <v>15</v>
      </c>
      <c r="K727" s="45">
        <v>110.9</v>
      </c>
      <c r="L727" s="9"/>
      <c r="M727" s="45">
        <v>110.9</v>
      </c>
    </row>
    <row r="728">
      <c r="A728" s="34" t="s">
        <v>70</v>
      </c>
      <c r="B728" s="34" t="s">
        <v>116</v>
      </c>
      <c r="C728" s="34">
        <v>3.0</v>
      </c>
      <c r="D728" s="34" t="s">
        <v>117</v>
      </c>
      <c r="E728" s="34" t="s">
        <v>2110</v>
      </c>
      <c r="F728" s="34" t="s">
        <v>2111</v>
      </c>
      <c r="G728" s="34">
        <v>3185.0</v>
      </c>
      <c r="H728" s="34" t="s">
        <v>120</v>
      </c>
      <c r="I728" s="34" t="s">
        <v>18</v>
      </c>
      <c r="J728" s="34" t="s">
        <v>15</v>
      </c>
      <c r="K728" s="45">
        <v>113.9</v>
      </c>
      <c r="L728" s="9"/>
      <c r="M728" s="45">
        <v>113.9</v>
      </c>
    </row>
    <row r="729">
      <c r="A729" s="34" t="s">
        <v>70</v>
      </c>
      <c r="B729" s="34" t="s">
        <v>116</v>
      </c>
      <c r="C729" s="34">
        <v>3.0</v>
      </c>
      <c r="D729" s="34" t="s">
        <v>117</v>
      </c>
      <c r="E729" s="34" t="s">
        <v>2112</v>
      </c>
      <c r="F729" s="34" t="s">
        <v>2113</v>
      </c>
      <c r="G729" s="34">
        <v>3095.0</v>
      </c>
      <c r="H729" s="34" t="s">
        <v>123</v>
      </c>
      <c r="I729" s="34" t="s">
        <v>18</v>
      </c>
      <c r="J729" s="34" t="s">
        <v>13</v>
      </c>
      <c r="K729" s="9"/>
      <c r="L729" s="45">
        <v>81.5</v>
      </c>
      <c r="M729" s="45">
        <v>81.5</v>
      </c>
    </row>
    <row r="730">
      <c r="A730" s="34" t="s">
        <v>70</v>
      </c>
      <c r="B730" s="34" t="s">
        <v>116</v>
      </c>
      <c r="C730" s="34">
        <v>3.0</v>
      </c>
      <c r="D730" s="34" t="s">
        <v>117</v>
      </c>
      <c r="E730" s="34" t="s">
        <v>2114</v>
      </c>
      <c r="F730" s="34" t="s">
        <v>2115</v>
      </c>
      <c r="G730" s="34">
        <v>3190.0</v>
      </c>
      <c r="H730" s="34" t="s">
        <v>126</v>
      </c>
      <c r="I730" s="34" t="s">
        <v>17</v>
      </c>
      <c r="J730" s="34" t="s">
        <v>15</v>
      </c>
      <c r="K730" s="45">
        <v>102.7</v>
      </c>
      <c r="L730" s="9"/>
      <c r="M730" s="45">
        <v>102.7</v>
      </c>
    </row>
    <row r="731">
      <c r="A731" s="34" t="s">
        <v>70</v>
      </c>
      <c r="B731" s="34" t="s">
        <v>116</v>
      </c>
      <c r="C731" s="34">
        <v>3.0</v>
      </c>
      <c r="D731" s="34" t="s">
        <v>117</v>
      </c>
      <c r="E731" s="34" t="s">
        <v>2116</v>
      </c>
      <c r="F731" s="34" t="s">
        <v>2117</v>
      </c>
      <c r="G731" s="34">
        <v>3185.0</v>
      </c>
      <c r="H731" s="34" t="s">
        <v>120</v>
      </c>
      <c r="I731" s="34" t="s">
        <v>18</v>
      </c>
      <c r="J731" s="34" t="s">
        <v>13</v>
      </c>
      <c r="K731" s="9"/>
      <c r="L731" s="45">
        <v>89.2</v>
      </c>
      <c r="M731" s="45">
        <v>89.2</v>
      </c>
    </row>
    <row r="732">
      <c r="A732" s="34" t="s">
        <v>70</v>
      </c>
      <c r="B732" s="34" t="s">
        <v>116</v>
      </c>
      <c r="C732" s="34">
        <v>3.0</v>
      </c>
      <c r="D732" s="34" t="s">
        <v>117</v>
      </c>
      <c r="E732" s="34" t="s">
        <v>2118</v>
      </c>
      <c r="F732" s="34" t="s">
        <v>2119</v>
      </c>
      <c r="G732" s="34">
        <v>3082.0</v>
      </c>
      <c r="H732" s="34" t="s">
        <v>2120</v>
      </c>
      <c r="I732" s="34" t="s">
        <v>18</v>
      </c>
      <c r="J732" s="34" t="s">
        <v>14</v>
      </c>
      <c r="K732" s="45">
        <v>91.9</v>
      </c>
      <c r="L732" s="45">
        <v>81.3</v>
      </c>
      <c r="M732" s="45">
        <v>84.2</v>
      </c>
    </row>
    <row r="733">
      <c r="A733" s="34" t="s">
        <v>70</v>
      </c>
      <c r="B733" s="34" t="s">
        <v>129</v>
      </c>
      <c r="C733" s="34">
        <v>4.0</v>
      </c>
      <c r="D733" s="34" t="s">
        <v>130</v>
      </c>
      <c r="E733" s="34" t="s">
        <v>2121</v>
      </c>
      <c r="F733" s="34" t="s">
        <v>2122</v>
      </c>
      <c r="G733" s="34">
        <v>4070.0</v>
      </c>
      <c r="H733" s="34" t="s">
        <v>2123</v>
      </c>
      <c r="I733" s="34" t="s">
        <v>18</v>
      </c>
      <c r="J733" s="34" t="s">
        <v>13</v>
      </c>
      <c r="K733" s="9"/>
      <c r="L733" s="45">
        <v>85.7</v>
      </c>
      <c r="M733" s="45">
        <v>85.7</v>
      </c>
    </row>
    <row r="734">
      <c r="A734" s="34" t="s">
        <v>70</v>
      </c>
      <c r="B734" s="34" t="s">
        <v>129</v>
      </c>
      <c r="C734" s="34">
        <v>5.0</v>
      </c>
      <c r="D734" s="34" t="s">
        <v>2124</v>
      </c>
      <c r="E734" s="34" t="s">
        <v>2125</v>
      </c>
      <c r="F734" s="34" t="s">
        <v>2126</v>
      </c>
      <c r="G734" s="34">
        <v>5023.0</v>
      </c>
      <c r="H734" s="34" t="s">
        <v>2127</v>
      </c>
      <c r="I734" s="34" t="s">
        <v>18</v>
      </c>
      <c r="J734" s="34" t="s">
        <v>14</v>
      </c>
      <c r="K734" s="45">
        <v>121.3</v>
      </c>
      <c r="L734" s="45">
        <v>93.9</v>
      </c>
      <c r="M734" s="45">
        <v>118.0</v>
      </c>
    </row>
    <row r="735">
      <c r="A735" s="34" t="s">
        <v>70</v>
      </c>
      <c r="B735" s="34" t="s">
        <v>129</v>
      </c>
      <c r="C735" s="34">
        <v>5.0</v>
      </c>
      <c r="D735" s="34" t="s">
        <v>2124</v>
      </c>
      <c r="E735" s="34" t="s">
        <v>2128</v>
      </c>
      <c r="F735" s="34" t="s">
        <v>2129</v>
      </c>
      <c r="G735" s="34">
        <v>5046.0</v>
      </c>
      <c r="H735" s="34" t="s">
        <v>2130</v>
      </c>
      <c r="I735" s="34" t="s">
        <v>18</v>
      </c>
      <c r="J735" s="34" t="s">
        <v>15</v>
      </c>
      <c r="K735" s="45">
        <v>114.6</v>
      </c>
      <c r="L735" s="9"/>
      <c r="M735" s="45">
        <v>114.6</v>
      </c>
    </row>
    <row r="736">
      <c r="A736" s="34" t="s">
        <v>70</v>
      </c>
      <c r="B736" s="34" t="s">
        <v>129</v>
      </c>
      <c r="C736" s="34">
        <v>5.0</v>
      </c>
      <c r="D736" s="34" t="s">
        <v>2124</v>
      </c>
      <c r="E736" s="34" t="s">
        <v>2131</v>
      </c>
      <c r="F736" s="34" t="s">
        <v>2132</v>
      </c>
      <c r="G736" s="34">
        <v>5061.0</v>
      </c>
      <c r="H736" s="34" t="s">
        <v>2133</v>
      </c>
      <c r="I736" s="34" t="s">
        <v>18</v>
      </c>
      <c r="J736" s="34" t="s">
        <v>13</v>
      </c>
      <c r="K736" s="9"/>
      <c r="L736" s="45">
        <v>96.7</v>
      </c>
      <c r="M736" s="45">
        <v>96.7</v>
      </c>
    </row>
    <row r="737">
      <c r="A737" s="34" t="s">
        <v>70</v>
      </c>
      <c r="B737" s="34" t="s">
        <v>134</v>
      </c>
      <c r="C737" s="34">
        <v>6.0</v>
      </c>
      <c r="D737" s="34" t="s">
        <v>135</v>
      </c>
      <c r="E737" s="34" t="s">
        <v>2134</v>
      </c>
      <c r="F737" s="34" t="s">
        <v>2135</v>
      </c>
      <c r="G737" s="34">
        <v>6029.0</v>
      </c>
      <c r="H737" s="34" t="s">
        <v>158</v>
      </c>
      <c r="I737" s="34" t="s">
        <v>18</v>
      </c>
      <c r="J737" s="34" t="s">
        <v>15</v>
      </c>
      <c r="K737" s="45">
        <v>98.9</v>
      </c>
      <c r="L737" s="9"/>
      <c r="M737" s="45">
        <v>98.9</v>
      </c>
    </row>
    <row r="738">
      <c r="A738" s="34" t="s">
        <v>70</v>
      </c>
      <c r="B738" s="34" t="s">
        <v>134</v>
      </c>
      <c r="C738" s="34">
        <v>6.0</v>
      </c>
      <c r="D738" s="34" t="s">
        <v>135</v>
      </c>
      <c r="E738" s="34" t="s">
        <v>2136</v>
      </c>
      <c r="F738" s="34" t="s">
        <v>2137</v>
      </c>
      <c r="G738" s="34">
        <v>6029.0</v>
      </c>
      <c r="H738" s="34" t="s">
        <v>158</v>
      </c>
      <c r="I738" s="34" t="s">
        <v>18</v>
      </c>
      <c r="J738" s="34" t="s">
        <v>14</v>
      </c>
      <c r="K738" s="45">
        <v>101.1</v>
      </c>
      <c r="L738" s="45">
        <v>88.5</v>
      </c>
      <c r="M738" s="45">
        <v>88.9</v>
      </c>
    </row>
    <row r="739">
      <c r="A739" s="34" t="s">
        <v>70</v>
      </c>
      <c r="B739" s="34" t="s">
        <v>134</v>
      </c>
      <c r="C739" s="34">
        <v>6.0</v>
      </c>
      <c r="D739" s="34" t="s">
        <v>135</v>
      </c>
      <c r="E739" s="34" t="s">
        <v>2138</v>
      </c>
      <c r="F739" s="34" t="s">
        <v>2139</v>
      </c>
      <c r="G739" s="34">
        <v>6083.0</v>
      </c>
      <c r="H739" s="34" t="s">
        <v>147</v>
      </c>
      <c r="I739" s="34" t="s">
        <v>18</v>
      </c>
      <c r="J739" s="34" t="s">
        <v>13</v>
      </c>
      <c r="K739" s="9"/>
      <c r="L739" s="45">
        <v>83.8</v>
      </c>
      <c r="M739" s="45">
        <v>83.8</v>
      </c>
    </row>
    <row r="740">
      <c r="A740" s="34" t="s">
        <v>70</v>
      </c>
      <c r="B740" s="34" t="s">
        <v>134</v>
      </c>
      <c r="C740" s="34">
        <v>6.0</v>
      </c>
      <c r="D740" s="34" t="s">
        <v>135</v>
      </c>
      <c r="E740" s="34" t="s">
        <v>2140</v>
      </c>
      <c r="F740" s="34" t="s">
        <v>2141</v>
      </c>
      <c r="G740" s="34">
        <v>6088.0</v>
      </c>
      <c r="H740" s="34" t="s">
        <v>134</v>
      </c>
      <c r="I740" s="34" t="s">
        <v>18</v>
      </c>
      <c r="J740" s="34" t="s">
        <v>15</v>
      </c>
      <c r="K740" s="45">
        <v>124.3</v>
      </c>
      <c r="L740" s="9"/>
      <c r="M740" s="45">
        <v>124.3</v>
      </c>
    </row>
    <row r="741">
      <c r="A741" s="34" t="s">
        <v>70</v>
      </c>
      <c r="B741" s="34" t="s">
        <v>134</v>
      </c>
      <c r="C741" s="34">
        <v>6.0</v>
      </c>
      <c r="D741" s="34" t="s">
        <v>135</v>
      </c>
      <c r="E741" s="34" t="s">
        <v>2142</v>
      </c>
      <c r="F741" s="34" t="s">
        <v>2143</v>
      </c>
      <c r="G741" s="34">
        <v>6088.0</v>
      </c>
      <c r="H741" s="34" t="s">
        <v>134</v>
      </c>
      <c r="I741" s="34" t="s">
        <v>18</v>
      </c>
      <c r="J741" s="34" t="s">
        <v>14</v>
      </c>
      <c r="K741" s="45">
        <v>114.4</v>
      </c>
      <c r="L741" s="45">
        <v>99.5</v>
      </c>
      <c r="M741" s="45">
        <v>104.8</v>
      </c>
    </row>
    <row r="742">
      <c r="A742" s="34" t="s">
        <v>70</v>
      </c>
      <c r="B742" s="34" t="s">
        <v>134</v>
      </c>
      <c r="C742" s="34">
        <v>6.0</v>
      </c>
      <c r="D742" s="34" t="s">
        <v>135</v>
      </c>
      <c r="E742" s="34" t="s">
        <v>2144</v>
      </c>
      <c r="F742" s="34" t="s">
        <v>2145</v>
      </c>
      <c r="G742" s="34">
        <v>6088.0</v>
      </c>
      <c r="H742" s="34" t="s">
        <v>134</v>
      </c>
      <c r="I742" s="34" t="s">
        <v>18</v>
      </c>
      <c r="J742" s="34" t="s">
        <v>13</v>
      </c>
      <c r="K742" s="9"/>
      <c r="L742" s="45">
        <v>92.7</v>
      </c>
      <c r="M742" s="45">
        <v>92.7</v>
      </c>
    </row>
    <row r="743">
      <c r="A743" s="34" t="s">
        <v>70</v>
      </c>
      <c r="B743" s="34" t="s">
        <v>134</v>
      </c>
      <c r="C743" s="34">
        <v>6.0</v>
      </c>
      <c r="D743" s="34" t="s">
        <v>135</v>
      </c>
      <c r="E743" s="34" t="s">
        <v>2146</v>
      </c>
      <c r="F743" s="34" t="s">
        <v>2147</v>
      </c>
      <c r="G743" s="34">
        <v>6029.0</v>
      </c>
      <c r="H743" s="34" t="s">
        <v>158</v>
      </c>
      <c r="I743" s="34" t="s">
        <v>17</v>
      </c>
      <c r="J743" s="34" t="s">
        <v>15</v>
      </c>
      <c r="K743" s="45">
        <v>133.3</v>
      </c>
      <c r="L743" s="9"/>
      <c r="M743" s="45">
        <v>133.3</v>
      </c>
    </row>
    <row r="744">
      <c r="A744" s="34" t="s">
        <v>70</v>
      </c>
      <c r="B744" s="34" t="s">
        <v>134</v>
      </c>
      <c r="C744" s="34">
        <v>6.0</v>
      </c>
      <c r="D744" s="34" t="s">
        <v>135</v>
      </c>
      <c r="E744" s="34" t="s">
        <v>2148</v>
      </c>
      <c r="F744" s="34" t="s">
        <v>2149</v>
      </c>
      <c r="G744" s="34">
        <v>6088.0</v>
      </c>
      <c r="H744" s="34" t="s">
        <v>134</v>
      </c>
      <c r="I744" s="34" t="s">
        <v>17</v>
      </c>
      <c r="J744" s="34" t="s">
        <v>15</v>
      </c>
      <c r="K744" s="45">
        <v>111.0</v>
      </c>
      <c r="L744" s="9"/>
      <c r="M744" s="45">
        <v>111.0</v>
      </c>
    </row>
    <row r="745">
      <c r="A745" s="34" t="s">
        <v>70</v>
      </c>
      <c r="B745" s="34" t="s">
        <v>134</v>
      </c>
      <c r="C745" s="34">
        <v>6.0</v>
      </c>
      <c r="D745" s="34" t="s">
        <v>135</v>
      </c>
      <c r="E745" s="34" t="s">
        <v>2150</v>
      </c>
      <c r="F745" s="34" t="s">
        <v>2151</v>
      </c>
      <c r="G745" s="34">
        <v>6004.0</v>
      </c>
      <c r="H745" s="34" t="s">
        <v>138</v>
      </c>
      <c r="I745" s="34" t="s">
        <v>18</v>
      </c>
      <c r="J745" s="34" t="s">
        <v>14</v>
      </c>
      <c r="K745" s="45">
        <v>123.5</v>
      </c>
      <c r="L745" s="45">
        <v>106.5</v>
      </c>
      <c r="M745" s="45">
        <v>117.8</v>
      </c>
    </row>
    <row r="746">
      <c r="A746" s="34" t="s">
        <v>70</v>
      </c>
      <c r="B746" s="34" t="s">
        <v>134</v>
      </c>
      <c r="C746" s="34">
        <v>6.0</v>
      </c>
      <c r="D746" s="34" t="s">
        <v>135</v>
      </c>
      <c r="E746" s="34" t="s">
        <v>2152</v>
      </c>
      <c r="F746" s="34" t="s">
        <v>2153</v>
      </c>
      <c r="G746" s="34">
        <v>6088.0</v>
      </c>
      <c r="H746" s="34" t="s">
        <v>134</v>
      </c>
      <c r="I746" s="34" t="s">
        <v>17</v>
      </c>
      <c r="J746" s="34" t="s">
        <v>15</v>
      </c>
      <c r="K746" s="45">
        <v>111.9</v>
      </c>
      <c r="L746" s="9"/>
      <c r="M746" s="45">
        <v>111.9</v>
      </c>
    </row>
    <row r="747">
      <c r="A747" s="34" t="s">
        <v>70</v>
      </c>
      <c r="B747" s="34" t="s">
        <v>134</v>
      </c>
      <c r="C747" s="34">
        <v>6.0</v>
      </c>
      <c r="D747" s="34" t="s">
        <v>135</v>
      </c>
      <c r="E747" s="34" t="s">
        <v>2154</v>
      </c>
      <c r="F747" s="34" t="s">
        <v>2155</v>
      </c>
      <c r="G747" s="34">
        <v>6153.0</v>
      </c>
      <c r="H747" s="34" t="s">
        <v>2156</v>
      </c>
      <c r="I747" s="34" t="s">
        <v>18</v>
      </c>
      <c r="J747" s="34" t="s">
        <v>14</v>
      </c>
      <c r="K747" s="45">
        <v>119.5</v>
      </c>
      <c r="L747" s="45">
        <v>97.2</v>
      </c>
      <c r="M747" s="45">
        <v>110.7</v>
      </c>
    </row>
    <row r="748">
      <c r="A748" s="34" t="s">
        <v>70</v>
      </c>
      <c r="B748" s="34" t="s">
        <v>134</v>
      </c>
      <c r="C748" s="34">
        <v>6.0</v>
      </c>
      <c r="D748" s="34" t="s">
        <v>135</v>
      </c>
      <c r="E748" s="34" t="s">
        <v>2157</v>
      </c>
      <c r="F748" s="34" t="s">
        <v>2158</v>
      </c>
      <c r="G748" s="34">
        <v>6088.0</v>
      </c>
      <c r="H748" s="34" t="s">
        <v>134</v>
      </c>
      <c r="I748" s="34" t="s">
        <v>17</v>
      </c>
      <c r="J748" s="34" t="s">
        <v>15</v>
      </c>
      <c r="K748" s="45">
        <v>126.3</v>
      </c>
      <c r="L748" s="9"/>
      <c r="M748" s="45">
        <v>126.3</v>
      </c>
    </row>
    <row r="749">
      <c r="A749" s="34" t="s">
        <v>70</v>
      </c>
      <c r="B749" s="34" t="s">
        <v>161</v>
      </c>
      <c r="C749" s="34">
        <v>7.0</v>
      </c>
      <c r="D749" s="34" t="s">
        <v>162</v>
      </c>
      <c r="E749" s="34" t="s">
        <v>2159</v>
      </c>
      <c r="F749" s="34" t="s">
        <v>2160</v>
      </c>
      <c r="G749" s="34">
        <v>7010.0</v>
      </c>
      <c r="H749" s="34" t="s">
        <v>2161</v>
      </c>
      <c r="I749" s="34" t="s">
        <v>18</v>
      </c>
      <c r="J749" s="34" t="s">
        <v>13</v>
      </c>
      <c r="K749" s="9"/>
      <c r="L749" s="45">
        <v>77.3</v>
      </c>
      <c r="M749" s="45">
        <v>77.3</v>
      </c>
    </row>
    <row r="750">
      <c r="A750" s="34" t="s">
        <v>70</v>
      </c>
      <c r="B750" s="34" t="s">
        <v>161</v>
      </c>
      <c r="C750" s="34">
        <v>7.0</v>
      </c>
      <c r="D750" s="34" t="s">
        <v>162</v>
      </c>
      <c r="E750" s="34" t="s">
        <v>2162</v>
      </c>
      <c r="F750" s="34" t="s">
        <v>2163</v>
      </c>
      <c r="G750" s="34">
        <v>7019.0</v>
      </c>
      <c r="H750" s="34" t="s">
        <v>2164</v>
      </c>
      <c r="I750" s="34" t="s">
        <v>18</v>
      </c>
      <c r="J750" s="34" t="s">
        <v>14</v>
      </c>
      <c r="K750" s="45">
        <v>111.7</v>
      </c>
      <c r="L750" s="45">
        <v>89.3</v>
      </c>
      <c r="M750" s="45">
        <v>107.8</v>
      </c>
    </row>
    <row r="751">
      <c r="A751" s="34" t="s">
        <v>70</v>
      </c>
      <c r="B751" s="34" t="s">
        <v>161</v>
      </c>
      <c r="C751" s="34">
        <v>7.0</v>
      </c>
      <c r="D751" s="34" t="s">
        <v>162</v>
      </c>
      <c r="E751" s="34" t="s">
        <v>2165</v>
      </c>
      <c r="F751" s="34" t="s">
        <v>2166</v>
      </c>
      <c r="G751" s="34">
        <v>7132.0</v>
      </c>
      <c r="H751" s="34" t="s">
        <v>2167</v>
      </c>
      <c r="I751" s="34" t="s">
        <v>18</v>
      </c>
      <c r="J751" s="34" t="s">
        <v>13</v>
      </c>
      <c r="K751" s="9"/>
      <c r="L751" s="45">
        <v>94.0</v>
      </c>
      <c r="M751" s="45">
        <v>94.0</v>
      </c>
    </row>
    <row r="752">
      <c r="A752" s="34" t="s">
        <v>70</v>
      </c>
      <c r="B752" s="34" t="s">
        <v>161</v>
      </c>
      <c r="C752" s="34">
        <v>7.0</v>
      </c>
      <c r="D752" s="34" t="s">
        <v>162</v>
      </c>
      <c r="E752" s="34" t="s">
        <v>2168</v>
      </c>
      <c r="F752" s="34" t="s">
        <v>2169</v>
      </c>
      <c r="G752" s="34">
        <v>7324.0</v>
      </c>
      <c r="H752" s="34" t="s">
        <v>2170</v>
      </c>
      <c r="I752" s="34" t="s">
        <v>18</v>
      </c>
      <c r="J752" s="34" t="s">
        <v>14</v>
      </c>
      <c r="K752" s="45">
        <v>107.9</v>
      </c>
      <c r="L752" s="45">
        <v>81.9</v>
      </c>
      <c r="M752" s="45">
        <v>103.9</v>
      </c>
    </row>
    <row r="753">
      <c r="A753" s="34" t="s">
        <v>70</v>
      </c>
      <c r="B753" s="34" t="s">
        <v>161</v>
      </c>
      <c r="C753" s="34">
        <v>7.0</v>
      </c>
      <c r="D753" s="34" t="s">
        <v>162</v>
      </c>
      <c r="E753" s="34" t="s">
        <v>2171</v>
      </c>
      <c r="F753" s="34" t="s">
        <v>2172</v>
      </c>
      <c r="G753" s="34">
        <v>7042.0</v>
      </c>
      <c r="H753" s="34" t="s">
        <v>2173</v>
      </c>
      <c r="I753" s="34" t="s">
        <v>17</v>
      </c>
      <c r="J753" s="34" t="s">
        <v>15</v>
      </c>
      <c r="K753" s="45">
        <v>117.7</v>
      </c>
      <c r="L753" s="9"/>
      <c r="M753" s="45">
        <v>117.7</v>
      </c>
    </row>
    <row r="754">
      <c r="A754" s="34" t="s">
        <v>70</v>
      </c>
      <c r="B754" s="34" t="s">
        <v>161</v>
      </c>
      <c r="C754" s="34">
        <v>7.0</v>
      </c>
      <c r="D754" s="34" t="s">
        <v>162</v>
      </c>
      <c r="E754" s="34" t="s">
        <v>2174</v>
      </c>
      <c r="F754" s="34" t="s">
        <v>2175</v>
      </c>
      <c r="G754" s="34">
        <v>7324.0</v>
      </c>
      <c r="H754" s="34" t="s">
        <v>2170</v>
      </c>
      <c r="I754" s="34" t="s">
        <v>17</v>
      </c>
      <c r="J754" s="34" t="s">
        <v>14</v>
      </c>
      <c r="K754" s="45">
        <v>116.8</v>
      </c>
      <c r="L754" s="45">
        <v>96.9</v>
      </c>
      <c r="M754" s="45">
        <v>114.6</v>
      </c>
    </row>
    <row r="755">
      <c r="A755" s="34" t="s">
        <v>70</v>
      </c>
      <c r="B755" s="34" t="s">
        <v>161</v>
      </c>
      <c r="C755" s="34">
        <v>7.0</v>
      </c>
      <c r="D755" s="34" t="s">
        <v>162</v>
      </c>
      <c r="E755" s="34" t="s">
        <v>2176</v>
      </c>
      <c r="F755" s="34" t="s">
        <v>2177</v>
      </c>
      <c r="G755" s="34">
        <v>7186.0</v>
      </c>
      <c r="H755" s="34" t="s">
        <v>2178</v>
      </c>
      <c r="I755" s="34" t="s">
        <v>17</v>
      </c>
      <c r="J755" s="34" t="s">
        <v>13</v>
      </c>
      <c r="K755" s="9"/>
      <c r="L755" s="45">
        <v>79.6</v>
      </c>
      <c r="M755" s="45">
        <v>79.6</v>
      </c>
    </row>
    <row r="756">
      <c r="A756" s="34" t="s">
        <v>70</v>
      </c>
      <c r="B756" s="34" t="s">
        <v>161</v>
      </c>
      <c r="C756" s="34">
        <v>7.0</v>
      </c>
      <c r="D756" s="34" t="s">
        <v>162</v>
      </c>
      <c r="E756" s="34" t="s">
        <v>2179</v>
      </c>
      <c r="F756" s="34" t="s">
        <v>2180</v>
      </c>
      <c r="G756" s="34">
        <v>7010.0</v>
      </c>
      <c r="H756" s="34" t="s">
        <v>2161</v>
      </c>
      <c r="I756" s="34" t="s">
        <v>17</v>
      </c>
      <c r="J756" s="34" t="s">
        <v>15</v>
      </c>
      <c r="K756" s="45">
        <v>110.1</v>
      </c>
      <c r="L756" s="9"/>
      <c r="M756" s="45">
        <v>110.1</v>
      </c>
    </row>
    <row r="757">
      <c r="A757" s="34" t="s">
        <v>70</v>
      </c>
      <c r="B757" s="34" t="s">
        <v>169</v>
      </c>
      <c r="C757" s="34">
        <v>8.0</v>
      </c>
      <c r="D757" s="34" t="s">
        <v>170</v>
      </c>
      <c r="E757" s="34" t="s">
        <v>2181</v>
      </c>
      <c r="F757" s="34" t="s">
        <v>2182</v>
      </c>
      <c r="G757" s="34">
        <v>8105.0</v>
      </c>
      <c r="H757" s="34" t="s">
        <v>173</v>
      </c>
      <c r="I757" s="34" t="s">
        <v>18</v>
      </c>
      <c r="J757" s="34" t="s">
        <v>13</v>
      </c>
      <c r="K757" s="9"/>
      <c r="L757" s="45">
        <v>73.1</v>
      </c>
      <c r="M757" s="45">
        <v>73.1</v>
      </c>
    </row>
    <row r="758">
      <c r="A758" s="34" t="s">
        <v>70</v>
      </c>
      <c r="B758" s="34" t="s">
        <v>169</v>
      </c>
      <c r="C758" s="34">
        <v>8.0</v>
      </c>
      <c r="D758" s="34" t="s">
        <v>170</v>
      </c>
      <c r="E758" s="34" t="s">
        <v>2183</v>
      </c>
      <c r="F758" s="34" t="s">
        <v>2184</v>
      </c>
      <c r="G758" s="34">
        <v>8409.0</v>
      </c>
      <c r="H758" s="34" t="s">
        <v>179</v>
      </c>
      <c r="I758" s="34" t="s">
        <v>18</v>
      </c>
      <c r="J758" s="34" t="s">
        <v>13</v>
      </c>
      <c r="K758" s="9"/>
      <c r="L758" s="45">
        <v>72.5</v>
      </c>
      <c r="M758" s="45">
        <v>72.5</v>
      </c>
    </row>
    <row r="759">
      <c r="A759" s="34" t="s">
        <v>70</v>
      </c>
      <c r="B759" s="34" t="s">
        <v>169</v>
      </c>
      <c r="C759" s="34">
        <v>8.0</v>
      </c>
      <c r="D759" s="34" t="s">
        <v>170</v>
      </c>
      <c r="E759" s="34" t="s">
        <v>2185</v>
      </c>
      <c r="F759" s="34" t="s">
        <v>595</v>
      </c>
      <c r="G759" s="34">
        <v>8490.0</v>
      </c>
      <c r="H759" s="34" t="s">
        <v>2186</v>
      </c>
      <c r="I759" s="34" t="s">
        <v>17</v>
      </c>
      <c r="J759" s="34" t="s">
        <v>13</v>
      </c>
      <c r="K759" s="9"/>
      <c r="L759" s="45">
        <v>79.8</v>
      </c>
      <c r="M759" s="45">
        <v>79.8</v>
      </c>
    </row>
    <row r="760">
      <c r="A760" s="34" t="s">
        <v>70</v>
      </c>
      <c r="B760" s="34" t="s">
        <v>182</v>
      </c>
      <c r="C760" s="34">
        <v>9.0</v>
      </c>
      <c r="D760" s="34" t="s">
        <v>183</v>
      </c>
      <c r="E760" s="34" t="s">
        <v>2187</v>
      </c>
      <c r="F760" s="34" t="s">
        <v>2188</v>
      </c>
      <c r="G760" s="34">
        <v>9121.0</v>
      </c>
      <c r="H760" s="34" t="s">
        <v>2189</v>
      </c>
      <c r="I760" s="34" t="s">
        <v>18</v>
      </c>
      <c r="J760" s="34" t="s">
        <v>13</v>
      </c>
      <c r="K760" s="9"/>
      <c r="L760" s="45">
        <v>84.9</v>
      </c>
      <c r="M760" s="45">
        <v>84.9</v>
      </c>
    </row>
    <row r="761">
      <c r="A761" s="34" t="s">
        <v>70</v>
      </c>
      <c r="B761" s="34" t="s">
        <v>182</v>
      </c>
      <c r="C761" s="34">
        <v>9.0</v>
      </c>
      <c r="D761" s="34" t="s">
        <v>183</v>
      </c>
      <c r="E761" s="34" t="s">
        <v>2190</v>
      </c>
      <c r="F761" s="34" t="s">
        <v>2191</v>
      </c>
      <c r="G761" s="34">
        <v>9261.0</v>
      </c>
      <c r="H761" s="34" t="s">
        <v>2192</v>
      </c>
      <c r="I761" s="34" t="s">
        <v>18</v>
      </c>
      <c r="J761" s="34" t="s">
        <v>13</v>
      </c>
      <c r="K761" s="9"/>
      <c r="L761" s="45">
        <v>90.0</v>
      </c>
      <c r="M761" s="45">
        <v>90.0</v>
      </c>
    </row>
    <row r="762">
      <c r="A762" s="34" t="s">
        <v>70</v>
      </c>
      <c r="B762" s="34" t="s">
        <v>182</v>
      </c>
      <c r="C762" s="34">
        <v>9.0</v>
      </c>
      <c r="D762" s="34" t="s">
        <v>183</v>
      </c>
      <c r="E762" s="34" t="s">
        <v>2193</v>
      </c>
      <c r="F762" s="34" t="s">
        <v>2194</v>
      </c>
      <c r="G762" s="34">
        <v>9282.0</v>
      </c>
      <c r="H762" s="34" t="s">
        <v>2195</v>
      </c>
      <c r="I762" s="34" t="s">
        <v>18</v>
      </c>
      <c r="J762" s="34" t="s">
        <v>13</v>
      </c>
      <c r="K762" s="9"/>
      <c r="L762" s="45">
        <v>98.4</v>
      </c>
      <c r="M762" s="45">
        <v>98.4</v>
      </c>
    </row>
    <row r="763">
      <c r="A763" s="34" t="s">
        <v>70</v>
      </c>
      <c r="B763" s="34" t="s">
        <v>182</v>
      </c>
      <c r="C763" s="34">
        <v>9.0</v>
      </c>
      <c r="D763" s="34" t="s">
        <v>183</v>
      </c>
      <c r="E763" s="34" t="s">
        <v>2196</v>
      </c>
      <c r="F763" s="34" t="s">
        <v>2197</v>
      </c>
      <c r="G763" s="34">
        <v>9225.0</v>
      </c>
      <c r="H763" s="34" t="s">
        <v>186</v>
      </c>
      <c r="I763" s="34" t="s">
        <v>17</v>
      </c>
      <c r="J763" s="34" t="s">
        <v>15</v>
      </c>
      <c r="K763" s="45">
        <v>109.5</v>
      </c>
      <c r="L763" s="9"/>
      <c r="M763" s="45">
        <v>109.5</v>
      </c>
    </row>
    <row r="764">
      <c r="A764" s="34" t="s">
        <v>70</v>
      </c>
      <c r="B764" s="34" t="s">
        <v>169</v>
      </c>
      <c r="C764" s="34">
        <v>10.0</v>
      </c>
      <c r="D764" s="34" t="s">
        <v>187</v>
      </c>
      <c r="E764" s="34" t="s">
        <v>2198</v>
      </c>
      <c r="F764" s="34" t="s">
        <v>2199</v>
      </c>
      <c r="G764" s="34">
        <v>10323.0</v>
      </c>
      <c r="H764" s="34" t="s">
        <v>2200</v>
      </c>
      <c r="I764" s="34" t="s">
        <v>18</v>
      </c>
      <c r="J764" s="34" t="s">
        <v>15</v>
      </c>
      <c r="K764" s="45">
        <v>100.3</v>
      </c>
      <c r="L764" s="9"/>
      <c r="M764" s="45">
        <v>100.3</v>
      </c>
    </row>
    <row r="765">
      <c r="A765" s="34" t="s">
        <v>70</v>
      </c>
      <c r="B765" s="34" t="s">
        <v>169</v>
      </c>
      <c r="C765" s="34">
        <v>10.0</v>
      </c>
      <c r="D765" s="34" t="s">
        <v>187</v>
      </c>
      <c r="E765" s="34" t="s">
        <v>2201</v>
      </c>
      <c r="F765" s="34" t="s">
        <v>2202</v>
      </c>
      <c r="G765" s="34">
        <v>10387.0</v>
      </c>
      <c r="H765" s="34" t="s">
        <v>193</v>
      </c>
      <c r="I765" s="34" t="s">
        <v>18</v>
      </c>
      <c r="J765" s="34" t="s">
        <v>14</v>
      </c>
      <c r="K765" s="45">
        <v>106.7</v>
      </c>
      <c r="L765" s="45">
        <v>81.9</v>
      </c>
      <c r="M765" s="45">
        <v>95.9</v>
      </c>
    </row>
    <row r="766">
      <c r="A766" s="34" t="s">
        <v>70</v>
      </c>
      <c r="B766" s="34" t="s">
        <v>483</v>
      </c>
      <c r="C766" s="34">
        <v>11.0</v>
      </c>
      <c r="D766" s="34" t="s">
        <v>2203</v>
      </c>
      <c r="E766" s="34" t="s">
        <v>2204</v>
      </c>
      <c r="F766" s="34" t="s">
        <v>2205</v>
      </c>
      <c r="G766" s="34">
        <v>11206.0</v>
      </c>
      <c r="H766" s="34" t="s">
        <v>2206</v>
      </c>
      <c r="I766" s="34" t="s">
        <v>18</v>
      </c>
      <c r="J766" s="34" t="s">
        <v>14</v>
      </c>
      <c r="K766" s="45">
        <v>107.0</v>
      </c>
      <c r="L766" s="45">
        <v>82.7</v>
      </c>
      <c r="M766" s="45">
        <v>103.6</v>
      </c>
    </row>
    <row r="767">
      <c r="A767" s="34" t="s">
        <v>70</v>
      </c>
      <c r="B767" s="34" t="s">
        <v>182</v>
      </c>
      <c r="C767" s="34">
        <v>12.0</v>
      </c>
      <c r="D767" s="34" t="s">
        <v>200</v>
      </c>
      <c r="E767" s="34" t="s">
        <v>2207</v>
      </c>
      <c r="F767" s="34" t="s">
        <v>218</v>
      </c>
      <c r="G767" s="34">
        <v>12202.0</v>
      </c>
      <c r="H767" s="34" t="s">
        <v>206</v>
      </c>
      <c r="I767" s="34" t="s">
        <v>17</v>
      </c>
      <c r="J767" s="34" t="s">
        <v>13</v>
      </c>
      <c r="K767" s="9"/>
      <c r="L767" s="45">
        <v>109.0</v>
      </c>
      <c r="M767" s="45">
        <v>109.0</v>
      </c>
    </row>
    <row r="768">
      <c r="A768" s="34" t="s">
        <v>70</v>
      </c>
      <c r="B768" s="34" t="s">
        <v>182</v>
      </c>
      <c r="C768" s="34">
        <v>12.0</v>
      </c>
      <c r="D768" s="34" t="s">
        <v>200</v>
      </c>
      <c r="E768" s="34" t="s">
        <v>2208</v>
      </c>
      <c r="F768" s="34" t="s">
        <v>2209</v>
      </c>
      <c r="G768" s="34">
        <v>12202.0</v>
      </c>
      <c r="H768" s="34" t="s">
        <v>206</v>
      </c>
      <c r="I768" s="34" t="s">
        <v>17</v>
      </c>
      <c r="J768" s="34" t="s">
        <v>13</v>
      </c>
      <c r="K768" s="9"/>
      <c r="L768" s="45">
        <v>103.5</v>
      </c>
      <c r="M768" s="45">
        <v>103.5</v>
      </c>
    </row>
    <row r="769">
      <c r="A769" s="34" t="s">
        <v>70</v>
      </c>
      <c r="B769" s="34" t="s">
        <v>182</v>
      </c>
      <c r="C769" s="34">
        <v>12.0</v>
      </c>
      <c r="D769" s="34" t="s">
        <v>200</v>
      </c>
      <c r="E769" s="34" t="s">
        <v>2210</v>
      </c>
      <c r="F769" s="34" t="s">
        <v>2211</v>
      </c>
      <c r="G769" s="34">
        <v>12202.0</v>
      </c>
      <c r="H769" s="34" t="s">
        <v>206</v>
      </c>
      <c r="I769" s="34" t="s">
        <v>17</v>
      </c>
      <c r="J769" s="34" t="s">
        <v>15</v>
      </c>
      <c r="K769" s="45">
        <v>117.3</v>
      </c>
      <c r="L769" s="9"/>
      <c r="M769" s="45">
        <v>117.3</v>
      </c>
    </row>
    <row r="770">
      <c r="A770" s="34" t="s">
        <v>70</v>
      </c>
      <c r="B770" s="34" t="s">
        <v>129</v>
      </c>
      <c r="C770" s="34">
        <v>13.0</v>
      </c>
      <c r="D770" s="34" t="s">
        <v>219</v>
      </c>
      <c r="E770" s="34" t="s">
        <v>2212</v>
      </c>
      <c r="F770" s="34" t="s">
        <v>2213</v>
      </c>
      <c r="G770" s="34">
        <v>13001.0</v>
      </c>
      <c r="H770" s="34" t="s">
        <v>242</v>
      </c>
      <c r="I770" s="34" t="s">
        <v>18</v>
      </c>
      <c r="J770" s="34" t="s">
        <v>14</v>
      </c>
      <c r="K770" s="45">
        <v>127.0</v>
      </c>
      <c r="L770" s="45">
        <v>101.8</v>
      </c>
      <c r="M770" s="45">
        <v>124.0</v>
      </c>
    </row>
    <row r="771">
      <c r="A771" s="34" t="s">
        <v>70</v>
      </c>
      <c r="B771" s="34" t="s">
        <v>129</v>
      </c>
      <c r="C771" s="34">
        <v>13.0</v>
      </c>
      <c r="D771" s="34" t="s">
        <v>219</v>
      </c>
      <c r="E771" s="34" t="s">
        <v>2214</v>
      </c>
      <c r="F771" s="34" t="s">
        <v>2215</v>
      </c>
      <c r="G771" s="34">
        <v>13001.0</v>
      </c>
      <c r="H771" s="34" t="s">
        <v>242</v>
      </c>
      <c r="I771" s="34" t="s">
        <v>18</v>
      </c>
      <c r="J771" s="34" t="s">
        <v>15</v>
      </c>
      <c r="K771" s="45">
        <v>123.8</v>
      </c>
      <c r="L771" s="9"/>
      <c r="M771" s="45">
        <v>123.8</v>
      </c>
    </row>
    <row r="772">
      <c r="A772" s="34" t="s">
        <v>70</v>
      </c>
      <c r="B772" s="34" t="s">
        <v>129</v>
      </c>
      <c r="C772" s="34">
        <v>13.0</v>
      </c>
      <c r="D772" s="34" t="s">
        <v>219</v>
      </c>
      <c r="E772" s="34" t="s">
        <v>2216</v>
      </c>
      <c r="F772" s="34" t="s">
        <v>2217</v>
      </c>
      <c r="G772" s="34">
        <v>13207.0</v>
      </c>
      <c r="H772" s="34" t="s">
        <v>2218</v>
      </c>
      <c r="I772" s="34" t="s">
        <v>18</v>
      </c>
      <c r="J772" s="34" t="s">
        <v>14</v>
      </c>
      <c r="K772" s="45">
        <v>105.6</v>
      </c>
      <c r="L772" s="45">
        <v>85.3</v>
      </c>
      <c r="M772" s="45">
        <v>95.9</v>
      </c>
    </row>
    <row r="773">
      <c r="A773" s="34" t="s">
        <v>70</v>
      </c>
      <c r="B773" s="34" t="s">
        <v>129</v>
      </c>
      <c r="C773" s="34">
        <v>13.0</v>
      </c>
      <c r="D773" s="34" t="s">
        <v>219</v>
      </c>
      <c r="E773" s="34" t="s">
        <v>2219</v>
      </c>
      <c r="F773" s="34" t="s">
        <v>2220</v>
      </c>
      <c r="G773" s="34">
        <v>13203.0</v>
      </c>
      <c r="H773" s="34" t="s">
        <v>2221</v>
      </c>
      <c r="I773" s="34" t="s">
        <v>18</v>
      </c>
      <c r="J773" s="34" t="s">
        <v>13</v>
      </c>
      <c r="K773" s="9"/>
      <c r="L773" s="45">
        <v>64.2</v>
      </c>
      <c r="M773" s="45">
        <v>64.2</v>
      </c>
    </row>
    <row r="774">
      <c r="A774" s="34" t="s">
        <v>70</v>
      </c>
      <c r="B774" s="34" t="s">
        <v>129</v>
      </c>
      <c r="C774" s="34">
        <v>13.0</v>
      </c>
      <c r="D774" s="34" t="s">
        <v>219</v>
      </c>
      <c r="E774" s="34" t="s">
        <v>2222</v>
      </c>
      <c r="F774" s="34" t="s">
        <v>2223</v>
      </c>
      <c r="G774" s="34">
        <v>13216.0</v>
      </c>
      <c r="H774" s="34" t="s">
        <v>2224</v>
      </c>
      <c r="I774" s="34" t="s">
        <v>18</v>
      </c>
      <c r="J774" s="34" t="s">
        <v>13</v>
      </c>
      <c r="K774" s="9"/>
      <c r="L774" s="45">
        <v>71.2</v>
      </c>
      <c r="M774" s="45">
        <v>71.2</v>
      </c>
    </row>
    <row r="775">
      <c r="A775" s="34" t="s">
        <v>70</v>
      </c>
      <c r="B775" s="34" t="s">
        <v>129</v>
      </c>
      <c r="C775" s="34">
        <v>13.0</v>
      </c>
      <c r="D775" s="34" t="s">
        <v>219</v>
      </c>
      <c r="E775" s="34" t="s">
        <v>2225</v>
      </c>
      <c r="F775" s="34" t="s">
        <v>2226</v>
      </c>
      <c r="G775" s="34">
        <v>13207.0</v>
      </c>
      <c r="H775" s="34" t="s">
        <v>2218</v>
      </c>
      <c r="I775" s="34" t="s">
        <v>18</v>
      </c>
      <c r="J775" s="34" t="s">
        <v>13</v>
      </c>
      <c r="K775" s="9"/>
      <c r="L775" s="45">
        <v>68.4</v>
      </c>
      <c r="M775" s="45">
        <v>68.4</v>
      </c>
    </row>
    <row r="776">
      <c r="A776" s="34" t="s">
        <v>70</v>
      </c>
      <c r="B776" s="34" t="s">
        <v>129</v>
      </c>
      <c r="C776" s="34">
        <v>13.0</v>
      </c>
      <c r="D776" s="34" t="s">
        <v>219</v>
      </c>
      <c r="E776" s="34" t="s">
        <v>2227</v>
      </c>
      <c r="F776" s="34" t="s">
        <v>2228</v>
      </c>
      <c r="G776" s="34">
        <v>13210.0</v>
      </c>
      <c r="H776" s="34" t="s">
        <v>231</v>
      </c>
      <c r="I776" s="34" t="s">
        <v>18</v>
      </c>
      <c r="J776" s="34" t="s">
        <v>13</v>
      </c>
      <c r="K776" s="9"/>
      <c r="L776" s="45">
        <v>71.1</v>
      </c>
      <c r="M776" s="45">
        <v>71.1</v>
      </c>
    </row>
    <row r="777">
      <c r="A777" s="34" t="s">
        <v>70</v>
      </c>
      <c r="B777" s="34" t="s">
        <v>129</v>
      </c>
      <c r="C777" s="34">
        <v>13.0</v>
      </c>
      <c r="D777" s="34" t="s">
        <v>219</v>
      </c>
      <c r="E777" s="34" t="s">
        <v>2229</v>
      </c>
      <c r="F777" s="34" t="s">
        <v>2230</v>
      </c>
      <c r="G777" s="34">
        <v>13077.0</v>
      </c>
      <c r="H777" s="34" t="s">
        <v>2231</v>
      </c>
      <c r="I777" s="34" t="s">
        <v>18</v>
      </c>
      <c r="J777" s="34" t="s">
        <v>13</v>
      </c>
      <c r="K777" s="9"/>
      <c r="L777" s="45">
        <v>77.7</v>
      </c>
      <c r="M777" s="45">
        <v>77.7</v>
      </c>
    </row>
    <row r="778">
      <c r="A778" s="34" t="s">
        <v>70</v>
      </c>
      <c r="B778" s="34" t="s">
        <v>129</v>
      </c>
      <c r="C778" s="34">
        <v>13.0</v>
      </c>
      <c r="D778" s="34" t="s">
        <v>219</v>
      </c>
      <c r="E778" s="34" t="s">
        <v>2232</v>
      </c>
      <c r="F778" s="34" t="s">
        <v>2233</v>
      </c>
      <c r="G778" s="34">
        <v>13092.0</v>
      </c>
      <c r="H778" s="34" t="s">
        <v>2234</v>
      </c>
      <c r="I778" s="34" t="s">
        <v>18</v>
      </c>
      <c r="J778" s="34" t="s">
        <v>13</v>
      </c>
      <c r="K778" s="9"/>
      <c r="L778" s="45">
        <v>81.7</v>
      </c>
      <c r="M778" s="45">
        <v>81.7</v>
      </c>
    </row>
    <row r="779">
      <c r="A779" s="34" t="s">
        <v>70</v>
      </c>
      <c r="B779" s="34" t="s">
        <v>129</v>
      </c>
      <c r="C779" s="34">
        <v>13.0</v>
      </c>
      <c r="D779" s="34" t="s">
        <v>219</v>
      </c>
      <c r="E779" s="34" t="s">
        <v>2235</v>
      </c>
      <c r="F779" s="34" t="s">
        <v>2236</v>
      </c>
      <c r="G779" s="34">
        <v>13103.0</v>
      </c>
      <c r="H779" s="34" t="s">
        <v>250</v>
      </c>
      <c r="I779" s="34" t="s">
        <v>18</v>
      </c>
      <c r="J779" s="34" t="s">
        <v>14</v>
      </c>
      <c r="K779" s="45">
        <v>126.7</v>
      </c>
      <c r="L779" s="45">
        <v>91.7</v>
      </c>
      <c r="M779" s="45">
        <v>116.1</v>
      </c>
    </row>
    <row r="780">
      <c r="A780" s="34" t="s">
        <v>70</v>
      </c>
      <c r="B780" s="34" t="s">
        <v>129</v>
      </c>
      <c r="C780" s="34">
        <v>13.0</v>
      </c>
      <c r="D780" s="34" t="s">
        <v>219</v>
      </c>
      <c r="E780" s="34" t="s">
        <v>2237</v>
      </c>
      <c r="F780" s="34" t="s">
        <v>2238</v>
      </c>
      <c r="G780" s="34">
        <v>13208.0</v>
      </c>
      <c r="H780" s="34" t="s">
        <v>2239</v>
      </c>
      <c r="I780" s="34" t="s">
        <v>18</v>
      </c>
      <c r="J780" s="34" t="s">
        <v>15</v>
      </c>
      <c r="K780" s="45">
        <v>114.6</v>
      </c>
      <c r="L780" s="9"/>
      <c r="M780" s="45">
        <v>114.6</v>
      </c>
    </row>
    <row r="781">
      <c r="A781" s="34" t="s">
        <v>70</v>
      </c>
      <c r="B781" s="34" t="s">
        <v>129</v>
      </c>
      <c r="C781" s="34">
        <v>13.0</v>
      </c>
      <c r="D781" s="34" t="s">
        <v>219</v>
      </c>
      <c r="E781" s="34" t="s">
        <v>2240</v>
      </c>
      <c r="F781" s="34" t="s">
        <v>2241</v>
      </c>
      <c r="G781" s="34">
        <v>13211.0</v>
      </c>
      <c r="H781" s="34" t="s">
        <v>259</v>
      </c>
      <c r="I781" s="34" t="s">
        <v>17</v>
      </c>
      <c r="J781" s="34" t="s">
        <v>15</v>
      </c>
      <c r="K781" s="45">
        <v>127.5</v>
      </c>
      <c r="L781" s="9"/>
      <c r="M781" s="45">
        <v>127.5</v>
      </c>
    </row>
    <row r="782">
      <c r="A782" s="34" t="s">
        <v>70</v>
      </c>
      <c r="B782" s="34" t="s">
        <v>129</v>
      </c>
      <c r="C782" s="34">
        <v>13.0</v>
      </c>
      <c r="D782" s="34" t="s">
        <v>219</v>
      </c>
      <c r="E782" s="34" t="s">
        <v>2242</v>
      </c>
      <c r="F782" s="34" t="s">
        <v>2243</v>
      </c>
      <c r="G782" s="34">
        <v>13206.0</v>
      </c>
      <c r="H782" s="34" t="s">
        <v>222</v>
      </c>
      <c r="I782" s="34" t="s">
        <v>17</v>
      </c>
      <c r="J782" s="34" t="s">
        <v>15</v>
      </c>
      <c r="K782" s="45">
        <v>108.4</v>
      </c>
      <c r="L782" s="9"/>
      <c r="M782" s="45">
        <v>108.4</v>
      </c>
    </row>
    <row r="783">
      <c r="A783" s="34" t="s">
        <v>70</v>
      </c>
      <c r="B783" s="34" t="s">
        <v>129</v>
      </c>
      <c r="C783" s="34">
        <v>13.0</v>
      </c>
      <c r="D783" s="34" t="s">
        <v>219</v>
      </c>
      <c r="E783" s="34" t="s">
        <v>2244</v>
      </c>
      <c r="F783" s="34" t="s">
        <v>2245</v>
      </c>
      <c r="G783" s="34">
        <v>13205.0</v>
      </c>
      <c r="H783" s="34" t="s">
        <v>228</v>
      </c>
      <c r="I783" s="34" t="s">
        <v>17</v>
      </c>
      <c r="J783" s="34" t="s">
        <v>15</v>
      </c>
      <c r="K783" s="45">
        <v>103.5</v>
      </c>
      <c r="L783" s="9"/>
      <c r="M783" s="45">
        <v>103.5</v>
      </c>
    </row>
    <row r="784">
      <c r="A784" s="34" t="s">
        <v>70</v>
      </c>
      <c r="B784" s="34" t="s">
        <v>129</v>
      </c>
      <c r="C784" s="34">
        <v>13.0</v>
      </c>
      <c r="D784" s="34" t="s">
        <v>219</v>
      </c>
      <c r="E784" s="34" t="s">
        <v>2246</v>
      </c>
      <c r="F784" s="34" t="s">
        <v>2247</v>
      </c>
      <c r="G784" s="34">
        <v>13206.0</v>
      </c>
      <c r="H784" s="34" t="s">
        <v>222</v>
      </c>
      <c r="I784" s="34" t="s">
        <v>17</v>
      </c>
      <c r="J784" s="34" t="s">
        <v>15</v>
      </c>
      <c r="K784" s="45">
        <v>128.2</v>
      </c>
      <c r="L784" s="9"/>
      <c r="M784" s="45">
        <v>128.2</v>
      </c>
    </row>
    <row r="785">
      <c r="A785" s="34" t="s">
        <v>70</v>
      </c>
      <c r="B785" s="34" t="s">
        <v>129</v>
      </c>
      <c r="C785" s="34">
        <v>13.0</v>
      </c>
      <c r="D785" s="34" t="s">
        <v>219</v>
      </c>
      <c r="E785" s="34" t="s">
        <v>2248</v>
      </c>
      <c r="F785" s="34" t="s">
        <v>2249</v>
      </c>
      <c r="G785" s="34">
        <v>13212.0</v>
      </c>
      <c r="H785" s="34" t="s">
        <v>2250</v>
      </c>
      <c r="I785" s="34" t="s">
        <v>17</v>
      </c>
      <c r="J785" s="34" t="s">
        <v>15</v>
      </c>
      <c r="K785" s="45">
        <v>130.6</v>
      </c>
      <c r="L785" s="9"/>
      <c r="M785" s="45">
        <v>130.6</v>
      </c>
    </row>
    <row r="786">
      <c r="A786" s="34" t="s">
        <v>70</v>
      </c>
      <c r="B786" s="34" t="s">
        <v>129</v>
      </c>
      <c r="C786" s="34">
        <v>13.0</v>
      </c>
      <c r="D786" s="34" t="s">
        <v>219</v>
      </c>
      <c r="E786" s="34" t="s">
        <v>2251</v>
      </c>
      <c r="F786" s="34" t="s">
        <v>1009</v>
      </c>
      <c r="G786" s="34">
        <v>13206.0</v>
      </c>
      <c r="H786" s="34" t="s">
        <v>222</v>
      </c>
      <c r="I786" s="34" t="s">
        <v>17</v>
      </c>
      <c r="J786" s="34" t="s">
        <v>14</v>
      </c>
      <c r="K786" s="45">
        <v>86.8</v>
      </c>
      <c r="L786" s="45">
        <v>85.4</v>
      </c>
      <c r="M786" s="45">
        <v>86.2</v>
      </c>
    </row>
    <row r="787">
      <c r="A787" s="34" t="s">
        <v>70</v>
      </c>
      <c r="B787" s="34" t="s">
        <v>129</v>
      </c>
      <c r="C787" s="34">
        <v>13.0</v>
      </c>
      <c r="D787" s="34" t="s">
        <v>219</v>
      </c>
      <c r="E787" s="34" t="s">
        <v>2252</v>
      </c>
      <c r="F787" s="34" t="s">
        <v>2253</v>
      </c>
      <c r="G787" s="34">
        <v>13206.0</v>
      </c>
      <c r="H787" s="34" t="s">
        <v>222</v>
      </c>
      <c r="I787" s="34" t="s">
        <v>17</v>
      </c>
      <c r="J787" s="34" t="s">
        <v>13</v>
      </c>
      <c r="K787" s="9"/>
      <c r="L787" s="45">
        <v>88.2</v>
      </c>
      <c r="M787" s="45">
        <v>88.2</v>
      </c>
    </row>
    <row r="788">
      <c r="A788" s="34" t="s">
        <v>70</v>
      </c>
      <c r="B788" s="34" t="s">
        <v>129</v>
      </c>
      <c r="C788" s="34">
        <v>13.0</v>
      </c>
      <c r="D788" s="34" t="s">
        <v>219</v>
      </c>
      <c r="E788" s="34" t="s">
        <v>2254</v>
      </c>
      <c r="F788" s="34" t="s">
        <v>2255</v>
      </c>
      <c r="G788" s="34">
        <v>13103.0</v>
      </c>
      <c r="H788" s="34" t="s">
        <v>250</v>
      </c>
      <c r="I788" s="34" t="s">
        <v>17</v>
      </c>
      <c r="J788" s="34" t="s">
        <v>13</v>
      </c>
      <c r="K788" s="9"/>
      <c r="L788" s="45">
        <v>97.2</v>
      </c>
      <c r="M788" s="45">
        <v>97.2</v>
      </c>
    </row>
    <row r="789">
      <c r="A789" s="34" t="s">
        <v>70</v>
      </c>
      <c r="B789" s="34" t="s">
        <v>129</v>
      </c>
      <c r="C789" s="34">
        <v>13.0</v>
      </c>
      <c r="D789" s="34" t="s">
        <v>219</v>
      </c>
      <c r="E789" s="34" t="s">
        <v>2256</v>
      </c>
      <c r="F789" s="34" t="s">
        <v>2257</v>
      </c>
      <c r="G789" s="34">
        <v>13106.0</v>
      </c>
      <c r="H789" s="34" t="s">
        <v>2258</v>
      </c>
      <c r="I789" s="34" t="s">
        <v>17</v>
      </c>
      <c r="J789" s="34" t="s">
        <v>13</v>
      </c>
      <c r="K789" s="9"/>
      <c r="L789" s="45">
        <v>89.2</v>
      </c>
      <c r="M789" s="45">
        <v>89.2</v>
      </c>
    </row>
    <row r="790">
      <c r="A790" s="34" t="s">
        <v>70</v>
      </c>
      <c r="B790" s="34" t="s">
        <v>129</v>
      </c>
      <c r="C790" s="34">
        <v>13.0</v>
      </c>
      <c r="D790" s="34" t="s">
        <v>219</v>
      </c>
      <c r="E790" s="34" t="s">
        <v>2259</v>
      </c>
      <c r="F790" s="34" t="s">
        <v>2260</v>
      </c>
      <c r="G790" s="34">
        <v>13054.0</v>
      </c>
      <c r="H790" s="34" t="s">
        <v>2261</v>
      </c>
      <c r="I790" s="34" t="s">
        <v>18</v>
      </c>
      <c r="J790" s="34" t="s">
        <v>14</v>
      </c>
      <c r="K790" s="45">
        <v>107.3</v>
      </c>
      <c r="L790" s="45">
        <v>83.6</v>
      </c>
      <c r="M790" s="45">
        <v>100.3</v>
      </c>
    </row>
    <row r="791">
      <c r="A791" s="34" t="s">
        <v>70</v>
      </c>
      <c r="B791" s="34" t="s">
        <v>129</v>
      </c>
      <c r="C791" s="34">
        <v>13.0</v>
      </c>
      <c r="D791" s="34" t="s">
        <v>219</v>
      </c>
      <c r="E791" s="34" t="s">
        <v>2262</v>
      </c>
      <c r="F791" s="34" t="s">
        <v>2263</v>
      </c>
      <c r="G791" s="34">
        <v>13047.0</v>
      </c>
      <c r="H791" s="34" t="s">
        <v>2264</v>
      </c>
      <c r="I791" s="34" t="s">
        <v>18</v>
      </c>
      <c r="J791" s="34" t="s">
        <v>15</v>
      </c>
      <c r="K791" s="45">
        <v>108.9</v>
      </c>
      <c r="L791" s="9"/>
      <c r="M791" s="45">
        <v>108.9</v>
      </c>
    </row>
    <row r="792">
      <c r="A792" s="34" t="s">
        <v>70</v>
      </c>
      <c r="B792" s="34" t="s">
        <v>129</v>
      </c>
      <c r="C792" s="34">
        <v>13.0</v>
      </c>
      <c r="D792" s="34" t="s">
        <v>219</v>
      </c>
      <c r="E792" s="34" t="s">
        <v>2265</v>
      </c>
      <c r="F792" s="34" t="s">
        <v>2266</v>
      </c>
      <c r="G792" s="34">
        <v>13117.0</v>
      </c>
      <c r="H792" s="34" t="s">
        <v>2267</v>
      </c>
      <c r="I792" s="34" t="s">
        <v>17</v>
      </c>
      <c r="J792" s="34" t="s">
        <v>14</v>
      </c>
      <c r="K792" s="45">
        <v>103.9</v>
      </c>
      <c r="L792" s="45">
        <v>90.2</v>
      </c>
      <c r="M792" s="45">
        <v>93.1</v>
      </c>
    </row>
    <row r="793">
      <c r="A793" s="34" t="s">
        <v>70</v>
      </c>
      <c r="B793" s="34" t="s">
        <v>129</v>
      </c>
      <c r="C793" s="34">
        <v>13.0</v>
      </c>
      <c r="D793" s="34" t="s">
        <v>219</v>
      </c>
      <c r="E793" s="34" t="s">
        <v>2268</v>
      </c>
      <c r="F793" s="34" t="s">
        <v>2269</v>
      </c>
      <c r="G793" s="34">
        <v>13212.0</v>
      </c>
      <c r="H793" s="34" t="s">
        <v>2250</v>
      </c>
      <c r="I793" s="34" t="s">
        <v>17</v>
      </c>
      <c r="J793" s="34" t="s">
        <v>15</v>
      </c>
      <c r="K793" s="45">
        <v>93.7</v>
      </c>
      <c r="L793" s="9"/>
      <c r="M793" s="45">
        <v>93.7</v>
      </c>
    </row>
    <row r="794">
      <c r="A794" s="34" t="s">
        <v>70</v>
      </c>
      <c r="B794" s="34" t="s">
        <v>129</v>
      </c>
      <c r="C794" s="34">
        <v>13.0</v>
      </c>
      <c r="D794" s="34" t="s">
        <v>219</v>
      </c>
      <c r="E794" s="34" t="s">
        <v>2270</v>
      </c>
      <c r="F794" s="34" t="s">
        <v>2271</v>
      </c>
      <c r="G794" s="34">
        <v>13215.0</v>
      </c>
      <c r="H794" s="34" t="s">
        <v>2272</v>
      </c>
      <c r="I794" s="34" t="s">
        <v>17</v>
      </c>
      <c r="J794" s="34" t="s">
        <v>15</v>
      </c>
      <c r="K794" s="45">
        <v>93.1</v>
      </c>
      <c r="L794" s="9"/>
      <c r="M794" s="45">
        <v>93.1</v>
      </c>
    </row>
    <row r="795">
      <c r="A795" s="34" t="s">
        <v>70</v>
      </c>
      <c r="B795" s="34" t="s">
        <v>129</v>
      </c>
      <c r="C795" s="34">
        <v>13.0</v>
      </c>
      <c r="D795" s="34" t="s">
        <v>219</v>
      </c>
      <c r="E795" s="34" t="s">
        <v>2273</v>
      </c>
      <c r="F795" s="34" t="s">
        <v>2274</v>
      </c>
      <c r="G795" s="34">
        <v>13212.0</v>
      </c>
      <c r="H795" s="34" t="s">
        <v>2250</v>
      </c>
      <c r="I795" s="34" t="s">
        <v>18</v>
      </c>
      <c r="J795" s="34" t="s">
        <v>14</v>
      </c>
      <c r="K795" s="45">
        <v>100.4</v>
      </c>
      <c r="L795" s="45">
        <v>82.1</v>
      </c>
      <c r="M795" s="45">
        <v>98.5</v>
      </c>
    </row>
    <row r="796">
      <c r="A796" s="34" t="s">
        <v>70</v>
      </c>
      <c r="B796" s="34" t="s">
        <v>129</v>
      </c>
      <c r="C796" s="34">
        <v>13.0</v>
      </c>
      <c r="D796" s="34" t="s">
        <v>219</v>
      </c>
      <c r="E796" s="34" t="s">
        <v>2275</v>
      </c>
      <c r="F796" s="34" t="s">
        <v>2276</v>
      </c>
      <c r="G796" s="34">
        <v>13215.0</v>
      </c>
      <c r="H796" s="34" t="s">
        <v>2272</v>
      </c>
      <c r="I796" s="34" t="s">
        <v>17</v>
      </c>
      <c r="J796" s="34" t="s">
        <v>14</v>
      </c>
      <c r="K796" s="45">
        <v>74.5</v>
      </c>
      <c r="L796" s="45">
        <v>60.0</v>
      </c>
      <c r="M796" s="45">
        <v>61.3</v>
      </c>
    </row>
    <row r="797">
      <c r="A797" s="34" t="s">
        <v>70</v>
      </c>
      <c r="B797" s="34" t="s">
        <v>129</v>
      </c>
      <c r="C797" s="34">
        <v>13.0</v>
      </c>
      <c r="D797" s="34" t="s">
        <v>219</v>
      </c>
      <c r="E797" s="34" t="s">
        <v>2277</v>
      </c>
      <c r="F797" s="34" t="s">
        <v>2278</v>
      </c>
      <c r="G797" s="34">
        <v>13215.0</v>
      </c>
      <c r="H797" s="34" t="s">
        <v>2272</v>
      </c>
      <c r="I797" s="34" t="s">
        <v>17</v>
      </c>
      <c r="J797" s="34" t="s">
        <v>15</v>
      </c>
      <c r="K797" s="45">
        <v>87.4</v>
      </c>
      <c r="L797" s="9"/>
      <c r="M797" s="45">
        <v>87.4</v>
      </c>
    </row>
    <row r="798">
      <c r="A798" s="34" t="s">
        <v>70</v>
      </c>
      <c r="B798" s="34" t="s">
        <v>129</v>
      </c>
      <c r="C798" s="34">
        <v>13.0</v>
      </c>
      <c r="D798" s="34" t="s">
        <v>219</v>
      </c>
      <c r="E798" s="34" t="s">
        <v>2279</v>
      </c>
      <c r="F798" s="34" t="s">
        <v>2280</v>
      </c>
      <c r="G798" s="34">
        <v>13209.0</v>
      </c>
      <c r="H798" s="34" t="s">
        <v>247</v>
      </c>
      <c r="I798" s="34" t="s">
        <v>17</v>
      </c>
      <c r="J798" s="34" t="s">
        <v>15</v>
      </c>
      <c r="K798" s="45">
        <v>111.1</v>
      </c>
      <c r="L798" s="9"/>
      <c r="M798" s="45">
        <v>111.1</v>
      </c>
    </row>
    <row r="799">
      <c r="A799" s="34" t="s">
        <v>70</v>
      </c>
      <c r="B799" s="34" t="s">
        <v>129</v>
      </c>
      <c r="C799" s="34">
        <v>13.0</v>
      </c>
      <c r="D799" s="34" t="s">
        <v>219</v>
      </c>
      <c r="E799" s="34" t="s">
        <v>2281</v>
      </c>
      <c r="F799" s="34" t="s">
        <v>2282</v>
      </c>
      <c r="G799" s="34">
        <v>13027.0</v>
      </c>
      <c r="H799" s="34" t="s">
        <v>2283</v>
      </c>
      <c r="I799" s="34" t="s">
        <v>18</v>
      </c>
      <c r="J799" s="34" t="s">
        <v>15</v>
      </c>
      <c r="K799" s="45">
        <v>115.9</v>
      </c>
      <c r="L799" s="9"/>
      <c r="M799" s="45">
        <v>115.9</v>
      </c>
    </row>
    <row r="800">
      <c r="A800" s="34" t="s">
        <v>70</v>
      </c>
      <c r="B800" s="34" t="s">
        <v>129</v>
      </c>
      <c r="C800" s="34">
        <v>13.0</v>
      </c>
      <c r="D800" s="34" t="s">
        <v>219</v>
      </c>
      <c r="E800" s="34" t="s">
        <v>2284</v>
      </c>
      <c r="F800" s="34" t="s">
        <v>2285</v>
      </c>
      <c r="G800" s="34">
        <v>13002.0</v>
      </c>
      <c r="H800" s="34" t="s">
        <v>2286</v>
      </c>
      <c r="I800" s="34" t="s">
        <v>18</v>
      </c>
      <c r="J800" s="34" t="s">
        <v>15</v>
      </c>
      <c r="K800" s="45">
        <v>127.3</v>
      </c>
      <c r="L800" s="9"/>
      <c r="M800" s="45">
        <v>127.3</v>
      </c>
    </row>
    <row r="801">
      <c r="A801" s="34" t="s">
        <v>70</v>
      </c>
      <c r="B801" s="34" t="s">
        <v>269</v>
      </c>
      <c r="C801" s="34">
        <v>14.0</v>
      </c>
      <c r="D801" s="34" t="s">
        <v>270</v>
      </c>
      <c r="E801" s="34" t="s">
        <v>2287</v>
      </c>
      <c r="F801" s="34" t="s">
        <v>2288</v>
      </c>
      <c r="G801" s="34">
        <v>14047.0</v>
      </c>
      <c r="H801" s="34" t="s">
        <v>2289</v>
      </c>
      <c r="I801" s="34" t="s">
        <v>17</v>
      </c>
      <c r="J801" s="34" t="s">
        <v>15</v>
      </c>
      <c r="K801" s="45">
        <v>108.8</v>
      </c>
      <c r="L801" s="9"/>
      <c r="M801" s="45">
        <v>108.8</v>
      </c>
    </row>
    <row r="802">
      <c r="A802" s="34" t="s">
        <v>70</v>
      </c>
      <c r="B802" s="34" t="s">
        <v>269</v>
      </c>
      <c r="C802" s="34">
        <v>14.0</v>
      </c>
      <c r="D802" s="34" t="s">
        <v>270</v>
      </c>
      <c r="E802" s="34" t="s">
        <v>2290</v>
      </c>
      <c r="F802" s="34" t="s">
        <v>2291</v>
      </c>
      <c r="G802" s="34">
        <v>14118.0</v>
      </c>
      <c r="H802" s="34" t="s">
        <v>273</v>
      </c>
      <c r="I802" s="34" t="s">
        <v>17</v>
      </c>
      <c r="J802" s="34" t="s">
        <v>15</v>
      </c>
      <c r="K802" s="45">
        <v>106.5</v>
      </c>
      <c r="L802" s="9"/>
      <c r="M802" s="45">
        <v>106.5</v>
      </c>
    </row>
    <row r="803">
      <c r="A803" s="34" t="s">
        <v>70</v>
      </c>
      <c r="B803" s="34" t="s">
        <v>269</v>
      </c>
      <c r="C803" s="34">
        <v>14.0</v>
      </c>
      <c r="D803" s="34" t="s">
        <v>270</v>
      </c>
      <c r="E803" s="34" t="s">
        <v>2292</v>
      </c>
      <c r="F803" s="34" t="s">
        <v>2293</v>
      </c>
      <c r="G803" s="34">
        <v>14118.0</v>
      </c>
      <c r="H803" s="34" t="s">
        <v>273</v>
      </c>
      <c r="I803" s="34" t="s">
        <v>17</v>
      </c>
      <c r="J803" s="34" t="s">
        <v>13</v>
      </c>
      <c r="K803" s="9"/>
      <c r="L803" s="45">
        <v>84.2</v>
      </c>
      <c r="M803" s="45">
        <v>84.2</v>
      </c>
    </row>
    <row r="804">
      <c r="A804" s="34" t="s">
        <v>70</v>
      </c>
      <c r="B804" s="34" t="s">
        <v>269</v>
      </c>
      <c r="C804" s="34">
        <v>14.0</v>
      </c>
      <c r="D804" s="34" t="s">
        <v>270</v>
      </c>
      <c r="E804" s="34" t="s">
        <v>2294</v>
      </c>
      <c r="F804" s="34" t="s">
        <v>2295</v>
      </c>
      <c r="G804" s="34">
        <v>14047.0</v>
      </c>
      <c r="H804" s="34" t="s">
        <v>2289</v>
      </c>
      <c r="I804" s="34" t="s">
        <v>18</v>
      </c>
      <c r="J804" s="34" t="s">
        <v>14</v>
      </c>
      <c r="K804" s="45">
        <v>106.5</v>
      </c>
      <c r="L804" s="45">
        <v>84.9</v>
      </c>
      <c r="M804" s="45">
        <v>95.5</v>
      </c>
    </row>
    <row r="805">
      <c r="A805" s="34" t="s">
        <v>70</v>
      </c>
      <c r="B805" s="34" t="s">
        <v>269</v>
      </c>
      <c r="C805" s="34">
        <v>14.0</v>
      </c>
      <c r="D805" s="34" t="s">
        <v>270</v>
      </c>
      <c r="E805" s="34" t="s">
        <v>2296</v>
      </c>
      <c r="F805" s="34" t="s">
        <v>1251</v>
      </c>
      <c r="G805" s="34">
        <v>14762.0</v>
      </c>
      <c r="H805" s="34" t="s">
        <v>283</v>
      </c>
      <c r="I805" s="34" t="s">
        <v>18</v>
      </c>
      <c r="J805" s="34" t="s">
        <v>15</v>
      </c>
      <c r="K805" s="45">
        <v>108.8</v>
      </c>
      <c r="L805" s="9"/>
      <c r="M805" s="45">
        <v>108.8</v>
      </c>
    </row>
    <row r="806">
      <c r="A806" s="34" t="s">
        <v>70</v>
      </c>
      <c r="B806" s="34" t="s">
        <v>269</v>
      </c>
      <c r="C806" s="34">
        <v>14.0</v>
      </c>
      <c r="D806" s="34" t="s">
        <v>270</v>
      </c>
      <c r="E806" s="34" t="s">
        <v>2297</v>
      </c>
      <c r="F806" s="34" t="s">
        <v>2298</v>
      </c>
      <c r="G806" s="34">
        <v>14118.0</v>
      </c>
      <c r="H806" s="34" t="s">
        <v>273</v>
      </c>
      <c r="I806" s="34" t="s">
        <v>17</v>
      </c>
      <c r="J806" s="34" t="s">
        <v>13</v>
      </c>
      <c r="K806" s="9"/>
      <c r="L806" s="45">
        <v>92.5</v>
      </c>
      <c r="M806" s="45">
        <v>92.5</v>
      </c>
    </row>
    <row r="807">
      <c r="A807" s="34" t="s">
        <v>70</v>
      </c>
      <c r="B807" s="34" t="s">
        <v>269</v>
      </c>
      <c r="C807" s="34">
        <v>14.0</v>
      </c>
      <c r="D807" s="34" t="s">
        <v>270</v>
      </c>
      <c r="E807" s="34" t="s">
        <v>2299</v>
      </c>
      <c r="F807" s="34" t="s">
        <v>2300</v>
      </c>
      <c r="G807" s="34">
        <v>14366.0</v>
      </c>
      <c r="H807" s="34" t="s">
        <v>2301</v>
      </c>
      <c r="I807" s="34" t="s">
        <v>17</v>
      </c>
      <c r="J807" s="34" t="s">
        <v>13</v>
      </c>
      <c r="K807" s="9"/>
      <c r="L807" s="45">
        <v>85.4</v>
      </c>
      <c r="M807" s="45">
        <v>85.4</v>
      </c>
    </row>
    <row r="808">
      <c r="A808" s="34" t="s">
        <v>70</v>
      </c>
      <c r="B808" s="34" t="s">
        <v>269</v>
      </c>
      <c r="C808" s="34">
        <v>14.0</v>
      </c>
      <c r="D808" s="34" t="s">
        <v>270</v>
      </c>
      <c r="E808" s="34" t="s">
        <v>2302</v>
      </c>
      <c r="F808" s="34" t="s">
        <v>2303</v>
      </c>
      <c r="G808" s="34">
        <v>14118.0</v>
      </c>
      <c r="H808" s="34" t="s">
        <v>273</v>
      </c>
      <c r="I808" s="34" t="s">
        <v>18</v>
      </c>
      <c r="J808" s="34" t="s">
        <v>14</v>
      </c>
      <c r="K808" s="45">
        <v>116.5</v>
      </c>
      <c r="L808" s="45">
        <v>94.6</v>
      </c>
      <c r="M808" s="45">
        <v>105.1</v>
      </c>
    </row>
    <row r="809">
      <c r="A809" s="34" t="s">
        <v>70</v>
      </c>
      <c r="B809" s="34" t="s">
        <v>116</v>
      </c>
      <c r="C809" s="34">
        <v>15.0</v>
      </c>
      <c r="D809" s="34" t="s">
        <v>2304</v>
      </c>
      <c r="E809" s="34" t="s">
        <v>2305</v>
      </c>
      <c r="F809" s="34" t="s">
        <v>2306</v>
      </c>
      <c r="G809" s="34">
        <v>15014.0</v>
      </c>
      <c r="H809" s="34" t="s">
        <v>2307</v>
      </c>
      <c r="I809" s="34" t="s">
        <v>18</v>
      </c>
      <c r="J809" s="34" t="s">
        <v>13</v>
      </c>
      <c r="K809" s="9"/>
      <c r="L809" s="45">
        <v>88.6</v>
      </c>
      <c r="M809" s="45">
        <v>88.6</v>
      </c>
    </row>
    <row r="810">
      <c r="A810" s="34" t="s">
        <v>70</v>
      </c>
      <c r="B810" s="34" t="s">
        <v>116</v>
      </c>
      <c r="C810" s="34">
        <v>15.0</v>
      </c>
      <c r="D810" s="34" t="s">
        <v>2304</v>
      </c>
      <c r="E810" s="34" t="s">
        <v>2308</v>
      </c>
      <c r="F810" s="34" t="s">
        <v>2309</v>
      </c>
      <c r="G810" s="34">
        <v>15187.0</v>
      </c>
      <c r="H810" s="34" t="s">
        <v>2310</v>
      </c>
      <c r="I810" s="34" t="s">
        <v>18</v>
      </c>
      <c r="J810" s="34" t="s">
        <v>14</v>
      </c>
      <c r="K810" s="45">
        <v>115.4</v>
      </c>
      <c r="L810" s="45">
        <v>92.0</v>
      </c>
      <c r="M810" s="45">
        <v>111.1</v>
      </c>
    </row>
    <row r="811">
      <c r="A811" s="34" t="s">
        <v>70</v>
      </c>
      <c r="B811" s="34" t="s">
        <v>116</v>
      </c>
      <c r="C811" s="34">
        <v>15.0</v>
      </c>
      <c r="D811" s="34" t="s">
        <v>2304</v>
      </c>
      <c r="E811" s="34" t="s">
        <v>2311</v>
      </c>
      <c r="F811" s="34" t="s">
        <v>2312</v>
      </c>
      <c r="G811" s="34">
        <v>15014.0</v>
      </c>
      <c r="H811" s="34" t="s">
        <v>2307</v>
      </c>
      <c r="I811" s="34" t="s">
        <v>18</v>
      </c>
      <c r="J811" s="34" t="s">
        <v>15</v>
      </c>
      <c r="K811" s="45">
        <v>126.8</v>
      </c>
      <c r="L811" s="9"/>
      <c r="M811" s="45">
        <v>126.8</v>
      </c>
    </row>
    <row r="812">
      <c r="A812" s="34" t="s">
        <v>70</v>
      </c>
      <c r="B812" s="34" t="s">
        <v>284</v>
      </c>
      <c r="C812" s="34">
        <v>16.0</v>
      </c>
      <c r="D812" s="34" t="s">
        <v>285</v>
      </c>
      <c r="E812" s="34" t="s">
        <v>2313</v>
      </c>
      <c r="F812" s="34" t="s">
        <v>2314</v>
      </c>
      <c r="G812" s="34">
        <v>16015.0</v>
      </c>
      <c r="H812" s="34" t="s">
        <v>288</v>
      </c>
      <c r="I812" s="34" t="s">
        <v>18</v>
      </c>
      <c r="J812" s="34" t="s">
        <v>15</v>
      </c>
      <c r="K812" s="45">
        <v>116.7</v>
      </c>
      <c r="L812" s="9"/>
      <c r="M812" s="45">
        <v>116.7</v>
      </c>
    </row>
    <row r="813">
      <c r="A813" s="34" t="s">
        <v>70</v>
      </c>
      <c r="B813" s="34" t="s">
        <v>284</v>
      </c>
      <c r="C813" s="34">
        <v>16.0</v>
      </c>
      <c r="D813" s="34" t="s">
        <v>285</v>
      </c>
      <c r="E813" s="34" t="s">
        <v>2315</v>
      </c>
      <c r="F813" s="34" t="s">
        <v>2316</v>
      </c>
      <c r="G813" s="34">
        <v>16102.0</v>
      </c>
      <c r="H813" s="34" t="s">
        <v>2317</v>
      </c>
      <c r="I813" s="34" t="s">
        <v>18</v>
      </c>
      <c r="J813" s="34" t="s">
        <v>14</v>
      </c>
      <c r="K813" s="45">
        <v>113.7</v>
      </c>
      <c r="L813" s="45">
        <v>95.8</v>
      </c>
      <c r="M813" s="45">
        <v>110.5</v>
      </c>
    </row>
    <row r="814">
      <c r="A814" s="34" t="s">
        <v>70</v>
      </c>
      <c r="B814" s="34" t="s">
        <v>284</v>
      </c>
      <c r="C814" s="34">
        <v>16.0</v>
      </c>
      <c r="D814" s="34" t="s">
        <v>285</v>
      </c>
      <c r="E814" s="34" t="s">
        <v>2318</v>
      </c>
      <c r="F814" s="34" t="s">
        <v>2319</v>
      </c>
      <c r="G814" s="34">
        <v>16015.0</v>
      </c>
      <c r="H814" s="34" t="s">
        <v>288</v>
      </c>
      <c r="I814" s="34" t="s">
        <v>18</v>
      </c>
      <c r="J814" s="34" t="s">
        <v>13</v>
      </c>
      <c r="K814" s="9"/>
      <c r="L814" s="45">
        <v>82.6</v>
      </c>
      <c r="M814" s="45">
        <v>82.6</v>
      </c>
    </row>
    <row r="815">
      <c r="A815" s="34" t="s">
        <v>70</v>
      </c>
      <c r="B815" s="34" t="s">
        <v>284</v>
      </c>
      <c r="C815" s="34">
        <v>17.0</v>
      </c>
      <c r="D815" s="34" t="s">
        <v>291</v>
      </c>
      <c r="E815" s="34" t="s">
        <v>2320</v>
      </c>
      <c r="F815" s="34" t="s">
        <v>2321</v>
      </c>
      <c r="G815" s="34">
        <v>17299.0</v>
      </c>
      <c r="H815" s="34" t="s">
        <v>2322</v>
      </c>
      <c r="I815" s="34" t="s">
        <v>18</v>
      </c>
      <c r="J815" s="34" t="s">
        <v>13</v>
      </c>
      <c r="K815" s="9"/>
      <c r="L815" s="45">
        <v>90.2</v>
      </c>
      <c r="M815" s="45">
        <v>90.2</v>
      </c>
    </row>
    <row r="816">
      <c r="A816" s="34" t="s">
        <v>70</v>
      </c>
      <c r="B816" s="34" t="s">
        <v>284</v>
      </c>
      <c r="C816" s="34">
        <v>17.0</v>
      </c>
      <c r="D816" s="34" t="s">
        <v>291</v>
      </c>
      <c r="E816" s="34" t="s">
        <v>2323</v>
      </c>
      <c r="F816" s="34" t="s">
        <v>2324</v>
      </c>
      <c r="G816" s="34">
        <v>17300.0</v>
      </c>
      <c r="H816" s="34" t="s">
        <v>297</v>
      </c>
      <c r="I816" s="34" t="s">
        <v>18</v>
      </c>
      <c r="J816" s="34" t="s">
        <v>15</v>
      </c>
      <c r="K816" s="45">
        <v>118.1</v>
      </c>
      <c r="L816" s="9"/>
      <c r="M816" s="45">
        <v>118.1</v>
      </c>
    </row>
    <row r="817">
      <c r="A817" s="34" t="s">
        <v>70</v>
      </c>
      <c r="B817" s="34" t="s">
        <v>284</v>
      </c>
      <c r="C817" s="34">
        <v>17.0</v>
      </c>
      <c r="D817" s="34" t="s">
        <v>291</v>
      </c>
      <c r="E817" s="34" t="s">
        <v>2325</v>
      </c>
      <c r="F817" s="34" t="s">
        <v>2326</v>
      </c>
      <c r="G817" s="34">
        <v>17300.0</v>
      </c>
      <c r="H817" s="34" t="s">
        <v>297</v>
      </c>
      <c r="I817" s="34" t="s">
        <v>18</v>
      </c>
      <c r="J817" s="34" t="s">
        <v>13</v>
      </c>
      <c r="K817" s="9"/>
      <c r="L817" s="45">
        <v>86.7</v>
      </c>
      <c r="M817" s="45">
        <v>86.7</v>
      </c>
    </row>
    <row r="818">
      <c r="A818" s="34" t="s">
        <v>70</v>
      </c>
      <c r="B818" s="34" t="s">
        <v>284</v>
      </c>
      <c r="C818" s="34">
        <v>17.0</v>
      </c>
      <c r="D818" s="34" t="s">
        <v>291</v>
      </c>
      <c r="E818" s="34" t="s">
        <v>2327</v>
      </c>
      <c r="F818" s="34" t="s">
        <v>2328</v>
      </c>
      <c r="G818" s="34">
        <v>17415.0</v>
      </c>
      <c r="H818" s="34" t="s">
        <v>2329</v>
      </c>
      <c r="I818" s="34" t="s">
        <v>18</v>
      </c>
      <c r="J818" s="34" t="s">
        <v>13</v>
      </c>
      <c r="K818" s="9"/>
      <c r="L818" s="45">
        <v>93.9</v>
      </c>
      <c r="M818" s="45">
        <v>93.9</v>
      </c>
    </row>
    <row r="819">
      <c r="A819" s="34" t="s">
        <v>70</v>
      </c>
      <c r="B819" s="34" t="s">
        <v>284</v>
      </c>
      <c r="C819" s="34">
        <v>17.0</v>
      </c>
      <c r="D819" s="34" t="s">
        <v>291</v>
      </c>
      <c r="E819" s="34" t="s">
        <v>2330</v>
      </c>
      <c r="F819" s="34" t="s">
        <v>2331</v>
      </c>
      <c r="G819" s="34">
        <v>17415.0</v>
      </c>
      <c r="H819" s="34" t="s">
        <v>2329</v>
      </c>
      <c r="I819" s="34" t="s">
        <v>17</v>
      </c>
      <c r="J819" s="34" t="s">
        <v>15</v>
      </c>
      <c r="K819" s="45">
        <v>117.0</v>
      </c>
      <c r="L819" s="9"/>
      <c r="M819" s="45">
        <v>117.0</v>
      </c>
    </row>
    <row r="820">
      <c r="A820" s="34" t="s">
        <v>70</v>
      </c>
      <c r="B820" s="34" t="s">
        <v>284</v>
      </c>
      <c r="C820" s="34">
        <v>17.0</v>
      </c>
      <c r="D820" s="34" t="s">
        <v>291</v>
      </c>
      <c r="E820" s="34" t="s">
        <v>2332</v>
      </c>
      <c r="F820" s="34" t="s">
        <v>2333</v>
      </c>
      <c r="G820" s="34">
        <v>17300.0</v>
      </c>
      <c r="H820" s="34" t="s">
        <v>297</v>
      </c>
      <c r="I820" s="34" t="s">
        <v>18</v>
      </c>
      <c r="J820" s="34" t="s">
        <v>15</v>
      </c>
      <c r="K820" s="45">
        <v>111.6</v>
      </c>
      <c r="L820" s="9"/>
      <c r="M820" s="45">
        <v>111.6</v>
      </c>
    </row>
    <row r="821">
      <c r="A821" s="34" t="s">
        <v>70</v>
      </c>
      <c r="B821" s="34" t="s">
        <v>284</v>
      </c>
      <c r="C821" s="34">
        <v>17.0</v>
      </c>
      <c r="D821" s="34" t="s">
        <v>291</v>
      </c>
      <c r="E821" s="34" t="s">
        <v>2334</v>
      </c>
      <c r="F821" s="34" t="s">
        <v>2335</v>
      </c>
      <c r="G821" s="34">
        <v>17299.0</v>
      </c>
      <c r="H821" s="34" t="s">
        <v>2322</v>
      </c>
      <c r="I821" s="34" t="s">
        <v>18</v>
      </c>
      <c r="J821" s="34" t="s">
        <v>14</v>
      </c>
      <c r="K821" s="45">
        <v>117.1</v>
      </c>
      <c r="L821" s="45">
        <v>93.6</v>
      </c>
      <c r="M821" s="45">
        <v>108.8</v>
      </c>
    </row>
    <row r="822">
      <c r="A822" s="34" t="s">
        <v>70</v>
      </c>
      <c r="B822" s="34" t="s">
        <v>284</v>
      </c>
      <c r="C822" s="34">
        <v>17.0</v>
      </c>
      <c r="D822" s="34" t="s">
        <v>291</v>
      </c>
      <c r="E822" s="34" t="s">
        <v>2336</v>
      </c>
      <c r="F822" s="34" t="s">
        <v>2337</v>
      </c>
      <c r="G822" s="34">
        <v>17306.0</v>
      </c>
      <c r="H822" s="34" t="s">
        <v>302</v>
      </c>
      <c r="I822" s="34" t="s">
        <v>18</v>
      </c>
      <c r="J822" s="34" t="s">
        <v>13</v>
      </c>
      <c r="K822" s="9"/>
      <c r="L822" s="45">
        <v>95.2</v>
      </c>
      <c r="M822" s="45">
        <v>95.2</v>
      </c>
    </row>
    <row r="823">
      <c r="A823" s="34" t="s">
        <v>70</v>
      </c>
      <c r="B823" s="34" t="s">
        <v>313</v>
      </c>
      <c r="C823" s="34">
        <v>18.0</v>
      </c>
      <c r="D823" s="34" t="s">
        <v>314</v>
      </c>
      <c r="E823" s="34" t="s">
        <v>2338</v>
      </c>
      <c r="F823" s="34" t="s">
        <v>456</v>
      </c>
      <c r="G823" s="34">
        <v>18197.0</v>
      </c>
      <c r="H823" s="34" t="s">
        <v>317</v>
      </c>
      <c r="I823" s="34" t="s">
        <v>18</v>
      </c>
      <c r="J823" s="34" t="s">
        <v>15</v>
      </c>
      <c r="K823" s="45">
        <v>105.2</v>
      </c>
      <c r="L823" s="9"/>
      <c r="M823" s="45">
        <v>105.2</v>
      </c>
    </row>
    <row r="824">
      <c r="A824" s="34" t="s">
        <v>70</v>
      </c>
      <c r="B824" s="34" t="s">
        <v>322</v>
      </c>
      <c r="C824" s="34">
        <v>19.0</v>
      </c>
      <c r="D824" s="34" t="s">
        <v>323</v>
      </c>
      <c r="E824" s="34" t="s">
        <v>2339</v>
      </c>
      <c r="F824" s="34" t="s">
        <v>2340</v>
      </c>
      <c r="G824" s="34">
        <v>19073.0</v>
      </c>
      <c r="H824" s="34" t="s">
        <v>2341</v>
      </c>
      <c r="I824" s="34" t="s">
        <v>18</v>
      </c>
      <c r="J824" s="34" t="s">
        <v>14</v>
      </c>
      <c r="K824" s="45">
        <v>111.5</v>
      </c>
      <c r="L824" s="45">
        <v>97.4</v>
      </c>
      <c r="M824" s="45">
        <v>107.6</v>
      </c>
    </row>
    <row r="825">
      <c r="A825" s="34" t="s">
        <v>70</v>
      </c>
      <c r="B825" s="34" t="s">
        <v>322</v>
      </c>
      <c r="C825" s="34">
        <v>19.0</v>
      </c>
      <c r="D825" s="34" t="s">
        <v>323</v>
      </c>
      <c r="E825" s="34" t="s">
        <v>2342</v>
      </c>
      <c r="F825" s="34" t="s">
        <v>1061</v>
      </c>
      <c r="G825" s="34">
        <v>19031.0</v>
      </c>
      <c r="H825" s="34" t="s">
        <v>332</v>
      </c>
      <c r="I825" s="34" t="s">
        <v>18</v>
      </c>
      <c r="J825" s="34" t="s">
        <v>13</v>
      </c>
      <c r="K825" s="9"/>
      <c r="L825" s="45">
        <v>86.6</v>
      </c>
      <c r="M825" s="45">
        <v>86.6</v>
      </c>
    </row>
    <row r="826">
      <c r="A826" s="34" t="s">
        <v>70</v>
      </c>
      <c r="B826" s="34" t="s">
        <v>333</v>
      </c>
      <c r="C826" s="34">
        <v>21.0</v>
      </c>
      <c r="D826" s="34" t="s">
        <v>334</v>
      </c>
      <c r="E826" s="34" t="s">
        <v>2343</v>
      </c>
      <c r="F826" s="34" t="s">
        <v>2344</v>
      </c>
      <c r="G826" s="34">
        <v>21231.0</v>
      </c>
      <c r="H826" s="34" t="s">
        <v>333</v>
      </c>
      <c r="I826" s="34" t="s">
        <v>18</v>
      </c>
      <c r="J826" s="34" t="s">
        <v>15</v>
      </c>
      <c r="K826" s="45">
        <v>119.0</v>
      </c>
      <c r="L826" s="9"/>
      <c r="M826" s="45">
        <v>119.0</v>
      </c>
    </row>
    <row r="827">
      <c r="A827" s="34" t="s">
        <v>70</v>
      </c>
      <c r="B827" s="34" t="s">
        <v>333</v>
      </c>
      <c r="C827" s="34">
        <v>21.0</v>
      </c>
      <c r="D827" s="34" t="s">
        <v>334</v>
      </c>
      <c r="E827" s="34" t="s">
        <v>2345</v>
      </c>
      <c r="F827" s="34" t="s">
        <v>2197</v>
      </c>
      <c r="G827" s="34">
        <v>21231.0</v>
      </c>
      <c r="H827" s="34" t="s">
        <v>333</v>
      </c>
      <c r="I827" s="34" t="s">
        <v>17</v>
      </c>
      <c r="J827" s="34" t="s">
        <v>15</v>
      </c>
      <c r="K827" s="45">
        <v>134.6</v>
      </c>
      <c r="L827" s="9"/>
      <c r="M827" s="45">
        <v>134.6</v>
      </c>
    </row>
    <row r="828">
      <c r="A828" s="34" t="s">
        <v>70</v>
      </c>
      <c r="B828" s="34" t="s">
        <v>354</v>
      </c>
      <c r="C828" s="34">
        <v>22.0</v>
      </c>
      <c r="D828" s="34" t="s">
        <v>355</v>
      </c>
      <c r="E828" s="34" t="s">
        <v>2346</v>
      </c>
      <c r="F828" s="34" t="s">
        <v>2347</v>
      </c>
      <c r="G828" s="34">
        <v>22050.0</v>
      </c>
      <c r="H828" s="34" t="s">
        <v>2348</v>
      </c>
      <c r="I828" s="34" t="s">
        <v>18</v>
      </c>
      <c r="J828" s="34" t="s">
        <v>14</v>
      </c>
      <c r="K828" s="45">
        <v>116.9</v>
      </c>
      <c r="L828" s="45">
        <v>88.1</v>
      </c>
      <c r="M828" s="45">
        <v>113.5</v>
      </c>
    </row>
    <row r="829">
      <c r="A829" s="34" t="s">
        <v>70</v>
      </c>
      <c r="B829" s="34" t="s">
        <v>354</v>
      </c>
      <c r="C829" s="34">
        <v>22.0</v>
      </c>
      <c r="D829" s="34" t="s">
        <v>355</v>
      </c>
      <c r="E829" s="34" t="s">
        <v>2349</v>
      </c>
      <c r="F829" s="34" t="s">
        <v>2350</v>
      </c>
      <c r="G829" s="34">
        <v>22070.0</v>
      </c>
      <c r="H829" s="34" t="s">
        <v>2351</v>
      </c>
      <c r="I829" s="34" t="s">
        <v>18</v>
      </c>
      <c r="J829" s="34" t="s">
        <v>15</v>
      </c>
      <c r="K829" s="45">
        <v>109.6</v>
      </c>
      <c r="L829" s="9"/>
      <c r="M829" s="45">
        <v>109.6</v>
      </c>
    </row>
    <row r="830">
      <c r="A830" s="34" t="s">
        <v>70</v>
      </c>
      <c r="B830" s="34" t="s">
        <v>354</v>
      </c>
      <c r="C830" s="34">
        <v>22.0</v>
      </c>
      <c r="D830" s="34" t="s">
        <v>355</v>
      </c>
      <c r="E830" s="34" t="s">
        <v>2352</v>
      </c>
      <c r="F830" s="34" t="s">
        <v>2353</v>
      </c>
      <c r="G830" s="34">
        <v>22070.0</v>
      </c>
      <c r="H830" s="34" t="s">
        <v>2351</v>
      </c>
      <c r="I830" s="34" t="s">
        <v>18</v>
      </c>
      <c r="J830" s="34" t="s">
        <v>13</v>
      </c>
      <c r="K830" s="9"/>
      <c r="L830" s="45">
        <v>83.0</v>
      </c>
      <c r="M830" s="45">
        <v>83.0</v>
      </c>
    </row>
    <row r="831">
      <c r="A831" s="34" t="s">
        <v>70</v>
      </c>
      <c r="B831" s="34" t="s">
        <v>354</v>
      </c>
      <c r="C831" s="34">
        <v>22.0</v>
      </c>
      <c r="D831" s="34" t="s">
        <v>355</v>
      </c>
      <c r="E831" s="34" t="s">
        <v>2354</v>
      </c>
      <c r="F831" s="34" t="s">
        <v>2355</v>
      </c>
      <c r="G831" s="34">
        <v>22278.0</v>
      </c>
      <c r="H831" s="34" t="s">
        <v>361</v>
      </c>
      <c r="I831" s="34" t="s">
        <v>18</v>
      </c>
      <c r="J831" s="34" t="s">
        <v>13</v>
      </c>
      <c r="K831" s="9"/>
      <c r="L831" s="45">
        <v>79.2</v>
      </c>
      <c r="M831" s="45">
        <v>79.2</v>
      </c>
    </row>
    <row r="832">
      <c r="A832" s="34" t="s">
        <v>70</v>
      </c>
      <c r="B832" s="34" t="s">
        <v>354</v>
      </c>
      <c r="C832" s="34">
        <v>22.0</v>
      </c>
      <c r="D832" s="34" t="s">
        <v>355</v>
      </c>
      <c r="E832" s="34" t="s">
        <v>2356</v>
      </c>
      <c r="F832" s="34" t="s">
        <v>2357</v>
      </c>
      <c r="G832" s="34">
        <v>22362.0</v>
      </c>
      <c r="H832" s="34" t="s">
        <v>2358</v>
      </c>
      <c r="I832" s="34" t="s">
        <v>18</v>
      </c>
      <c r="J832" s="34" t="s">
        <v>15</v>
      </c>
      <c r="K832" s="45">
        <v>119.0</v>
      </c>
      <c r="L832" s="9"/>
      <c r="M832" s="45">
        <v>119.0</v>
      </c>
    </row>
    <row r="833">
      <c r="A833" s="34" t="s">
        <v>70</v>
      </c>
      <c r="B833" s="34" t="s">
        <v>354</v>
      </c>
      <c r="C833" s="34">
        <v>22.0</v>
      </c>
      <c r="D833" s="34" t="s">
        <v>355</v>
      </c>
      <c r="E833" s="34" t="s">
        <v>2359</v>
      </c>
      <c r="F833" s="34" t="s">
        <v>2360</v>
      </c>
      <c r="G833" s="34">
        <v>22278.0</v>
      </c>
      <c r="H833" s="34" t="s">
        <v>361</v>
      </c>
      <c r="I833" s="34" t="s">
        <v>18</v>
      </c>
      <c r="J833" s="34" t="s">
        <v>13</v>
      </c>
      <c r="K833" s="9"/>
      <c r="L833" s="45">
        <v>94.0</v>
      </c>
      <c r="M833" s="45">
        <v>94.0</v>
      </c>
    </row>
    <row r="834">
      <c r="A834" s="34" t="s">
        <v>70</v>
      </c>
      <c r="B834" s="34" t="s">
        <v>354</v>
      </c>
      <c r="C834" s="34">
        <v>22.0</v>
      </c>
      <c r="D834" s="34" t="s">
        <v>355</v>
      </c>
      <c r="E834" s="34" t="s">
        <v>2361</v>
      </c>
      <c r="F834" s="34" t="s">
        <v>1716</v>
      </c>
      <c r="G834" s="34">
        <v>22262.0</v>
      </c>
      <c r="H834" s="34" t="s">
        <v>2362</v>
      </c>
      <c r="I834" s="34" t="s">
        <v>17</v>
      </c>
      <c r="J834" s="34" t="s">
        <v>15</v>
      </c>
      <c r="K834" s="45">
        <v>104.8</v>
      </c>
      <c r="L834" s="9"/>
      <c r="M834" s="45">
        <v>104.8</v>
      </c>
    </row>
    <row r="835">
      <c r="A835" s="34" t="s">
        <v>70</v>
      </c>
      <c r="B835" s="34" t="s">
        <v>354</v>
      </c>
      <c r="C835" s="34">
        <v>22.0</v>
      </c>
      <c r="D835" s="34" t="s">
        <v>355</v>
      </c>
      <c r="E835" s="34" t="s">
        <v>2363</v>
      </c>
      <c r="F835" s="34" t="s">
        <v>2364</v>
      </c>
      <c r="G835" s="34">
        <v>22070.0</v>
      </c>
      <c r="H835" s="34" t="s">
        <v>2351</v>
      </c>
      <c r="I835" s="34" t="s">
        <v>17</v>
      </c>
      <c r="J835" s="34" t="s">
        <v>13</v>
      </c>
      <c r="K835" s="9"/>
      <c r="L835" s="45">
        <v>98.7</v>
      </c>
      <c r="M835" s="45">
        <v>98.7</v>
      </c>
    </row>
    <row r="836">
      <c r="A836" s="34" t="s">
        <v>70</v>
      </c>
      <c r="B836" s="34" t="s">
        <v>354</v>
      </c>
      <c r="C836" s="34">
        <v>22.0</v>
      </c>
      <c r="D836" s="34" t="s">
        <v>355</v>
      </c>
      <c r="E836" s="34" t="s">
        <v>2365</v>
      </c>
      <c r="F836" s="34" t="s">
        <v>2366</v>
      </c>
      <c r="G836" s="34">
        <v>22210.0</v>
      </c>
      <c r="H836" s="34" t="s">
        <v>2367</v>
      </c>
      <c r="I836" s="34" t="s">
        <v>17</v>
      </c>
      <c r="J836" s="34" t="s">
        <v>13</v>
      </c>
      <c r="K836" s="9"/>
      <c r="L836" s="45">
        <v>87.6</v>
      </c>
      <c r="M836" s="45">
        <v>87.6</v>
      </c>
    </row>
    <row r="837">
      <c r="A837" s="34" t="s">
        <v>70</v>
      </c>
      <c r="B837" s="34" t="s">
        <v>322</v>
      </c>
      <c r="C837" s="34">
        <v>23.0</v>
      </c>
      <c r="D837" s="34" t="s">
        <v>370</v>
      </c>
      <c r="E837" s="34" t="s">
        <v>2368</v>
      </c>
      <c r="F837" s="34" t="s">
        <v>2369</v>
      </c>
      <c r="G837" s="34">
        <v>23008.0</v>
      </c>
      <c r="H837" s="34" t="s">
        <v>2370</v>
      </c>
      <c r="I837" s="34" t="s">
        <v>18</v>
      </c>
      <c r="J837" s="34" t="s">
        <v>15</v>
      </c>
      <c r="K837" s="45">
        <v>110.4</v>
      </c>
      <c r="L837" s="9"/>
      <c r="M837" s="45">
        <v>110.4</v>
      </c>
    </row>
    <row r="838">
      <c r="A838" s="34" t="s">
        <v>70</v>
      </c>
      <c r="B838" s="34" t="s">
        <v>322</v>
      </c>
      <c r="C838" s="34">
        <v>23.0</v>
      </c>
      <c r="D838" s="34" t="s">
        <v>370</v>
      </c>
      <c r="E838" s="34" t="s">
        <v>2371</v>
      </c>
      <c r="F838" s="34" t="s">
        <v>2372</v>
      </c>
      <c r="G838" s="34">
        <v>23030.0</v>
      </c>
      <c r="H838" s="34" t="s">
        <v>2373</v>
      </c>
      <c r="I838" s="34" t="s">
        <v>18</v>
      </c>
      <c r="J838" s="34" t="s">
        <v>13</v>
      </c>
      <c r="K838" s="9"/>
      <c r="L838" s="45">
        <v>87.8</v>
      </c>
      <c r="M838" s="45">
        <v>87.8</v>
      </c>
    </row>
    <row r="839">
      <c r="A839" s="34" t="s">
        <v>70</v>
      </c>
      <c r="B839" s="34" t="s">
        <v>377</v>
      </c>
      <c r="C839" s="34">
        <v>24.0</v>
      </c>
      <c r="D839" s="34" t="s">
        <v>378</v>
      </c>
      <c r="E839" s="34" t="s">
        <v>2374</v>
      </c>
      <c r="F839" s="34" t="s">
        <v>2375</v>
      </c>
      <c r="G839" s="34">
        <v>24037.0</v>
      </c>
      <c r="H839" s="34" t="s">
        <v>2376</v>
      </c>
      <c r="I839" s="34" t="s">
        <v>18</v>
      </c>
      <c r="J839" s="34" t="s">
        <v>15</v>
      </c>
      <c r="K839" s="45">
        <v>110.9</v>
      </c>
      <c r="L839" s="9"/>
      <c r="M839" s="45">
        <v>110.9</v>
      </c>
    </row>
    <row r="840">
      <c r="A840" s="34" t="s">
        <v>70</v>
      </c>
      <c r="B840" s="34" t="s">
        <v>377</v>
      </c>
      <c r="C840" s="34">
        <v>24.0</v>
      </c>
      <c r="D840" s="34" t="s">
        <v>378</v>
      </c>
      <c r="E840" s="34" t="s">
        <v>2377</v>
      </c>
      <c r="F840" s="34" t="s">
        <v>2378</v>
      </c>
      <c r="G840" s="34">
        <v>24037.0</v>
      </c>
      <c r="H840" s="34" t="s">
        <v>2376</v>
      </c>
      <c r="I840" s="34" t="s">
        <v>18</v>
      </c>
      <c r="J840" s="34" t="s">
        <v>13</v>
      </c>
      <c r="K840" s="9"/>
      <c r="L840" s="45">
        <v>85.9</v>
      </c>
      <c r="M840" s="45">
        <v>85.9</v>
      </c>
    </row>
    <row r="841">
      <c r="A841" s="34" t="s">
        <v>70</v>
      </c>
      <c r="B841" s="34" t="s">
        <v>377</v>
      </c>
      <c r="C841" s="34">
        <v>24.0</v>
      </c>
      <c r="D841" s="34" t="s">
        <v>378</v>
      </c>
      <c r="E841" s="34" t="s">
        <v>2379</v>
      </c>
      <c r="F841" s="34" t="s">
        <v>2380</v>
      </c>
      <c r="G841" s="34">
        <v>24137.0</v>
      </c>
      <c r="H841" s="34" t="s">
        <v>2381</v>
      </c>
      <c r="I841" s="34" t="s">
        <v>18</v>
      </c>
      <c r="J841" s="34" t="s">
        <v>13</v>
      </c>
      <c r="K841" s="9"/>
      <c r="L841" s="45">
        <v>78.6</v>
      </c>
      <c r="M841" s="45">
        <v>78.6</v>
      </c>
    </row>
    <row r="842">
      <c r="A842" s="34" t="s">
        <v>70</v>
      </c>
      <c r="B842" s="34" t="s">
        <v>377</v>
      </c>
      <c r="C842" s="34">
        <v>24.0</v>
      </c>
      <c r="D842" s="34" t="s">
        <v>378</v>
      </c>
      <c r="E842" s="34" t="s">
        <v>2382</v>
      </c>
      <c r="F842" s="34" t="s">
        <v>2383</v>
      </c>
      <c r="G842" s="34">
        <v>24322.0</v>
      </c>
      <c r="H842" s="34" t="s">
        <v>2384</v>
      </c>
      <c r="I842" s="34" t="s">
        <v>18</v>
      </c>
      <c r="J842" s="34" t="s">
        <v>15</v>
      </c>
      <c r="K842" s="45">
        <v>111.7</v>
      </c>
      <c r="L842" s="9"/>
      <c r="M842" s="45">
        <v>111.7</v>
      </c>
    </row>
    <row r="843">
      <c r="A843" s="34" t="s">
        <v>70</v>
      </c>
      <c r="B843" s="34" t="s">
        <v>377</v>
      </c>
      <c r="C843" s="34">
        <v>24.0</v>
      </c>
      <c r="D843" s="34" t="s">
        <v>378</v>
      </c>
      <c r="E843" s="34" t="s">
        <v>2385</v>
      </c>
      <c r="F843" s="34" t="s">
        <v>2386</v>
      </c>
      <c r="G843" s="34">
        <v>24322.0</v>
      </c>
      <c r="H843" s="34" t="s">
        <v>2384</v>
      </c>
      <c r="I843" s="34" t="s">
        <v>18</v>
      </c>
      <c r="J843" s="34" t="s">
        <v>14</v>
      </c>
      <c r="K843" s="45">
        <v>118.3</v>
      </c>
      <c r="L843" s="45">
        <v>95.8</v>
      </c>
      <c r="M843" s="45">
        <v>114.4</v>
      </c>
    </row>
    <row r="844">
      <c r="A844" s="34" t="s">
        <v>70</v>
      </c>
      <c r="B844" s="34" t="s">
        <v>377</v>
      </c>
      <c r="C844" s="34">
        <v>24.0</v>
      </c>
      <c r="D844" s="34" t="s">
        <v>378</v>
      </c>
      <c r="E844" s="34" t="s">
        <v>2387</v>
      </c>
      <c r="F844" s="34" t="s">
        <v>2388</v>
      </c>
      <c r="G844" s="34">
        <v>24520.0</v>
      </c>
      <c r="H844" s="34" t="s">
        <v>386</v>
      </c>
      <c r="I844" s="34" t="s">
        <v>18</v>
      </c>
      <c r="J844" s="34" t="s">
        <v>13</v>
      </c>
      <c r="K844" s="9"/>
      <c r="L844" s="45">
        <v>88.8</v>
      </c>
      <c r="M844" s="45">
        <v>88.8</v>
      </c>
    </row>
    <row r="845">
      <c r="A845" s="34" t="s">
        <v>70</v>
      </c>
      <c r="B845" s="34" t="s">
        <v>377</v>
      </c>
      <c r="C845" s="34">
        <v>24.0</v>
      </c>
      <c r="D845" s="34" t="s">
        <v>378</v>
      </c>
      <c r="E845" s="34" t="s">
        <v>2389</v>
      </c>
      <c r="F845" s="34" t="s">
        <v>2390</v>
      </c>
      <c r="G845" s="34">
        <v>24352.0</v>
      </c>
      <c r="H845" s="34" t="s">
        <v>2391</v>
      </c>
      <c r="I845" s="34" t="s">
        <v>18</v>
      </c>
      <c r="J845" s="34" t="s">
        <v>13</v>
      </c>
      <c r="K845" s="9"/>
      <c r="L845" s="45">
        <v>81.8</v>
      </c>
      <c r="M845" s="45">
        <v>81.8</v>
      </c>
    </row>
    <row r="846">
      <c r="A846" s="34" t="s">
        <v>70</v>
      </c>
      <c r="B846" s="34" t="s">
        <v>377</v>
      </c>
      <c r="C846" s="34">
        <v>24.0</v>
      </c>
      <c r="D846" s="34" t="s">
        <v>378</v>
      </c>
      <c r="E846" s="34" t="s">
        <v>2392</v>
      </c>
      <c r="F846" s="34" t="s">
        <v>80</v>
      </c>
      <c r="G846" s="34">
        <v>24322.0</v>
      </c>
      <c r="H846" s="34" t="s">
        <v>2384</v>
      </c>
      <c r="I846" s="34" t="s">
        <v>17</v>
      </c>
      <c r="J846" s="34" t="s">
        <v>15</v>
      </c>
      <c r="K846" s="45">
        <v>124.0</v>
      </c>
      <c r="L846" s="9"/>
      <c r="M846" s="45">
        <v>124.0</v>
      </c>
    </row>
    <row r="847">
      <c r="A847" s="34" t="s">
        <v>70</v>
      </c>
      <c r="B847" s="34" t="s">
        <v>393</v>
      </c>
      <c r="C847" s="34">
        <v>25.0</v>
      </c>
      <c r="D847" s="34" t="s">
        <v>394</v>
      </c>
      <c r="E847" s="34" t="s">
        <v>2393</v>
      </c>
      <c r="F847" s="34" t="s">
        <v>1733</v>
      </c>
      <c r="G847" s="34">
        <v>25056.0</v>
      </c>
      <c r="H847" s="34" t="s">
        <v>393</v>
      </c>
      <c r="I847" s="34" t="s">
        <v>18</v>
      </c>
      <c r="J847" s="34" t="s">
        <v>15</v>
      </c>
      <c r="K847" s="45">
        <v>110.6</v>
      </c>
      <c r="L847" s="9"/>
      <c r="M847" s="45">
        <v>110.6</v>
      </c>
    </row>
    <row r="848">
      <c r="A848" s="34" t="s">
        <v>70</v>
      </c>
      <c r="B848" s="34" t="s">
        <v>393</v>
      </c>
      <c r="C848" s="34">
        <v>25.0</v>
      </c>
      <c r="D848" s="34" t="s">
        <v>394</v>
      </c>
      <c r="E848" s="34" t="s">
        <v>2394</v>
      </c>
      <c r="F848" s="34" t="s">
        <v>2395</v>
      </c>
      <c r="G848" s="34">
        <v>25056.0</v>
      </c>
      <c r="H848" s="34" t="s">
        <v>393</v>
      </c>
      <c r="I848" s="34" t="s">
        <v>18</v>
      </c>
      <c r="J848" s="34" t="s">
        <v>14</v>
      </c>
      <c r="K848" s="45">
        <v>123.1</v>
      </c>
      <c r="L848" s="45">
        <v>90.1</v>
      </c>
      <c r="M848" s="45">
        <v>114.6</v>
      </c>
    </row>
    <row r="849">
      <c r="A849" s="34" t="s">
        <v>70</v>
      </c>
      <c r="B849" s="34" t="s">
        <v>393</v>
      </c>
      <c r="C849" s="34">
        <v>25.0</v>
      </c>
      <c r="D849" s="34" t="s">
        <v>394</v>
      </c>
      <c r="E849" s="34" t="s">
        <v>2396</v>
      </c>
      <c r="F849" s="34" t="s">
        <v>2397</v>
      </c>
      <c r="G849" s="34">
        <v>25056.0</v>
      </c>
      <c r="H849" s="34" t="s">
        <v>393</v>
      </c>
      <c r="I849" s="34" t="s">
        <v>18</v>
      </c>
      <c r="J849" s="34" t="s">
        <v>13</v>
      </c>
      <c r="K849" s="9"/>
      <c r="L849" s="45">
        <v>80.7</v>
      </c>
      <c r="M849" s="45">
        <v>80.7</v>
      </c>
    </row>
    <row r="850">
      <c r="A850" s="34" t="s">
        <v>70</v>
      </c>
      <c r="B850" s="34" t="s">
        <v>393</v>
      </c>
      <c r="C850" s="34">
        <v>25.0</v>
      </c>
      <c r="D850" s="34" t="s">
        <v>394</v>
      </c>
      <c r="E850" s="34" t="s">
        <v>2398</v>
      </c>
      <c r="F850" s="34" t="s">
        <v>2399</v>
      </c>
      <c r="G850" s="34">
        <v>25580.0</v>
      </c>
      <c r="H850" s="34" t="s">
        <v>2400</v>
      </c>
      <c r="I850" s="34" t="s">
        <v>18</v>
      </c>
      <c r="J850" s="34" t="s">
        <v>15</v>
      </c>
      <c r="K850" s="45">
        <v>102.4</v>
      </c>
      <c r="L850" s="9"/>
      <c r="M850" s="45">
        <v>102.4</v>
      </c>
    </row>
    <row r="851">
      <c r="A851" s="34" t="s">
        <v>70</v>
      </c>
      <c r="B851" s="34" t="s">
        <v>393</v>
      </c>
      <c r="C851" s="34">
        <v>25.0</v>
      </c>
      <c r="D851" s="34" t="s">
        <v>394</v>
      </c>
      <c r="E851" s="34" t="s">
        <v>2401</v>
      </c>
      <c r="F851" s="34" t="s">
        <v>2402</v>
      </c>
      <c r="G851" s="34">
        <v>25388.0</v>
      </c>
      <c r="H851" s="34" t="s">
        <v>2403</v>
      </c>
      <c r="I851" s="34" t="s">
        <v>18</v>
      </c>
      <c r="J851" s="34" t="s">
        <v>13</v>
      </c>
      <c r="K851" s="9"/>
      <c r="L851" s="45">
        <v>83.1</v>
      </c>
      <c r="M851" s="45">
        <v>83.1</v>
      </c>
    </row>
    <row r="852">
      <c r="A852" s="34" t="s">
        <v>70</v>
      </c>
      <c r="B852" s="34" t="s">
        <v>393</v>
      </c>
      <c r="C852" s="34">
        <v>25.0</v>
      </c>
      <c r="D852" s="34" t="s">
        <v>394</v>
      </c>
      <c r="E852" s="34" t="s">
        <v>2404</v>
      </c>
      <c r="F852" s="34" t="s">
        <v>2405</v>
      </c>
      <c r="G852" s="34">
        <v>25388.0</v>
      </c>
      <c r="H852" s="34" t="s">
        <v>2403</v>
      </c>
      <c r="I852" s="34" t="s">
        <v>18</v>
      </c>
      <c r="J852" s="34" t="s">
        <v>14</v>
      </c>
      <c r="K852" s="45">
        <v>100.9</v>
      </c>
      <c r="L852" s="45">
        <v>82.1</v>
      </c>
      <c r="M852" s="45">
        <v>97.7</v>
      </c>
    </row>
    <row r="853">
      <c r="A853" s="34" t="s">
        <v>70</v>
      </c>
      <c r="B853" s="34" t="s">
        <v>161</v>
      </c>
      <c r="C853" s="34">
        <v>26.0</v>
      </c>
      <c r="D853" s="34" t="s">
        <v>402</v>
      </c>
      <c r="E853" s="34" t="s">
        <v>2406</v>
      </c>
      <c r="F853" s="34" t="s">
        <v>2407</v>
      </c>
      <c r="G853" s="34">
        <v>26113.0</v>
      </c>
      <c r="H853" s="34" t="s">
        <v>2408</v>
      </c>
      <c r="I853" s="34" t="s">
        <v>18</v>
      </c>
      <c r="J853" s="34" t="s">
        <v>15</v>
      </c>
      <c r="K853" s="45">
        <v>128.7</v>
      </c>
      <c r="L853" s="9"/>
      <c r="M853" s="45">
        <v>128.7</v>
      </c>
    </row>
    <row r="854">
      <c r="A854" s="34" t="s">
        <v>70</v>
      </c>
      <c r="B854" s="34" t="s">
        <v>161</v>
      </c>
      <c r="C854" s="34">
        <v>26.0</v>
      </c>
      <c r="D854" s="34" t="s">
        <v>402</v>
      </c>
      <c r="E854" s="34" t="s">
        <v>2409</v>
      </c>
      <c r="F854" s="34" t="s">
        <v>2410</v>
      </c>
      <c r="G854" s="34">
        <v>26220.0</v>
      </c>
      <c r="H854" s="34" t="s">
        <v>2411</v>
      </c>
      <c r="I854" s="34" t="s">
        <v>18</v>
      </c>
      <c r="J854" s="34" t="s">
        <v>15</v>
      </c>
      <c r="K854" s="45">
        <v>107.8</v>
      </c>
      <c r="L854" s="9"/>
      <c r="M854" s="45">
        <v>107.8</v>
      </c>
    </row>
    <row r="855">
      <c r="A855" s="34" t="s">
        <v>70</v>
      </c>
      <c r="B855" s="34" t="s">
        <v>161</v>
      </c>
      <c r="C855" s="34">
        <v>26.0</v>
      </c>
      <c r="D855" s="34" t="s">
        <v>402</v>
      </c>
      <c r="E855" s="34" t="s">
        <v>2412</v>
      </c>
      <c r="F855" s="34" t="s">
        <v>2413</v>
      </c>
      <c r="G855" s="34">
        <v>26281.0</v>
      </c>
      <c r="H855" s="34" t="s">
        <v>2414</v>
      </c>
      <c r="I855" s="34" t="s">
        <v>18</v>
      </c>
      <c r="J855" s="34" t="s">
        <v>14</v>
      </c>
      <c r="K855" s="45">
        <v>108.6</v>
      </c>
      <c r="L855" s="45">
        <v>85.1</v>
      </c>
      <c r="M855" s="45">
        <v>100.6</v>
      </c>
    </row>
    <row r="856">
      <c r="A856" s="34" t="s">
        <v>70</v>
      </c>
      <c r="B856" s="34" t="s">
        <v>161</v>
      </c>
      <c r="C856" s="34">
        <v>26.0</v>
      </c>
      <c r="D856" s="34" t="s">
        <v>402</v>
      </c>
      <c r="E856" s="34" t="s">
        <v>2415</v>
      </c>
      <c r="F856" s="34" t="s">
        <v>2416</v>
      </c>
      <c r="G856" s="34">
        <v>26362.0</v>
      </c>
      <c r="H856" s="34" t="s">
        <v>411</v>
      </c>
      <c r="I856" s="34" t="s">
        <v>18</v>
      </c>
      <c r="J856" s="34" t="s">
        <v>15</v>
      </c>
      <c r="K856" s="45">
        <v>122.8</v>
      </c>
      <c r="L856" s="9"/>
      <c r="M856" s="45">
        <v>122.8</v>
      </c>
    </row>
    <row r="857">
      <c r="A857" s="34" t="s">
        <v>70</v>
      </c>
      <c r="B857" s="34" t="s">
        <v>161</v>
      </c>
      <c r="C857" s="34">
        <v>26.0</v>
      </c>
      <c r="D857" s="34" t="s">
        <v>402</v>
      </c>
      <c r="E857" s="34" t="s">
        <v>2417</v>
      </c>
      <c r="F857" s="34" t="s">
        <v>2418</v>
      </c>
      <c r="G857" s="34">
        <v>26198.0</v>
      </c>
      <c r="H857" s="34" t="s">
        <v>2419</v>
      </c>
      <c r="I857" s="34" t="s">
        <v>17</v>
      </c>
      <c r="J857" s="34" t="s">
        <v>15</v>
      </c>
      <c r="K857" s="45">
        <v>129.9</v>
      </c>
      <c r="L857" s="9"/>
      <c r="M857" s="45">
        <v>129.9</v>
      </c>
    </row>
    <row r="858">
      <c r="A858" s="34" t="s">
        <v>70</v>
      </c>
      <c r="B858" s="34" t="s">
        <v>161</v>
      </c>
      <c r="C858" s="34">
        <v>26.0</v>
      </c>
      <c r="D858" s="34" t="s">
        <v>402</v>
      </c>
      <c r="E858" s="34" t="s">
        <v>2420</v>
      </c>
      <c r="F858" s="34" t="s">
        <v>897</v>
      </c>
      <c r="G858" s="34">
        <v>26362.0</v>
      </c>
      <c r="H858" s="34" t="s">
        <v>411</v>
      </c>
      <c r="I858" s="34" t="s">
        <v>17</v>
      </c>
      <c r="J858" s="34" t="s">
        <v>13</v>
      </c>
      <c r="K858" s="9"/>
      <c r="L858" s="45">
        <v>96.2</v>
      </c>
      <c r="M858" s="45">
        <v>96.2</v>
      </c>
    </row>
    <row r="859">
      <c r="A859" s="34" t="s">
        <v>70</v>
      </c>
      <c r="B859" s="34" t="s">
        <v>161</v>
      </c>
      <c r="C859" s="34">
        <v>26.0</v>
      </c>
      <c r="D859" s="34" t="s">
        <v>402</v>
      </c>
      <c r="E859" s="34" t="s">
        <v>2421</v>
      </c>
      <c r="F859" s="34" t="s">
        <v>2422</v>
      </c>
      <c r="G859" s="34">
        <v>26362.0</v>
      </c>
      <c r="H859" s="34" t="s">
        <v>411</v>
      </c>
      <c r="I859" s="34" t="s">
        <v>18</v>
      </c>
      <c r="J859" s="34" t="s">
        <v>13</v>
      </c>
      <c r="K859" s="9"/>
      <c r="L859" s="45">
        <v>88.7</v>
      </c>
      <c r="M859" s="45">
        <v>88.7</v>
      </c>
    </row>
    <row r="860">
      <c r="A860" s="34" t="s">
        <v>70</v>
      </c>
      <c r="B860" s="34" t="s">
        <v>161</v>
      </c>
      <c r="C860" s="34">
        <v>26.0</v>
      </c>
      <c r="D860" s="34" t="s">
        <v>402</v>
      </c>
      <c r="E860" s="34" t="s">
        <v>2423</v>
      </c>
      <c r="F860" s="34" t="s">
        <v>2424</v>
      </c>
      <c r="G860" s="34">
        <v>26108.0</v>
      </c>
      <c r="H860" s="34" t="s">
        <v>405</v>
      </c>
      <c r="I860" s="34" t="s">
        <v>17</v>
      </c>
      <c r="J860" s="34" t="s">
        <v>13</v>
      </c>
      <c r="K860" s="9"/>
      <c r="L860" s="45">
        <v>104.6</v>
      </c>
      <c r="M860" s="45">
        <v>104.6</v>
      </c>
    </row>
    <row r="861">
      <c r="A861" s="34" t="s">
        <v>70</v>
      </c>
      <c r="B861" s="34" t="s">
        <v>269</v>
      </c>
      <c r="C861" s="34">
        <v>27.0</v>
      </c>
      <c r="D861" s="34" t="s">
        <v>417</v>
      </c>
      <c r="E861" s="34" t="s">
        <v>2425</v>
      </c>
      <c r="F861" s="34" t="s">
        <v>2426</v>
      </c>
      <c r="G861" s="34">
        <v>27056.0</v>
      </c>
      <c r="H861" s="34" t="s">
        <v>2427</v>
      </c>
      <c r="I861" s="34" t="s">
        <v>18</v>
      </c>
      <c r="J861" s="34" t="s">
        <v>15</v>
      </c>
      <c r="K861" s="45">
        <v>106.4</v>
      </c>
      <c r="L861" s="9"/>
      <c r="M861" s="45">
        <v>106.4</v>
      </c>
    </row>
    <row r="862">
      <c r="A862" s="34" t="s">
        <v>70</v>
      </c>
      <c r="B862" s="34" t="s">
        <v>269</v>
      </c>
      <c r="C862" s="34">
        <v>27.0</v>
      </c>
      <c r="D862" s="34" t="s">
        <v>417</v>
      </c>
      <c r="E862" s="34" t="s">
        <v>2428</v>
      </c>
      <c r="F862" s="34" t="s">
        <v>2429</v>
      </c>
      <c r="G862" s="34">
        <v>27284.0</v>
      </c>
      <c r="H862" s="34" t="s">
        <v>2430</v>
      </c>
      <c r="I862" s="34" t="s">
        <v>18</v>
      </c>
      <c r="J862" s="34" t="s">
        <v>14</v>
      </c>
      <c r="K862" s="45">
        <v>104.2</v>
      </c>
      <c r="L862" s="45">
        <v>87.9</v>
      </c>
      <c r="M862" s="45">
        <v>98.9</v>
      </c>
    </row>
    <row r="863">
      <c r="A863" s="34" t="s">
        <v>70</v>
      </c>
      <c r="B863" s="34" t="s">
        <v>269</v>
      </c>
      <c r="C863" s="34">
        <v>27.0</v>
      </c>
      <c r="D863" s="34" t="s">
        <v>417</v>
      </c>
      <c r="E863" s="34" t="s">
        <v>2431</v>
      </c>
      <c r="F863" s="34" t="s">
        <v>2432</v>
      </c>
      <c r="G863" s="34">
        <v>27681.0</v>
      </c>
      <c r="H863" s="34" t="s">
        <v>2433</v>
      </c>
      <c r="I863" s="34" t="s">
        <v>18</v>
      </c>
      <c r="J863" s="34" t="s">
        <v>13</v>
      </c>
      <c r="K863" s="9"/>
      <c r="L863" s="45">
        <v>82.8</v>
      </c>
      <c r="M863" s="45">
        <v>82.8</v>
      </c>
    </row>
    <row r="864">
      <c r="A864" s="34" t="s">
        <v>70</v>
      </c>
      <c r="B864" s="34" t="s">
        <v>269</v>
      </c>
      <c r="C864" s="34">
        <v>27.0</v>
      </c>
      <c r="D864" s="34" t="s">
        <v>417</v>
      </c>
      <c r="E864" s="34" t="s">
        <v>2434</v>
      </c>
      <c r="F864" s="34" t="s">
        <v>2435</v>
      </c>
      <c r="G864" s="34">
        <v>27681.0</v>
      </c>
      <c r="H864" s="34" t="s">
        <v>2433</v>
      </c>
      <c r="I864" s="34" t="s">
        <v>17</v>
      </c>
      <c r="J864" s="34" t="s">
        <v>15</v>
      </c>
      <c r="K864" s="45">
        <v>128.4</v>
      </c>
      <c r="L864" s="9"/>
      <c r="M864" s="45">
        <v>128.4</v>
      </c>
    </row>
    <row r="865">
      <c r="A865" s="34" t="s">
        <v>70</v>
      </c>
      <c r="B865" s="34" t="s">
        <v>269</v>
      </c>
      <c r="C865" s="34">
        <v>27.0</v>
      </c>
      <c r="D865" s="34" t="s">
        <v>417</v>
      </c>
      <c r="E865" s="34" t="s">
        <v>2436</v>
      </c>
      <c r="F865" s="34" t="s">
        <v>2437</v>
      </c>
      <c r="G865" s="34">
        <v>27056.0</v>
      </c>
      <c r="H865" s="34" t="s">
        <v>2427</v>
      </c>
      <c r="I865" s="34" t="s">
        <v>17</v>
      </c>
      <c r="J865" s="34" t="s">
        <v>13</v>
      </c>
      <c r="K865" s="9"/>
      <c r="L865" s="45">
        <v>93.2</v>
      </c>
      <c r="M865" s="45">
        <v>93.2</v>
      </c>
    </row>
    <row r="866">
      <c r="A866" s="34" t="s">
        <v>70</v>
      </c>
      <c r="B866" s="34" t="s">
        <v>269</v>
      </c>
      <c r="C866" s="34">
        <v>27.0</v>
      </c>
      <c r="D866" s="34" t="s">
        <v>417</v>
      </c>
      <c r="E866" s="34" t="s">
        <v>2438</v>
      </c>
      <c r="F866" s="34" t="s">
        <v>2439</v>
      </c>
      <c r="G866" s="34">
        <v>27679.0</v>
      </c>
      <c r="H866" s="34" t="s">
        <v>429</v>
      </c>
      <c r="I866" s="34" t="s">
        <v>18</v>
      </c>
      <c r="J866" s="34" t="s">
        <v>13</v>
      </c>
      <c r="K866" s="9"/>
      <c r="L866" s="45">
        <v>82.6</v>
      </c>
      <c r="M866" s="45">
        <v>82.6</v>
      </c>
    </row>
    <row r="867">
      <c r="A867" s="34" t="s">
        <v>70</v>
      </c>
      <c r="B867" s="34" t="s">
        <v>269</v>
      </c>
      <c r="C867" s="34">
        <v>27.0</v>
      </c>
      <c r="D867" s="34" t="s">
        <v>417</v>
      </c>
      <c r="E867" s="34" t="s">
        <v>2440</v>
      </c>
      <c r="F867" s="34" t="s">
        <v>2441</v>
      </c>
      <c r="G867" s="34">
        <v>27229.0</v>
      </c>
      <c r="H867" s="34" t="s">
        <v>420</v>
      </c>
      <c r="I867" s="34" t="s">
        <v>18</v>
      </c>
      <c r="J867" s="34" t="s">
        <v>15</v>
      </c>
      <c r="K867" s="45">
        <v>116.1</v>
      </c>
      <c r="L867" s="9"/>
      <c r="M867" s="45">
        <v>116.1</v>
      </c>
    </row>
    <row r="868">
      <c r="A868" s="34" t="s">
        <v>70</v>
      </c>
      <c r="B868" s="34" t="s">
        <v>269</v>
      </c>
      <c r="C868" s="34">
        <v>27.0</v>
      </c>
      <c r="D868" s="34" t="s">
        <v>417</v>
      </c>
      <c r="E868" s="34" t="s">
        <v>2442</v>
      </c>
      <c r="F868" s="34" t="s">
        <v>2443</v>
      </c>
      <c r="G868" s="34">
        <v>27275.0</v>
      </c>
      <c r="H868" s="34" t="s">
        <v>2444</v>
      </c>
      <c r="I868" s="34" t="s">
        <v>18</v>
      </c>
      <c r="J868" s="34" t="s">
        <v>15</v>
      </c>
      <c r="K868" s="45">
        <v>108.7</v>
      </c>
      <c r="L868" s="9"/>
      <c r="M868" s="45">
        <v>108.7</v>
      </c>
    </row>
    <row r="869">
      <c r="A869" s="34" t="s">
        <v>70</v>
      </c>
      <c r="B869" s="34" t="s">
        <v>269</v>
      </c>
      <c r="C869" s="34">
        <v>27.0</v>
      </c>
      <c r="D869" s="34" t="s">
        <v>417</v>
      </c>
      <c r="E869" s="34" t="s">
        <v>2445</v>
      </c>
      <c r="F869" s="34" t="s">
        <v>2446</v>
      </c>
      <c r="G869" s="34">
        <v>27016.0</v>
      </c>
      <c r="H869" s="34" t="s">
        <v>2447</v>
      </c>
      <c r="I869" s="34" t="s">
        <v>18</v>
      </c>
      <c r="J869" s="34" t="s">
        <v>14</v>
      </c>
      <c r="K869" s="45">
        <v>105.8</v>
      </c>
      <c r="L869" s="45">
        <v>84.8</v>
      </c>
      <c r="M869" s="45">
        <v>95.4</v>
      </c>
    </row>
    <row r="870">
      <c r="A870" s="34" t="s">
        <v>70</v>
      </c>
      <c r="B870" s="34" t="s">
        <v>313</v>
      </c>
      <c r="C870" s="34">
        <v>28.0</v>
      </c>
      <c r="D870" s="34" t="s">
        <v>434</v>
      </c>
      <c r="E870" s="34" t="s">
        <v>2448</v>
      </c>
      <c r="F870" s="34" t="s">
        <v>2449</v>
      </c>
      <c r="G870" s="34">
        <v>28088.0</v>
      </c>
      <c r="H870" s="34" t="s">
        <v>2450</v>
      </c>
      <c r="I870" s="34" t="s">
        <v>18</v>
      </c>
      <c r="J870" s="34" t="s">
        <v>15</v>
      </c>
      <c r="K870" s="45">
        <v>105.5</v>
      </c>
      <c r="L870" s="9"/>
      <c r="M870" s="45">
        <v>105.5</v>
      </c>
    </row>
    <row r="871">
      <c r="A871" s="34" t="s">
        <v>70</v>
      </c>
      <c r="B871" s="34" t="s">
        <v>313</v>
      </c>
      <c r="C871" s="34">
        <v>28.0</v>
      </c>
      <c r="D871" s="34" t="s">
        <v>434</v>
      </c>
      <c r="E871" s="34" t="s">
        <v>2451</v>
      </c>
      <c r="F871" s="34" t="s">
        <v>2452</v>
      </c>
      <c r="G871" s="34">
        <v>28227.0</v>
      </c>
      <c r="H871" s="34" t="s">
        <v>2453</v>
      </c>
      <c r="I871" s="34" t="s">
        <v>17</v>
      </c>
      <c r="J871" s="34" t="s">
        <v>13</v>
      </c>
      <c r="K871" s="9"/>
      <c r="L871" s="45">
        <v>97.3</v>
      </c>
      <c r="M871" s="45">
        <v>97.3</v>
      </c>
    </row>
    <row r="872">
      <c r="A872" s="34" t="s">
        <v>70</v>
      </c>
      <c r="B872" s="34" t="s">
        <v>313</v>
      </c>
      <c r="C872" s="34">
        <v>28.0</v>
      </c>
      <c r="D872" s="34" t="s">
        <v>434</v>
      </c>
      <c r="E872" s="34" t="s">
        <v>2454</v>
      </c>
      <c r="F872" s="34" t="s">
        <v>2455</v>
      </c>
      <c r="G872" s="34">
        <v>28220.0</v>
      </c>
      <c r="H872" s="34" t="s">
        <v>2456</v>
      </c>
      <c r="I872" s="34" t="s">
        <v>18</v>
      </c>
      <c r="J872" s="34" t="s">
        <v>14</v>
      </c>
      <c r="K872" s="45">
        <v>108.4</v>
      </c>
      <c r="L872" s="45">
        <v>95.7</v>
      </c>
      <c r="M872" s="45">
        <v>107.1</v>
      </c>
    </row>
    <row r="873">
      <c r="A873" s="34" t="s">
        <v>70</v>
      </c>
      <c r="B873" s="34" t="s">
        <v>354</v>
      </c>
      <c r="C873" s="34">
        <v>29.0</v>
      </c>
      <c r="D873" s="34" t="s">
        <v>446</v>
      </c>
      <c r="E873" s="34" t="s">
        <v>2457</v>
      </c>
      <c r="F873" s="34" t="s">
        <v>2458</v>
      </c>
      <c r="G873" s="34">
        <v>29019.0</v>
      </c>
      <c r="H873" s="34" t="s">
        <v>449</v>
      </c>
      <c r="I873" s="34" t="s">
        <v>18</v>
      </c>
      <c r="J873" s="34" t="s">
        <v>15</v>
      </c>
      <c r="K873" s="45">
        <v>123.4</v>
      </c>
      <c r="L873" s="9"/>
      <c r="M873" s="45">
        <v>123.4</v>
      </c>
    </row>
    <row r="874">
      <c r="A874" s="34" t="s">
        <v>70</v>
      </c>
      <c r="B874" s="34" t="s">
        <v>354</v>
      </c>
      <c r="C874" s="34">
        <v>29.0</v>
      </c>
      <c r="D874" s="34" t="s">
        <v>446</v>
      </c>
      <c r="E874" s="34" t="s">
        <v>2459</v>
      </c>
      <c r="F874" s="34" t="s">
        <v>2460</v>
      </c>
      <c r="G874" s="34">
        <v>29019.0</v>
      </c>
      <c r="H874" s="34" t="s">
        <v>449</v>
      </c>
      <c r="I874" s="34" t="s">
        <v>18</v>
      </c>
      <c r="J874" s="34" t="s">
        <v>15</v>
      </c>
      <c r="K874" s="45">
        <v>118.9</v>
      </c>
      <c r="L874" s="9"/>
      <c r="M874" s="45">
        <v>118.9</v>
      </c>
    </row>
    <row r="875">
      <c r="A875" s="34" t="s">
        <v>70</v>
      </c>
      <c r="B875" s="34" t="s">
        <v>354</v>
      </c>
      <c r="C875" s="34">
        <v>29.0</v>
      </c>
      <c r="D875" s="34" t="s">
        <v>446</v>
      </c>
      <c r="E875" s="34" t="s">
        <v>2461</v>
      </c>
      <c r="F875" s="34" t="s">
        <v>2462</v>
      </c>
      <c r="G875" s="34">
        <v>29151.0</v>
      </c>
      <c r="H875" s="34" t="s">
        <v>471</v>
      </c>
      <c r="I875" s="34" t="s">
        <v>18</v>
      </c>
      <c r="J875" s="34" t="s">
        <v>15</v>
      </c>
      <c r="K875" s="45">
        <v>114.4</v>
      </c>
      <c r="L875" s="9"/>
      <c r="M875" s="45">
        <v>114.4</v>
      </c>
    </row>
    <row r="876">
      <c r="A876" s="34" t="s">
        <v>70</v>
      </c>
      <c r="B876" s="34" t="s">
        <v>354</v>
      </c>
      <c r="C876" s="34">
        <v>29.0</v>
      </c>
      <c r="D876" s="34" t="s">
        <v>446</v>
      </c>
      <c r="E876" s="34" t="s">
        <v>2463</v>
      </c>
      <c r="F876" s="34" t="s">
        <v>658</v>
      </c>
      <c r="G876" s="34">
        <v>29232.0</v>
      </c>
      <c r="H876" s="34" t="s">
        <v>466</v>
      </c>
      <c r="I876" s="34" t="s">
        <v>18</v>
      </c>
      <c r="J876" s="34" t="s">
        <v>13</v>
      </c>
      <c r="K876" s="9"/>
      <c r="L876" s="45">
        <v>88.3</v>
      </c>
      <c r="M876" s="45">
        <v>88.3</v>
      </c>
    </row>
    <row r="877">
      <c r="A877" s="34" t="s">
        <v>70</v>
      </c>
      <c r="B877" s="34" t="s">
        <v>354</v>
      </c>
      <c r="C877" s="34">
        <v>29.0</v>
      </c>
      <c r="D877" s="34" t="s">
        <v>446</v>
      </c>
      <c r="E877" s="34" t="s">
        <v>2464</v>
      </c>
      <c r="F877" s="34" t="s">
        <v>2465</v>
      </c>
      <c r="G877" s="34">
        <v>29019.0</v>
      </c>
      <c r="H877" s="34" t="s">
        <v>449</v>
      </c>
      <c r="I877" s="34" t="s">
        <v>18</v>
      </c>
      <c r="J877" s="34" t="s">
        <v>14</v>
      </c>
      <c r="K877" s="45">
        <v>97.4</v>
      </c>
      <c r="L877" s="45">
        <v>78.0</v>
      </c>
      <c r="M877" s="45">
        <v>83.1</v>
      </c>
    </row>
    <row r="878">
      <c r="A878" s="34" t="s">
        <v>70</v>
      </c>
      <c r="B878" s="34" t="s">
        <v>354</v>
      </c>
      <c r="C878" s="34">
        <v>29.0</v>
      </c>
      <c r="D878" s="34" t="s">
        <v>446</v>
      </c>
      <c r="E878" s="34" t="s">
        <v>2466</v>
      </c>
      <c r="F878" s="34" t="s">
        <v>2467</v>
      </c>
      <c r="G878" s="34">
        <v>29162.0</v>
      </c>
      <c r="H878" s="34" t="s">
        <v>2468</v>
      </c>
      <c r="I878" s="34" t="s">
        <v>18</v>
      </c>
      <c r="J878" s="34" t="s">
        <v>13</v>
      </c>
      <c r="K878" s="9"/>
      <c r="L878" s="45">
        <v>88.2</v>
      </c>
      <c r="M878" s="45">
        <v>88.2</v>
      </c>
    </row>
    <row r="879">
      <c r="A879" s="34" t="s">
        <v>70</v>
      </c>
      <c r="B879" s="34" t="s">
        <v>354</v>
      </c>
      <c r="C879" s="34">
        <v>29.0</v>
      </c>
      <c r="D879" s="34" t="s">
        <v>446</v>
      </c>
      <c r="E879" s="34" t="s">
        <v>2469</v>
      </c>
      <c r="F879" s="34" t="s">
        <v>2470</v>
      </c>
      <c r="G879" s="34">
        <v>29124.0</v>
      </c>
      <c r="H879" s="34" t="s">
        <v>2471</v>
      </c>
      <c r="I879" s="34" t="s">
        <v>17</v>
      </c>
      <c r="J879" s="34" t="s">
        <v>15</v>
      </c>
      <c r="K879" s="45">
        <v>115.6</v>
      </c>
      <c r="L879" s="9"/>
      <c r="M879" s="45">
        <v>115.6</v>
      </c>
    </row>
    <row r="880">
      <c r="A880" s="34" t="s">
        <v>70</v>
      </c>
      <c r="B880" s="34" t="s">
        <v>483</v>
      </c>
      <c r="C880" s="34">
        <v>30.0</v>
      </c>
      <c r="D880" s="34" t="s">
        <v>484</v>
      </c>
      <c r="E880" s="34" t="s">
        <v>2472</v>
      </c>
      <c r="F880" s="34" t="s">
        <v>2473</v>
      </c>
      <c r="G880" s="34">
        <v>30189.0</v>
      </c>
      <c r="H880" s="34" t="s">
        <v>490</v>
      </c>
      <c r="I880" s="34" t="s">
        <v>18</v>
      </c>
      <c r="J880" s="34" t="s">
        <v>13</v>
      </c>
      <c r="K880" s="9"/>
      <c r="L880" s="45">
        <v>77.4</v>
      </c>
      <c r="M880" s="45">
        <v>77.4</v>
      </c>
    </row>
    <row r="881">
      <c r="A881" s="34" t="s">
        <v>70</v>
      </c>
      <c r="B881" s="34" t="s">
        <v>483</v>
      </c>
      <c r="C881" s="34">
        <v>30.0</v>
      </c>
      <c r="D881" s="34" t="s">
        <v>484</v>
      </c>
      <c r="E881" s="34" t="s">
        <v>2474</v>
      </c>
      <c r="F881" s="34" t="s">
        <v>2475</v>
      </c>
      <c r="G881" s="34">
        <v>30007.0</v>
      </c>
      <c r="H881" s="34" t="s">
        <v>2476</v>
      </c>
      <c r="I881" s="34" t="s">
        <v>17</v>
      </c>
      <c r="J881" s="34" t="s">
        <v>15</v>
      </c>
      <c r="K881" s="45">
        <v>118.0</v>
      </c>
      <c r="L881" s="9"/>
      <c r="M881" s="45">
        <v>118.0</v>
      </c>
    </row>
    <row r="882">
      <c r="A882" s="34" t="s">
        <v>70</v>
      </c>
      <c r="B882" s="34" t="s">
        <v>483</v>
      </c>
      <c r="C882" s="34">
        <v>30.0</v>
      </c>
      <c r="D882" s="34" t="s">
        <v>484</v>
      </c>
      <c r="E882" s="34" t="s">
        <v>2477</v>
      </c>
      <c r="F882" s="34" t="s">
        <v>2478</v>
      </c>
      <c r="G882" s="34">
        <v>30189.0</v>
      </c>
      <c r="H882" s="34" t="s">
        <v>490</v>
      </c>
      <c r="I882" s="34" t="s">
        <v>17</v>
      </c>
      <c r="J882" s="34" t="s">
        <v>13</v>
      </c>
      <c r="K882" s="9"/>
      <c r="L882" s="45">
        <v>85.7</v>
      </c>
      <c r="M882" s="45">
        <v>85.7</v>
      </c>
    </row>
    <row r="883">
      <c r="A883" s="34" t="s">
        <v>70</v>
      </c>
      <c r="B883" s="34" t="s">
        <v>483</v>
      </c>
      <c r="C883" s="34">
        <v>30.0</v>
      </c>
      <c r="D883" s="34" t="s">
        <v>484</v>
      </c>
      <c r="E883" s="34" t="s">
        <v>2479</v>
      </c>
      <c r="F883" s="34" t="s">
        <v>2480</v>
      </c>
      <c r="G883" s="34">
        <v>30189.0</v>
      </c>
      <c r="H883" s="34" t="s">
        <v>490</v>
      </c>
      <c r="I883" s="34" t="s">
        <v>18</v>
      </c>
      <c r="J883" s="34" t="s">
        <v>13</v>
      </c>
      <c r="K883" s="9"/>
      <c r="L883" s="45">
        <v>79.8</v>
      </c>
      <c r="M883" s="45">
        <v>79.8</v>
      </c>
    </row>
    <row r="884">
      <c r="A884" s="34" t="s">
        <v>70</v>
      </c>
      <c r="B884" s="34" t="s">
        <v>483</v>
      </c>
      <c r="C884" s="34">
        <v>30.0</v>
      </c>
      <c r="D884" s="34" t="s">
        <v>484</v>
      </c>
      <c r="E884" s="34" t="s">
        <v>2481</v>
      </c>
      <c r="F884" s="34" t="s">
        <v>2482</v>
      </c>
      <c r="G884" s="34">
        <v>30321.0</v>
      </c>
      <c r="H884" s="34" t="s">
        <v>2483</v>
      </c>
      <c r="I884" s="34" t="s">
        <v>18</v>
      </c>
      <c r="J884" s="34" t="s">
        <v>14</v>
      </c>
      <c r="K884" s="45">
        <v>123.0</v>
      </c>
      <c r="L884" s="45">
        <v>86.8</v>
      </c>
      <c r="M884" s="45">
        <v>117.9</v>
      </c>
    </row>
    <row r="885">
      <c r="A885" s="34" t="s">
        <v>70</v>
      </c>
      <c r="B885" s="34" t="s">
        <v>182</v>
      </c>
      <c r="C885" s="34">
        <v>31.0</v>
      </c>
      <c r="D885" s="34" t="s">
        <v>508</v>
      </c>
      <c r="E885" s="34" t="s">
        <v>2484</v>
      </c>
      <c r="F885" s="34" t="s">
        <v>2485</v>
      </c>
      <c r="G885" s="34">
        <v>31555.0</v>
      </c>
      <c r="H885" s="34" t="s">
        <v>182</v>
      </c>
      <c r="I885" s="34" t="s">
        <v>18</v>
      </c>
      <c r="J885" s="34" t="s">
        <v>15</v>
      </c>
      <c r="K885" s="45">
        <v>118.0</v>
      </c>
      <c r="L885" s="9"/>
      <c r="M885" s="45">
        <v>118.0</v>
      </c>
    </row>
    <row r="886">
      <c r="A886" s="34" t="s">
        <v>70</v>
      </c>
      <c r="B886" s="34" t="s">
        <v>182</v>
      </c>
      <c r="C886" s="34">
        <v>31.0</v>
      </c>
      <c r="D886" s="34" t="s">
        <v>508</v>
      </c>
      <c r="E886" s="34" t="s">
        <v>2486</v>
      </c>
      <c r="F886" s="34" t="s">
        <v>2487</v>
      </c>
      <c r="G886" s="34">
        <v>31555.0</v>
      </c>
      <c r="H886" s="34" t="s">
        <v>182</v>
      </c>
      <c r="I886" s="34" t="s">
        <v>18</v>
      </c>
      <c r="J886" s="34" t="s">
        <v>13</v>
      </c>
      <c r="K886" s="9"/>
      <c r="L886" s="45">
        <v>79.8</v>
      </c>
      <c r="M886" s="45">
        <v>79.8</v>
      </c>
    </row>
    <row r="887">
      <c r="A887" s="34" t="s">
        <v>70</v>
      </c>
      <c r="B887" s="34" t="s">
        <v>182</v>
      </c>
      <c r="C887" s="34">
        <v>31.0</v>
      </c>
      <c r="D887" s="34" t="s">
        <v>508</v>
      </c>
      <c r="E887" s="34" t="s">
        <v>2488</v>
      </c>
      <c r="F887" s="34" t="s">
        <v>2489</v>
      </c>
      <c r="G887" s="34">
        <v>31555.0</v>
      </c>
      <c r="H887" s="34" t="s">
        <v>182</v>
      </c>
      <c r="I887" s="34" t="s">
        <v>18</v>
      </c>
      <c r="J887" s="34" t="s">
        <v>13</v>
      </c>
      <c r="K887" s="9"/>
      <c r="L887" s="45">
        <v>83.7</v>
      </c>
      <c r="M887" s="45">
        <v>83.7</v>
      </c>
    </row>
    <row r="888">
      <c r="A888" s="34" t="s">
        <v>70</v>
      </c>
      <c r="B888" s="34" t="s">
        <v>182</v>
      </c>
      <c r="C888" s="34">
        <v>31.0</v>
      </c>
      <c r="D888" s="34" t="s">
        <v>508</v>
      </c>
      <c r="E888" s="34" t="s">
        <v>2490</v>
      </c>
      <c r="F888" s="34" t="s">
        <v>2491</v>
      </c>
      <c r="G888" s="34">
        <v>31541.0</v>
      </c>
      <c r="H888" s="34" t="s">
        <v>2492</v>
      </c>
      <c r="I888" s="34" t="s">
        <v>17</v>
      </c>
      <c r="J888" s="34" t="s">
        <v>15</v>
      </c>
      <c r="K888" s="45">
        <v>138.6</v>
      </c>
      <c r="L888" s="9"/>
      <c r="M888" s="45">
        <v>138.6</v>
      </c>
    </row>
    <row r="889">
      <c r="A889" s="34" t="s">
        <v>70</v>
      </c>
      <c r="B889" s="34" t="s">
        <v>182</v>
      </c>
      <c r="C889" s="34">
        <v>31.0</v>
      </c>
      <c r="D889" s="34" t="s">
        <v>508</v>
      </c>
      <c r="E889" s="34" t="s">
        <v>2493</v>
      </c>
      <c r="F889" s="34" t="s">
        <v>2494</v>
      </c>
      <c r="G889" s="34">
        <v>31555.0</v>
      </c>
      <c r="H889" s="34" t="s">
        <v>182</v>
      </c>
      <c r="I889" s="34" t="s">
        <v>17</v>
      </c>
      <c r="J889" s="34" t="s">
        <v>15</v>
      </c>
      <c r="K889" s="45">
        <v>144.8</v>
      </c>
      <c r="L889" s="9"/>
      <c r="M889" s="45">
        <v>144.8</v>
      </c>
    </row>
    <row r="890">
      <c r="A890" s="34" t="s">
        <v>70</v>
      </c>
      <c r="B890" s="34" t="s">
        <v>182</v>
      </c>
      <c r="C890" s="34">
        <v>31.0</v>
      </c>
      <c r="D890" s="34" t="s">
        <v>508</v>
      </c>
      <c r="E890" s="34" t="s">
        <v>2495</v>
      </c>
      <c r="F890" s="34" t="s">
        <v>2496</v>
      </c>
      <c r="G890" s="34">
        <v>31555.0</v>
      </c>
      <c r="H890" s="34" t="s">
        <v>182</v>
      </c>
      <c r="I890" s="34" t="s">
        <v>17</v>
      </c>
      <c r="J890" s="34" t="s">
        <v>15</v>
      </c>
      <c r="K890" s="45">
        <v>126.8</v>
      </c>
      <c r="L890" s="9"/>
      <c r="M890" s="45">
        <v>126.8</v>
      </c>
    </row>
    <row r="891">
      <c r="A891" s="34" t="s">
        <v>70</v>
      </c>
      <c r="B891" s="34" t="s">
        <v>182</v>
      </c>
      <c r="C891" s="34">
        <v>31.0</v>
      </c>
      <c r="D891" s="34" t="s">
        <v>508</v>
      </c>
      <c r="E891" s="34" t="s">
        <v>2497</v>
      </c>
      <c r="F891" s="34" t="s">
        <v>2498</v>
      </c>
      <c r="G891" s="34">
        <v>31555.0</v>
      </c>
      <c r="H891" s="34" t="s">
        <v>182</v>
      </c>
      <c r="I891" s="34" t="s">
        <v>17</v>
      </c>
      <c r="J891" s="34" t="s">
        <v>13</v>
      </c>
      <c r="K891" s="9"/>
      <c r="L891" s="45">
        <v>73.6</v>
      </c>
      <c r="M891" s="45">
        <v>73.6</v>
      </c>
    </row>
    <row r="892">
      <c r="A892" s="34" t="s">
        <v>70</v>
      </c>
      <c r="B892" s="34" t="s">
        <v>182</v>
      </c>
      <c r="C892" s="34">
        <v>31.0</v>
      </c>
      <c r="D892" s="34" t="s">
        <v>508</v>
      </c>
      <c r="E892" s="34" t="s">
        <v>2499</v>
      </c>
      <c r="F892" s="34" t="s">
        <v>2500</v>
      </c>
      <c r="G892" s="34">
        <v>31421.0</v>
      </c>
      <c r="H892" s="34" t="s">
        <v>2501</v>
      </c>
      <c r="I892" s="34" t="s">
        <v>18</v>
      </c>
      <c r="J892" s="34" t="s">
        <v>14</v>
      </c>
      <c r="K892" s="45">
        <v>129.2</v>
      </c>
      <c r="L892" s="45">
        <v>97.1</v>
      </c>
      <c r="M892" s="45">
        <v>127.7</v>
      </c>
    </row>
    <row r="893">
      <c r="A893" s="34" t="s">
        <v>70</v>
      </c>
      <c r="B893" s="34" t="s">
        <v>182</v>
      </c>
      <c r="C893" s="34">
        <v>31.0</v>
      </c>
      <c r="D893" s="34" t="s">
        <v>508</v>
      </c>
      <c r="E893" s="34" t="s">
        <v>2502</v>
      </c>
      <c r="F893" s="34" t="s">
        <v>2503</v>
      </c>
      <c r="G893" s="34">
        <v>31417.0</v>
      </c>
      <c r="H893" s="34" t="s">
        <v>2504</v>
      </c>
      <c r="I893" s="34" t="s">
        <v>18</v>
      </c>
      <c r="J893" s="34" t="s">
        <v>15</v>
      </c>
      <c r="K893" s="45">
        <v>130.7</v>
      </c>
      <c r="L893" s="9"/>
      <c r="M893" s="45">
        <v>130.7</v>
      </c>
    </row>
    <row r="894">
      <c r="A894" s="34" t="s">
        <v>70</v>
      </c>
      <c r="B894" s="34" t="s">
        <v>182</v>
      </c>
      <c r="C894" s="34">
        <v>32.0</v>
      </c>
      <c r="D894" s="34" t="s">
        <v>539</v>
      </c>
      <c r="E894" s="34" t="s">
        <v>2505</v>
      </c>
      <c r="F894" s="34" t="s">
        <v>2506</v>
      </c>
      <c r="G894" s="34">
        <v>32160.0</v>
      </c>
      <c r="H894" s="34" t="s">
        <v>2507</v>
      </c>
      <c r="I894" s="34" t="s">
        <v>18</v>
      </c>
      <c r="J894" s="34" t="s">
        <v>15</v>
      </c>
      <c r="K894" s="45">
        <v>127.9</v>
      </c>
      <c r="L894" s="9"/>
      <c r="M894" s="45">
        <v>127.9</v>
      </c>
    </row>
    <row r="895">
      <c r="A895" s="34" t="s">
        <v>70</v>
      </c>
      <c r="B895" s="34" t="s">
        <v>182</v>
      </c>
      <c r="C895" s="34">
        <v>32.0</v>
      </c>
      <c r="D895" s="34" t="s">
        <v>539</v>
      </c>
      <c r="E895" s="34" t="s">
        <v>2508</v>
      </c>
      <c r="F895" s="34" t="s">
        <v>2509</v>
      </c>
      <c r="G895" s="34">
        <v>32013.0</v>
      </c>
      <c r="H895" s="34" t="s">
        <v>551</v>
      </c>
      <c r="I895" s="34" t="s">
        <v>17</v>
      </c>
      <c r="J895" s="34" t="s">
        <v>13</v>
      </c>
      <c r="K895" s="9"/>
      <c r="L895" s="45">
        <v>104.3</v>
      </c>
      <c r="M895" s="45">
        <v>104.3</v>
      </c>
    </row>
    <row r="896">
      <c r="A896" s="34" t="s">
        <v>70</v>
      </c>
      <c r="B896" s="34" t="s">
        <v>377</v>
      </c>
      <c r="C896" s="34">
        <v>33.0</v>
      </c>
      <c r="D896" s="34" t="s">
        <v>560</v>
      </c>
      <c r="E896" s="34" t="s">
        <v>2510</v>
      </c>
      <c r="F896" s="34" t="s">
        <v>2511</v>
      </c>
      <c r="G896" s="34">
        <v>33058.0</v>
      </c>
      <c r="H896" s="34" t="s">
        <v>2512</v>
      </c>
      <c r="I896" s="34" t="s">
        <v>18</v>
      </c>
      <c r="J896" s="34" t="s">
        <v>15</v>
      </c>
      <c r="K896" s="45">
        <v>108.5</v>
      </c>
      <c r="L896" s="9"/>
      <c r="M896" s="45">
        <v>108.5</v>
      </c>
    </row>
    <row r="897">
      <c r="A897" s="34" t="s">
        <v>70</v>
      </c>
      <c r="B897" s="34" t="s">
        <v>377</v>
      </c>
      <c r="C897" s="34">
        <v>33.0</v>
      </c>
      <c r="D897" s="34" t="s">
        <v>560</v>
      </c>
      <c r="E897" s="34" t="s">
        <v>2513</v>
      </c>
      <c r="F897" s="34" t="s">
        <v>2514</v>
      </c>
      <c r="G897" s="34">
        <v>33063.0</v>
      </c>
      <c r="H897" s="34" t="s">
        <v>377</v>
      </c>
      <c r="I897" s="34" t="s">
        <v>18</v>
      </c>
      <c r="J897" s="34" t="s">
        <v>15</v>
      </c>
      <c r="K897" s="45">
        <v>134.7</v>
      </c>
      <c r="L897" s="9"/>
      <c r="M897" s="45">
        <v>134.7</v>
      </c>
    </row>
    <row r="898">
      <c r="A898" s="34" t="s">
        <v>70</v>
      </c>
      <c r="B898" s="34" t="s">
        <v>377</v>
      </c>
      <c r="C898" s="34">
        <v>33.0</v>
      </c>
      <c r="D898" s="34" t="s">
        <v>560</v>
      </c>
      <c r="E898" s="34" t="s">
        <v>2515</v>
      </c>
      <c r="F898" s="34" t="s">
        <v>2516</v>
      </c>
      <c r="G898" s="34">
        <v>33063.0</v>
      </c>
      <c r="H898" s="34" t="s">
        <v>377</v>
      </c>
      <c r="I898" s="34" t="s">
        <v>18</v>
      </c>
      <c r="J898" s="34" t="s">
        <v>15</v>
      </c>
      <c r="K898" s="45">
        <v>136.3</v>
      </c>
      <c r="L898" s="9"/>
      <c r="M898" s="45">
        <v>136.3</v>
      </c>
    </row>
    <row r="899">
      <c r="A899" s="34" t="s">
        <v>70</v>
      </c>
      <c r="B899" s="34" t="s">
        <v>377</v>
      </c>
      <c r="C899" s="34">
        <v>33.0</v>
      </c>
      <c r="D899" s="34" t="s">
        <v>560</v>
      </c>
      <c r="E899" s="34" t="s">
        <v>2517</v>
      </c>
      <c r="F899" s="34" t="s">
        <v>2518</v>
      </c>
      <c r="G899" s="34">
        <v>33063.0</v>
      </c>
      <c r="H899" s="34" t="s">
        <v>377</v>
      </c>
      <c r="I899" s="34" t="s">
        <v>18</v>
      </c>
      <c r="J899" s="34" t="s">
        <v>13</v>
      </c>
      <c r="K899" s="9"/>
      <c r="L899" s="45">
        <v>84.0</v>
      </c>
      <c r="M899" s="45">
        <v>84.0</v>
      </c>
    </row>
    <row r="900">
      <c r="A900" s="34" t="s">
        <v>70</v>
      </c>
      <c r="B900" s="34" t="s">
        <v>377</v>
      </c>
      <c r="C900" s="34">
        <v>33.0</v>
      </c>
      <c r="D900" s="34" t="s">
        <v>560</v>
      </c>
      <c r="E900" s="34" t="s">
        <v>2519</v>
      </c>
      <c r="F900" s="34" t="s">
        <v>2316</v>
      </c>
      <c r="G900" s="34">
        <v>33243.0</v>
      </c>
      <c r="H900" s="34" t="s">
        <v>593</v>
      </c>
      <c r="I900" s="34" t="s">
        <v>18</v>
      </c>
      <c r="J900" s="34" t="s">
        <v>14</v>
      </c>
      <c r="K900" s="45">
        <v>109.1</v>
      </c>
      <c r="L900" s="45">
        <v>90.7</v>
      </c>
      <c r="M900" s="45">
        <v>97.1</v>
      </c>
    </row>
    <row r="901">
      <c r="A901" s="34" t="s">
        <v>70</v>
      </c>
      <c r="B901" s="34" t="s">
        <v>377</v>
      </c>
      <c r="C901" s="34">
        <v>33.0</v>
      </c>
      <c r="D901" s="34" t="s">
        <v>560</v>
      </c>
      <c r="E901" s="34" t="s">
        <v>2520</v>
      </c>
      <c r="F901" s="34" t="s">
        <v>2521</v>
      </c>
      <c r="G901" s="34">
        <v>33402.0</v>
      </c>
      <c r="H901" s="34" t="s">
        <v>2522</v>
      </c>
      <c r="I901" s="34" t="s">
        <v>18</v>
      </c>
      <c r="J901" s="34" t="s">
        <v>13</v>
      </c>
      <c r="K901" s="9"/>
      <c r="L901" s="45">
        <v>80.5</v>
      </c>
      <c r="M901" s="45">
        <v>80.5</v>
      </c>
    </row>
    <row r="902">
      <c r="A902" s="34" t="s">
        <v>70</v>
      </c>
      <c r="B902" s="34" t="s">
        <v>377</v>
      </c>
      <c r="C902" s="34">
        <v>33.0</v>
      </c>
      <c r="D902" s="34" t="s">
        <v>560</v>
      </c>
      <c r="E902" s="34" t="s">
        <v>2523</v>
      </c>
      <c r="F902" s="34" t="s">
        <v>2197</v>
      </c>
      <c r="G902" s="34">
        <v>33063.0</v>
      </c>
      <c r="H902" s="34" t="s">
        <v>377</v>
      </c>
      <c r="I902" s="34" t="s">
        <v>17</v>
      </c>
      <c r="J902" s="34" t="s">
        <v>15</v>
      </c>
      <c r="K902" s="45">
        <v>112.8</v>
      </c>
      <c r="L902" s="9"/>
      <c r="M902" s="45">
        <v>112.8</v>
      </c>
    </row>
    <row r="903">
      <c r="A903" s="34" t="s">
        <v>70</v>
      </c>
      <c r="B903" s="34" t="s">
        <v>377</v>
      </c>
      <c r="C903" s="34">
        <v>33.0</v>
      </c>
      <c r="D903" s="34" t="s">
        <v>560</v>
      </c>
      <c r="E903" s="34" t="s">
        <v>2524</v>
      </c>
      <c r="F903" s="34" t="s">
        <v>2525</v>
      </c>
      <c r="G903" s="34">
        <v>33063.0</v>
      </c>
      <c r="H903" s="34" t="s">
        <v>377</v>
      </c>
      <c r="I903" s="34" t="s">
        <v>17</v>
      </c>
      <c r="J903" s="34" t="s">
        <v>13</v>
      </c>
      <c r="K903" s="9"/>
      <c r="L903" s="45">
        <v>103.6</v>
      </c>
      <c r="M903" s="45">
        <v>103.6</v>
      </c>
    </row>
    <row r="904">
      <c r="A904" s="34" t="s">
        <v>70</v>
      </c>
      <c r="B904" s="34" t="s">
        <v>377</v>
      </c>
      <c r="C904" s="34">
        <v>33.0</v>
      </c>
      <c r="D904" s="34" t="s">
        <v>560</v>
      </c>
      <c r="E904" s="34" t="s">
        <v>2526</v>
      </c>
      <c r="F904" s="34" t="s">
        <v>456</v>
      </c>
      <c r="G904" s="34">
        <v>33227.0</v>
      </c>
      <c r="H904" s="34" t="s">
        <v>2527</v>
      </c>
      <c r="I904" s="34" t="s">
        <v>18</v>
      </c>
      <c r="J904" s="34" t="s">
        <v>15</v>
      </c>
      <c r="K904" s="45">
        <v>119.7</v>
      </c>
      <c r="L904" s="9"/>
      <c r="M904" s="45">
        <v>119.7</v>
      </c>
    </row>
    <row r="905">
      <c r="A905" s="34" t="s">
        <v>70</v>
      </c>
      <c r="B905" s="34" t="s">
        <v>377</v>
      </c>
      <c r="C905" s="34">
        <v>33.0</v>
      </c>
      <c r="D905" s="34" t="s">
        <v>560</v>
      </c>
      <c r="E905" s="34" t="s">
        <v>2528</v>
      </c>
      <c r="F905" s="34" t="s">
        <v>2529</v>
      </c>
      <c r="G905" s="34">
        <v>33249.0</v>
      </c>
      <c r="H905" s="34" t="s">
        <v>2530</v>
      </c>
      <c r="I905" s="34" t="s">
        <v>18</v>
      </c>
      <c r="J905" s="34" t="s">
        <v>13</v>
      </c>
      <c r="K905" s="9"/>
      <c r="L905" s="45">
        <v>90.4</v>
      </c>
      <c r="M905" s="45">
        <v>90.4</v>
      </c>
    </row>
    <row r="906">
      <c r="A906" s="34" t="s">
        <v>70</v>
      </c>
      <c r="B906" s="34" t="s">
        <v>377</v>
      </c>
      <c r="C906" s="34">
        <v>33.0</v>
      </c>
      <c r="D906" s="34" t="s">
        <v>560</v>
      </c>
      <c r="E906" s="34" t="s">
        <v>2531</v>
      </c>
      <c r="F906" s="34" t="s">
        <v>2532</v>
      </c>
      <c r="G906" s="34">
        <v>33249.0</v>
      </c>
      <c r="H906" s="34" t="s">
        <v>2530</v>
      </c>
      <c r="I906" s="34" t="s">
        <v>18</v>
      </c>
      <c r="J906" s="34" t="s">
        <v>15</v>
      </c>
      <c r="K906" s="45">
        <v>101.1</v>
      </c>
      <c r="L906" s="9"/>
      <c r="M906" s="45">
        <v>101.1</v>
      </c>
    </row>
    <row r="907">
      <c r="A907" s="34" t="s">
        <v>70</v>
      </c>
      <c r="B907" s="34" t="s">
        <v>377</v>
      </c>
      <c r="C907" s="34">
        <v>33.0</v>
      </c>
      <c r="D907" s="34" t="s">
        <v>560</v>
      </c>
      <c r="E907" s="34" t="s">
        <v>2533</v>
      </c>
      <c r="F907" s="34" t="s">
        <v>2534</v>
      </c>
      <c r="G907" s="34">
        <v>33519.0</v>
      </c>
      <c r="H907" s="34" t="s">
        <v>2535</v>
      </c>
      <c r="I907" s="34" t="s">
        <v>18</v>
      </c>
      <c r="J907" s="34" t="s">
        <v>15</v>
      </c>
      <c r="K907" s="45">
        <v>135.4</v>
      </c>
      <c r="L907" s="9"/>
      <c r="M907" s="45">
        <v>135.4</v>
      </c>
    </row>
    <row r="908">
      <c r="A908" s="34" t="s">
        <v>70</v>
      </c>
      <c r="B908" s="34" t="s">
        <v>377</v>
      </c>
      <c r="C908" s="34">
        <v>33.0</v>
      </c>
      <c r="D908" s="34" t="s">
        <v>560</v>
      </c>
      <c r="E908" s="34" t="s">
        <v>2536</v>
      </c>
      <c r="F908" s="34" t="s">
        <v>2537</v>
      </c>
      <c r="G908" s="34">
        <v>33192.0</v>
      </c>
      <c r="H908" s="34" t="s">
        <v>2538</v>
      </c>
      <c r="I908" s="34" t="s">
        <v>18</v>
      </c>
      <c r="J908" s="34" t="s">
        <v>15</v>
      </c>
      <c r="K908" s="45">
        <v>137.2</v>
      </c>
      <c r="L908" s="9"/>
      <c r="M908" s="45">
        <v>137.2</v>
      </c>
    </row>
    <row r="909">
      <c r="A909" s="34" t="s">
        <v>70</v>
      </c>
      <c r="B909" s="34" t="s">
        <v>483</v>
      </c>
      <c r="C909" s="34">
        <v>34.0</v>
      </c>
      <c r="D909" s="34" t="s">
        <v>609</v>
      </c>
      <c r="E909" s="34" t="s">
        <v>2539</v>
      </c>
      <c r="F909" s="34" t="s">
        <v>2540</v>
      </c>
      <c r="G909" s="34">
        <v>34172.0</v>
      </c>
      <c r="H909" s="34" t="s">
        <v>483</v>
      </c>
      <c r="I909" s="34" t="s">
        <v>18</v>
      </c>
      <c r="J909" s="34" t="s">
        <v>14</v>
      </c>
      <c r="K909" s="45">
        <v>106.7</v>
      </c>
      <c r="L909" s="45">
        <v>87.7</v>
      </c>
      <c r="M909" s="45">
        <v>104.6</v>
      </c>
    </row>
    <row r="910">
      <c r="A910" s="34" t="s">
        <v>70</v>
      </c>
      <c r="B910" s="34" t="s">
        <v>483</v>
      </c>
      <c r="C910" s="34">
        <v>34.0</v>
      </c>
      <c r="D910" s="34" t="s">
        <v>609</v>
      </c>
      <c r="E910" s="34" t="s">
        <v>2541</v>
      </c>
      <c r="F910" s="34" t="s">
        <v>2542</v>
      </c>
      <c r="G910" s="34">
        <v>34172.0</v>
      </c>
      <c r="H910" s="34" t="s">
        <v>483</v>
      </c>
      <c r="I910" s="34" t="s">
        <v>18</v>
      </c>
      <c r="J910" s="34" t="s">
        <v>13</v>
      </c>
      <c r="K910" s="9"/>
      <c r="L910" s="45">
        <v>80.6</v>
      </c>
      <c r="M910" s="45">
        <v>80.6</v>
      </c>
    </row>
    <row r="911">
      <c r="A911" s="34" t="s">
        <v>70</v>
      </c>
      <c r="B911" s="34" t="s">
        <v>483</v>
      </c>
      <c r="C911" s="34">
        <v>34.0</v>
      </c>
      <c r="D911" s="34" t="s">
        <v>609</v>
      </c>
      <c r="E911" s="34" t="s">
        <v>2543</v>
      </c>
      <c r="F911" s="34" t="s">
        <v>2544</v>
      </c>
      <c r="G911" s="34">
        <v>34032.0</v>
      </c>
      <c r="H911" s="34" t="s">
        <v>2545</v>
      </c>
      <c r="I911" s="34" t="s">
        <v>17</v>
      </c>
      <c r="J911" s="34" t="s">
        <v>14</v>
      </c>
      <c r="K911" s="45">
        <v>123.4</v>
      </c>
      <c r="L911" s="45">
        <v>106.6</v>
      </c>
      <c r="M911" s="45">
        <v>107.8</v>
      </c>
    </row>
    <row r="912">
      <c r="A912" s="34" t="s">
        <v>70</v>
      </c>
      <c r="B912" s="34" t="s">
        <v>483</v>
      </c>
      <c r="C912" s="34">
        <v>34.0</v>
      </c>
      <c r="D912" s="34" t="s">
        <v>609</v>
      </c>
      <c r="E912" s="34" t="s">
        <v>2546</v>
      </c>
      <c r="F912" s="34" t="s">
        <v>2149</v>
      </c>
      <c r="G912" s="34">
        <v>34301.0</v>
      </c>
      <c r="H912" s="34" t="s">
        <v>615</v>
      </c>
      <c r="I912" s="34" t="s">
        <v>17</v>
      </c>
      <c r="J912" s="34" t="s">
        <v>14</v>
      </c>
      <c r="K912" s="45">
        <v>125.5</v>
      </c>
      <c r="L912" s="45">
        <v>95.2</v>
      </c>
      <c r="M912" s="45">
        <v>122.6</v>
      </c>
    </row>
    <row r="913">
      <c r="A913" s="34" t="s">
        <v>70</v>
      </c>
      <c r="B913" s="34" t="s">
        <v>354</v>
      </c>
      <c r="C913" s="34">
        <v>35.0</v>
      </c>
      <c r="D913" s="34" t="s">
        <v>622</v>
      </c>
      <c r="E913" s="34" t="s">
        <v>2547</v>
      </c>
      <c r="F913" s="34" t="s">
        <v>2548</v>
      </c>
      <c r="G913" s="34">
        <v>35093.0</v>
      </c>
      <c r="H913" s="34" t="s">
        <v>2549</v>
      </c>
      <c r="I913" s="34" t="s">
        <v>18</v>
      </c>
      <c r="J913" s="34" t="s">
        <v>14</v>
      </c>
      <c r="K913" s="45">
        <v>125.2</v>
      </c>
      <c r="L913" s="45">
        <v>103.3</v>
      </c>
      <c r="M913" s="45">
        <v>111.3</v>
      </c>
    </row>
    <row r="914">
      <c r="A914" s="34" t="s">
        <v>70</v>
      </c>
      <c r="B914" s="34" t="s">
        <v>354</v>
      </c>
      <c r="C914" s="34">
        <v>35.0</v>
      </c>
      <c r="D914" s="34" t="s">
        <v>622</v>
      </c>
      <c r="E914" s="34" t="s">
        <v>2550</v>
      </c>
      <c r="F914" s="34" t="s">
        <v>2551</v>
      </c>
      <c r="G914" s="34">
        <v>35115.0</v>
      </c>
      <c r="H914" s="34" t="s">
        <v>2552</v>
      </c>
      <c r="I914" s="34" t="s">
        <v>18</v>
      </c>
      <c r="J914" s="34" t="s">
        <v>15</v>
      </c>
      <c r="K914" s="45">
        <v>109.3</v>
      </c>
      <c r="L914" s="9"/>
      <c r="M914" s="45">
        <v>109.3</v>
      </c>
    </row>
    <row r="915">
      <c r="A915" s="34" t="s">
        <v>70</v>
      </c>
      <c r="B915" s="34" t="s">
        <v>354</v>
      </c>
      <c r="C915" s="34">
        <v>35.0</v>
      </c>
      <c r="D915" s="34" t="s">
        <v>622</v>
      </c>
      <c r="E915" s="34" t="s">
        <v>2553</v>
      </c>
      <c r="F915" s="34" t="s">
        <v>2554</v>
      </c>
      <c r="G915" s="34">
        <v>35238.0</v>
      </c>
      <c r="H915" s="34" t="s">
        <v>354</v>
      </c>
      <c r="I915" s="34" t="s">
        <v>18</v>
      </c>
      <c r="J915" s="34" t="s">
        <v>15</v>
      </c>
      <c r="K915" s="45">
        <v>134.4</v>
      </c>
      <c r="L915" s="9"/>
      <c r="M915" s="45">
        <v>134.4</v>
      </c>
    </row>
    <row r="916">
      <c r="A916" s="34" t="s">
        <v>70</v>
      </c>
      <c r="B916" s="34" t="s">
        <v>354</v>
      </c>
      <c r="C916" s="34">
        <v>35.0</v>
      </c>
      <c r="D916" s="34" t="s">
        <v>622</v>
      </c>
      <c r="E916" s="34" t="s">
        <v>2555</v>
      </c>
      <c r="F916" s="34" t="s">
        <v>2556</v>
      </c>
      <c r="G916" s="34">
        <v>35238.0</v>
      </c>
      <c r="H916" s="34" t="s">
        <v>354</v>
      </c>
      <c r="I916" s="34" t="s">
        <v>18</v>
      </c>
      <c r="J916" s="34" t="s">
        <v>15</v>
      </c>
      <c r="K916" s="45">
        <v>114.7</v>
      </c>
      <c r="L916" s="9"/>
      <c r="M916" s="45">
        <v>114.7</v>
      </c>
    </row>
    <row r="917">
      <c r="A917" s="34" t="s">
        <v>70</v>
      </c>
      <c r="B917" s="34" t="s">
        <v>354</v>
      </c>
      <c r="C917" s="34">
        <v>35.0</v>
      </c>
      <c r="D917" s="34" t="s">
        <v>622</v>
      </c>
      <c r="E917" s="34" t="s">
        <v>2557</v>
      </c>
      <c r="F917" s="34" t="s">
        <v>2558</v>
      </c>
      <c r="G917" s="34">
        <v>35288.0</v>
      </c>
      <c r="H917" s="34" t="s">
        <v>2559</v>
      </c>
      <c r="I917" s="34" t="s">
        <v>18</v>
      </c>
      <c r="J917" s="34" t="s">
        <v>13</v>
      </c>
      <c r="K917" s="9"/>
      <c r="L917" s="45">
        <v>89.6</v>
      </c>
      <c r="M917" s="45">
        <v>89.6</v>
      </c>
    </row>
    <row r="918">
      <c r="A918" s="34" t="s">
        <v>70</v>
      </c>
      <c r="B918" s="34" t="s">
        <v>354</v>
      </c>
      <c r="C918" s="34">
        <v>35.0</v>
      </c>
      <c r="D918" s="34" t="s">
        <v>622</v>
      </c>
      <c r="E918" s="34" t="s">
        <v>2560</v>
      </c>
      <c r="F918" s="34" t="s">
        <v>2561</v>
      </c>
      <c r="G918" s="34">
        <v>35238.0</v>
      </c>
      <c r="H918" s="34" t="s">
        <v>354</v>
      </c>
      <c r="I918" s="34" t="s">
        <v>17</v>
      </c>
      <c r="J918" s="34" t="s">
        <v>15</v>
      </c>
      <c r="K918" s="45">
        <v>116.7</v>
      </c>
      <c r="L918" s="9"/>
      <c r="M918" s="45">
        <v>116.7</v>
      </c>
    </row>
    <row r="919">
      <c r="A919" s="34" t="s">
        <v>70</v>
      </c>
      <c r="B919" s="34" t="s">
        <v>354</v>
      </c>
      <c r="C919" s="34">
        <v>35.0</v>
      </c>
      <c r="D919" s="34" t="s">
        <v>622</v>
      </c>
      <c r="E919" s="34" t="s">
        <v>2562</v>
      </c>
      <c r="F919" s="34" t="s">
        <v>1526</v>
      </c>
      <c r="G919" s="34">
        <v>35236.0</v>
      </c>
      <c r="H919" s="34" t="s">
        <v>2563</v>
      </c>
      <c r="I919" s="34" t="s">
        <v>17</v>
      </c>
      <c r="J919" s="34" t="s">
        <v>13</v>
      </c>
      <c r="K919" s="9"/>
      <c r="L919" s="45">
        <v>94.9</v>
      </c>
      <c r="M919" s="45">
        <v>94.9</v>
      </c>
    </row>
    <row r="920">
      <c r="A920" s="34" t="s">
        <v>70</v>
      </c>
      <c r="B920" s="34" t="s">
        <v>354</v>
      </c>
      <c r="C920" s="34">
        <v>35.0</v>
      </c>
      <c r="D920" s="34" t="s">
        <v>622</v>
      </c>
      <c r="E920" s="34" t="s">
        <v>2564</v>
      </c>
      <c r="F920" s="34" t="s">
        <v>2565</v>
      </c>
      <c r="G920" s="34">
        <v>35238.0</v>
      </c>
      <c r="H920" s="34" t="s">
        <v>354</v>
      </c>
      <c r="I920" s="34" t="s">
        <v>17</v>
      </c>
      <c r="J920" s="34" t="s">
        <v>14</v>
      </c>
      <c r="K920" s="45">
        <v>116.4</v>
      </c>
      <c r="L920" s="45">
        <v>106.8</v>
      </c>
      <c r="M920" s="45">
        <v>109.9</v>
      </c>
    </row>
    <row r="921">
      <c r="A921" s="34" t="s">
        <v>70</v>
      </c>
      <c r="B921" s="34" t="s">
        <v>354</v>
      </c>
      <c r="C921" s="34">
        <v>35.0</v>
      </c>
      <c r="D921" s="34" t="s">
        <v>622</v>
      </c>
      <c r="E921" s="34" t="s">
        <v>2566</v>
      </c>
      <c r="F921" s="34" t="s">
        <v>2567</v>
      </c>
      <c r="G921" s="34">
        <v>35238.0</v>
      </c>
      <c r="H921" s="34" t="s">
        <v>354</v>
      </c>
      <c r="I921" s="34" t="s">
        <v>18</v>
      </c>
      <c r="J921" s="34" t="s">
        <v>13</v>
      </c>
      <c r="K921" s="9"/>
      <c r="L921" s="45">
        <v>83.8</v>
      </c>
      <c r="M921" s="45">
        <v>83.8</v>
      </c>
    </row>
    <row r="922">
      <c r="A922" s="34" t="s">
        <v>70</v>
      </c>
      <c r="B922" s="34" t="s">
        <v>354</v>
      </c>
      <c r="C922" s="34">
        <v>35.0</v>
      </c>
      <c r="D922" s="34" t="s">
        <v>622</v>
      </c>
      <c r="E922" s="34" t="s">
        <v>2568</v>
      </c>
      <c r="F922" s="34" t="s">
        <v>2569</v>
      </c>
      <c r="G922" s="34">
        <v>35238.0</v>
      </c>
      <c r="H922" s="34" t="s">
        <v>354</v>
      </c>
      <c r="I922" s="34" t="s">
        <v>18</v>
      </c>
      <c r="J922" s="34" t="s">
        <v>15</v>
      </c>
      <c r="K922" s="45">
        <v>115.7</v>
      </c>
      <c r="L922" s="9"/>
      <c r="M922" s="45">
        <v>115.7</v>
      </c>
    </row>
    <row r="923">
      <c r="A923" s="34" t="s">
        <v>70</v>
      </c>
      <c r="B923" s="34" t="s">
        <v>313</v>
      </c>
      <c r="C923" s="34">
        <v>36.0</v>
      </c>
      <c r="D923" s="34" t="s">
        <v>628</v>
      </c>
      <c r="E923" s="34" t="s">
        <v>2570</v>
      </c>
      <c r="F923" s="34" t="s">
        <v>2571</v>
      </c>
      <c r="G923" s="34">
        <v>36006.0</v>
      </c>
      <c r="H923" s="34" t="s">
        <v>631</v>
      </c>
      <c r="I923" s="34" t="s">
        <v>18</v>
      </c>
      <c r="J923" s="34" t="s">
        <v>13</v>
      </c>
      <c r="K923" s="9"/>
      <c r="L923" s="45">
        <v>82.1</v>
      </c>
      <c r="M923" s="45">
        <v>82.1</v>
      </c>
    </row>
    <row r="924">
      <c r="A924" s="34" t="s">
        <v>70</v>
      </c>
      <c r="B924" s="34" t="s">
        <v>313</v>
      </c>
      <c r="C924" s="34">
        <v>36.0</v>
      </c>
      <c r="D924" s="34" t="s">
        <v>628</v>
      </c>
      <c r="E924" s="34" t="s">
        <v>2572</v>
      </c>
      <c r="F924" s="34" t="s">
        <v>2573</v>
      </c>
      <c r="G924" s="34">
        <v>36018.0</v>
      </c>
      <c r="H924" s="34" t="s">
        <v>2574</v>
      </c>
      <c r="I924" s="34" t="s">
        <v>18</v>
      </c>
      <c r="J924" s="34" t="s">
        <v>14</v>
      </c>
      <c r="K924" s="45">
        <v>111.7</v>
      </c>
      <c r="L924" s="45">
        <v>89.7</v>
      </c>
      <c r="M924" s="45">
        <v>103.3</v>
      </c>
    </row>
    <row r="925">
      <c r="A925" s="34" t="s">
        <v>70</v>
      </c>
      <c r="B925" s="34" t="s">
        <v>313</v>
      </c>
      <c r="C925" s="34">
        <v>36.0</v>
      </c>
      <c r="D925" s="34" t="s">
        <v>628</v>
      </c>
      <c r="E925" s="34" t="s">
        <v>2575</v>
      </c>
      <c r="F925" s="34" t="s">
        <v>2576</v>
      </c>
      <c r="G925" s="34">
        <v>36088.0</v>
      </c>
      <c r="H925" s="34" t="s">
        <v>2577</v>
      </c>
      <c r="I925" s="34" t="s">
        <v>17</v>
      </c>
      <c r="J925" s="34" t="s">
        <v>14</v>
      </c>
      <c r="K925" s="45">
        <v>112.0</v>
      </c>
      <c r="L925" s="45">
        <v>102.7</v>
      </c>
      <c r="M925" s="45">
        <v>106.6</v>
      </c>
    </row>
    <row r="926">
      <c r="A926" s="34" t="s">
        <v>70</v>
      </c>
      <c r="B926" s="34" t="s">
        <v>313</v>
      </c>
      <c r="C926" s="34">
        <v>36.0</v>
      </c>
      <c r="D926" s="34" t="s">
        <v>628</v>
      </c>
      <c r="E926" s="34" t="s">
        <v>2578</v>
      </c>
      <c r="F926" s="34" t="s">
        <v>2579</v>
      </c>
      <c r="G926" s="34">
        <v>36044.0</v>
      </c>
      <c r="H926" s="34" t="s">
        <v>634</v>
      </c>
      <c r="I926" s="34" t="s">
        <v>17</v>
      </c>
      <c r="J926" s="34" t="s">
        <v>14</v>
      </c>
      <c r="K926" s="45">
        <v>124.1</v>
      </c>
      <c r="L926" s="45">
        <v>114.4</v>
      </c>
      <c r="M926" s="45">
        <v>123.8</v>
      </c>
    </row>
    <row r="927">
      <c r="A927" s="34" t="s">
        <v>70</v>
      </c>
      <c r="B927" s="34" t="s">
        <v>313</v>
      </c>
      <c r="C927" s="34">
        <v>37.0</v>
      </c>
      <c r="D927" s="34" t="s">
        <v>637</v>
      </c>
      <c r="E927" s="34" t="s">
        <v>2580</v>
      </c>
      <c r="F927" s="34" t="s">
        <v>2581</v>
      </c>
      <c r="G927" s="34">
        <v>37003.0</v>
      </c>
      <c r="H927" s="34" t="s">
        <v>659</v>
      </c>
      <c r="I927" s="34" t="s">
        <v>18</v>
      </c>
      <c r="J927" s="34" t="s">
        <v>15</v>
      </c>
      <c r="K927" s="45">
        <v>118.8</v>
      </c>
      <c r="L927" s="9"/>
      <c r="M927" s="45">
        <v>118.8</v>
      </c>
    </row>
    <row r="928">
      <c r="A928" s="34" t="s">
        <v>70</v>
      </c>
      <c r="B928" s="34" t="s">
        <v>313</v>
      </c>
      <c r="C928" s="34">
        <v>37.0</v>
      </c>
      <c r="D928" s="34" t="s">
        <v>637</v>
      </c>
      <c r="E928" s="34" t="s">
        <v>2582</v>
      </c>
      <c r="F928" s="34" t="s">
        <v>2583</v>
      </c>
      <c r="G928" s="34">
        <v>37261.0</v>
      </c>
      <c r="H928" s="34" t="s">
        <v>640</v>
      </c>
      <c r="I928" s="34" t="s">
        <v>18</v>
      </c>
      <c r="J928" s="34" t="s">
        <v>15</v>
      </c>
      <c r="K928" s="45">
        <v>132.5</v>
      </c>
      <c r="L928" s="9"/>
      <c r="M928" s="45">
        <v>132.5</v>
      </c>
    </row>
    <row r="929">
      <c r="A929" s="34" t="s">
        <v>70</v>
      </c>
      <c r="B929" s="34" t="s">
        <v>313</v>
      </c>
      <c r="C929" s="34">
        <v>37.0</v>
      </c>
      <c r="D929" s="34" t="s">
        <v>637</v>
      </c>
      <c r="E929" s="34" t="s">
        <v>2584</v>
      </c>
      <c r="F929" s="34" t="s">
        <v>2585</v>
      </c>
      <c r="G929" s="34">
        <v>37261.0</v>
      </c>
      <c r="H929" s="34" t="s">
        <v>640</v>
      </c>
      <c r="I929" s="34" t="s">
        <v>18</v>
      </c>
      <c r="J929" s="34" t="s">
        <v>15</v>
      </c>
      <c r="K929" s="45">
        <v>112.9</v>
      </c>
      <c r="L929" s="9"/>
      <c r="M929" s="45">
        <v>112.9</v>
      </c>
    </row>
    <row r="930">
      <c r="A930" s="34" t="s">
        <v>70</v>
      </c>
      <c r="B930" s="34" t="s">
        <v>313</v>
      </c>
      <c r="C930" s="34">
        <v>37.0</v>
      </c>
      <c r="D930" s="34" t="s">
        <v>637</v>
      </c>
      <c r="E930" s="34" t="s">
        <v>2586</v>
      </c>
      <c r="F930" s="34" t="s">
        <v>2587</v>
      </c>
      <c r="G930" s="34">
        <v>37261.0</v>
      </c>
      <c r="H930" s="34" t="s">
        <v>640</v>
      </c>
      <c r="I930" s="34" t="s">
        <v>18</v>
      </c>
      <c r="J930" s="34" t="s">
        <v>13</v>
      </c>
      <c r="K930" s="9"/>
      <c r="L930" s="45">
        <v>89.8</v>
      </c>
      <c r="M930" s="45">
        <v>89.8</v>
      </c>
    </row>
    <row r="931">
      <c r="A931" s="34" t="s">
        <v>70</v>
      </c>
      <c r="B931" s="34" t="s">
        <v>313</v>
      </c>
      <c r="C931" s="34">
        <v>37.0</v>
      </c>
      <c r="D931" s="34" t="s">
        <v>637</v>
      </c>
      <c r="E931" s="34" t="s">
        <v>2588</v>
      </c>
      <c r="F931" s="34" t="s">
        <v>2589</v>
      </c>
      <c r="G931" s="34">
        <v>37233.0</v>
      </c>
      <c r="H931" s="34" t="s">
        <v>2590</v>
      </c>
      <c r="I931" s="34" t="s">
        <v>18</v>
      </c>
      <c r="J931" s="34" t="s">
        <v>13</v>
      </c>
      <c r="K931" s="9"/>
      <c r="L931" s="45">
        <v>88.2</v>
      </c>
      <c r="M931" s="45">
        <v>88.2</v>
      </c>
    </row>
    <row r="932">
      <c r="A932" s="34" t="s">
        <v>70</v>
      </c>
      <c r="B932" s="34" t="s">
        <v>313</v>
      </c>
      <c r="C932" s="34">
        <v>37.0</v>
      </c>
      <c r="D932" s="34" t="s">
        <v>637</v>
      </c>
      <c r="E932" s="34" t="s">
        <v>2591</v>
      </c>
      <c r="F932" s="34" t="s">
        <v>2592</v>
      </c>
      <c r="G932" s="34">
        <v>37261.0</v>
      </c>
      <c r="H932" s="34" t="s">
        <v>640</v>
      </c>
      <c r="I932" s="34" t="s">
        <v>17</v>
      </c>
      <c r="J932" s="34" t="s">
        <v>15</v>
      </c>
      <c r="K932" s="45">
        <v>121.4</v>
      </c>
      <c r="L932" s="9"/>
      <c r="M932" s="45">
        <v>121.4</v>
      </c>
    </row>
    <row r="933">
      <c r="A933" s="34" t="s">
        <v>70</v>
      </c>
      <c r="B933" s="34" t="s">
        <v>313</v>
      </c>
      <c r="C933" s="34">
        <v>37.0</v>
      </c>
      <c r="D933" s="34" t="s">
        <v>637</v>
      </c>
      <c r="E933" s="34" t="s">
        <v>2593</v>
      </c>
      <c r="F933" s="34" t="s">
        <v>2594</v>
      </c>
      <c r="G933" s="34">
        <v>37261.0</v>
      </c>
      <c r="H933" s="34" t="s">
        <v>640</v>
      </c>
      <c r="I933" s="34" t="s">
        <v>17</v>
      </c>
      <c r="J933" s="34" t="s">
        <v>13</v>
      </c>
      <c r="K933" s="9"/>
      <c r="L933" s="45">
        <v>112.4</v>
      </c>
      <c r="M933" s="45">
        <v>112.4</v>
      </c>
    </row>
    <row r="934">
      <c r="A934" s="34" t="s">
        <v>70</v>
      </c>
      <c r="B934" s="34" t="s">
        <v>161</v>
      </c>
      <c r="C934" s="34">
        <v>38.0</v>
      </c>
      <c r="D934" s="34" t="s">
        <v>663</v>
      </c>
      <c r="E934" s="34" t="s">
        <v>2595</v>
      </c>
      <c r="F934" s="34" t="s">
        <v>2596</v>
      </c>
      <c r="G934" s="34">
        <v>38053.0</v>
      </c>
      <c r="H934" s="34" t="s">
        <v>2597</v>
      </c>
      <c r="I934" s="34" t="s">
        <v>18</v>
      </c>
      <c r="J934" s="34" t="s">
        <v>13</v>
      </c>
      <c r="K934" s="9"/>
      <c r="L934" s="45">
        <v>84.9</v>
      </c>
      <c r="M934" s="45">
        <v>84.9</v>
      </c>
    </row>
    <row r="935">
      <c r="A935" s="34" t="s">
        <v>70</v>
      </c>
      <c r="B935" s="34" t="s">
        <v>161</v>
      </c>
      <c r="C935" s="34">
        <v>38.0</v>
      </c>
      <c r="D935" s="34" t="s">
        <v>663</v>
      </c>
      <c r="E935" s="34" t="s">
        <v>2598</v>
      </c>
      <c r="F935" s="34" t="s">
        <v>2599</v>
      </c>
      <c r="G935" s="34">
        <v>38185.0</v>
      </c>
      <c r="H935" s="34" t="s">
        <v>161</v>
      </c>
      <c r="I935" s="34" t="s">
        <v>18</v>
      </c>
      <c r="J935" s="34" t="s">
        <v>15</v>
      </c>
      <c r="K935" s="45">
        <v>137.4</v>
      </c>
      <c r="L935" s="9"/>
      <c r="M935" s="45">
        <v>137.4</v>
      </c>
    </row>
    <row r="936">
      <c r="A936" s="34" t="s">
        <v>70</v>
      </c>
      <c r="B936" s="34" t="s">
        <v>161</v>
      </c>
      <c r="C936" s="34">
        <v>38.0</v>
      </c>
      <c r="D936" s="34" t="s">
        <v>663</v>
      </c>
      <c r="E936" s="34" t="s">
        <v>2600</v>
      </c>
      <c r="F936" s="34" t="s">
        <v>854</v>
      </c>
      <c r="G936" s="34">
        <v>38185.0</v>
      </c>
      <c r="H936" s="34" t="s">
        <v>161</v>
      </c>
      <c r="I936" s="34" t="s">
        <v>18</v>
      </c>
      <c r="J936" s="34" t="s">
        <v>15</v>
      </c>
      <c r="K936" s="45">
        <v>129.1</v>
      </c>
      <c r="L936" s="9"/>
      <c r="M936" s="45">
        <v>129.1</v>
      </c>
    </row>
    <row r="937">
      <c r="A937" s="34" t="s">
        <v>70</v>
      </c>
      <c r="B937" s="34" t="s">
        <v>161</v>
      </c>
      <c r="C937" s="34">
        <v>38.0</v>
      </c>
      <c r="D937" s="34" t="s">
        <v>663</v>
      </c>
      <c r="E937" s="34" t="s">
        <v>2601</v>
      </c>
      <c r="F937" s="34" t="s">
        <v>2602</v>
      </c>
      <c r="G937" s="34">
        <v>38185.0</v>
      </c>
      <c r="H937" s="34" t="s">
        <v>161</v>
      </c>
      <c r="I937" s="34" t="s">
        <v>18</v>
      </c>
      <c r="J937" s="34" t="s">
        <v>14</v>
      </c>
      <c r="K937" s="45">
        <v>121.4</v>
      </c>
      <c r="L937" s="45">
        <v>88.6</v>
      </c>
      <c r="M937" s="45">
        <v>107.7</v>
      </c>
    </row>
    <row r="938">
      <c r="A938" s="34" t="s">
        <v>70</v>
      </c>
      <c r="B938" s="34" t="s">
        <v>161</v>
      </c>
      <c r="C938" s="34">
        <v>38.0</v>
      </c>
      <c r="D938" s="34" t="s">
        <v>663</v>
      </c>
      <c r="E938" s="34" t="s">
        <v>2603</v>
      </c>
      <c r="F938" s="34" t="s">
        <v>2604</v>
      </c>
      <c r="G938" s="34">
        <v>38185.0</v>
      </c>
      <c r="H938" s="34" t="s">
        <v>161</v>
      </c>
      <c r="I938" s="34" t="s">
        <v>18</v>
      </c>
      <c r="J938" s="34" t="s">
        <v>13</v>
      </c>
      <c r="K938" s="9"/>
      <c r="L938" s="45">
        <v>85.0</v>
      </c>
      <c r="M938" s="45">
        <v>85.0</v>
      </c>
    </row>
    <row r="939">
      <c r="A939" s="34" t="s">
        <v>70</v>
      </c>
      <c r="B939" s="34" t="s">
        <v>161</v>
      </c>
      <c r="C939" s="34">
        <v>38.0</v>
      </c>
      <c r="D939" s="34" t="s">
        <v>663</v>
      </c>
      <c r="E939" s="34" t="s">
        <v>2605</v>
      </c>
      <c r="F939" s="34" t="s">
        <v>2606</v>
      </c>
      <c r="G939" s="34">
        <v>38544.0</v>
      </c>
      <c r="H939" s="34" t="s">
        <v>695</v>
      </c>
      <c r="I939" s="34" t="s">
        <v>18</v>
      </c>
      <c r="J939" s="34" t="s">
        <v>14</v>
      </c>
      <c r="K939" s="45">
        <v>114.8</v>
      </c>
      <c r="L939" s="45">
        <v>89.7</v>
      </c>
      <c r="M939" s="45">
        <v>110.3</v>
      </c>
    </row>
    <row r="940">
      <c r="A940" s="34" t="s">
        <v>70</v>
      </c>
      <c r="B940" s="34" t="s">
        <v>161</v>
      </c>
      <c r="C940" s="34">
        <v>38.0</v>
      </c>
      <c r="D940" s="34" t="s">
        <v>663</v>
      </c>
      <c r="E940" s="34" t="s">
        <v>2607</v>
      </c>
      <c r="F940" s="34" t="s">
        <v>2608</v>
      </c>
      <c r="G940" s="34">
        <v>38563.0</v>
      </c>
      <c r="H940" s="34" t="s">
        <v>2609</v>
      </c>
      <c r="I940" s="34" t="s">
        <v>18</v>
      </c>
      <c r="J940" s="34" t="s">
        <v>14</v>
      </c>
      <c r="K940" s="45">
        <v>132.0</v>
      </c>
      <c r="L940" s="45">
        <v>100.8</v>
      </c>
      <c r="M940" s="45">
        <v>123.6</v>
      </c>
    </row>
    <row r="941">
      <c r="A941" s="34" t="s">
        <v>70</v>
      </c>
      <c r="B941" s="34" t="s">
        <v>161</v>
      </c>
      <c r="C941" s="34">
        <v>38.0</v>
      </c>
      <c r="D941" s="34" t="s">
        <v>663</v>
      </c>
      <c r="E941" s="34" t="s">
        <v>2610</v>
      </c>
      <c r="F941" s="34" t="s">
        <v>2611</v>
      </c>
      <c r="G941" s="34">
        <v>38185.0</v>
      </c>
      <c r="H941" s="34" t="s">
        <v>161</v>
      </c>
      <c r="I941" s="34" t="s">
        <v>18</v>
      </c>
      <c r="J941" s="34" t="s">
        <v>14</v>
      </c>
      <c r="K941" s="45">
        <v>116.2</v>
      </c>
      <c r="L941" s="45">
        <v>91.0</v>
      </c>
      <c r="M941" s="45">
        <v>105.6</v>
      </c>
    </row>
    <row r="942">
      <c r="A942" s="34" t="s">
        <v>70</v>
      </c>
      <c r="B942" s="34" t="s">
        <v>161</v>
      </c>
      <c r="C942" s="34">
        <v>38.0</v>
      </c>
      <c r="D942" s="34" t="s">
        <v>663</v>
      </c>
      <c r="E942" s="34" t="s">
        <v>2612</v>
      </c>
      <c r="F942" s="34" t="s">
        <v>272</v>
      </c>
      <c r="G942" s="34">
        <v>38298.0</v>
      </c>
      <c r="H942" s="34" t="s">
        <v>2613</v>
      </c>
      <c r="I942" s="34" t="s">
        <v>17</v>
      </c>
      <c r="J942" s="34" t="s">
        <v>15</v>
      </c>
      <c r="K942" s="45">
        <v>105.4</v>
      </c>
      <c r="L942" s="9"/>
      <c r="M942" s="45">
        <v>105.4</v>
      </c>
    </row>
    <row r="943">
      <c r="A943" s="34" t="s">
        <v>70</v>
      </c>
      <c r="B943" s="34" t="s">
        <v>161</v>
      </c>
      <c r="C943" s="34">
        <v>38.0</v>
      </c>
      <c r="D943" s="34" t="s">
        <v>663</v>
      </c>
      <c r="E943" s="34" t="s">
        <v>2614</v>
      </c>
      <c r="F943" s="34" t="s">
        <v>2615</v>
      </c>
      <c r="G943" s="34">
        <v>38006.0</v>
      </c>
      <c r="H943" s="34" t="s">
        <v>2616</v>
      </c>
      <c r="I943" s="34" t="s">
        <v>17</v>
      </c>
      <c r="J943" s="34" t="s">
        <v>13</v>
      </c>
      <c r="K943" s="9"/>
      <c r="L943" s="45">
        <v>90.4</v>
      </c>
      <c r="M943" s="45">
        <v>90.4</v>
      </c>
    </row>
    <row r="944">
      <c r="A944" s="34" t="s">
        <v>70</v>
      </c>
      <c r="B944" s="34" t="s">
        <v>161</v>
      </c>
      <c r="C944" s="34">
        <v>38.0</v>
      </c>
      <c r="D944" s="34" t="s">
        <v>663</v>
      </c>
      <c r="E944" s="34" t="s">
        <v>2617</v>
      </c>
      <c r="F944" s="34" t="s">
        <v>2618</v>
      </c>
      <c r="G944" s="34">
        <v>38185.0</v>
      </c>
      <c r="H944" s="34" t="s">
        <v>161</v>
      </c>
      <c r="I944" s="34" t="s">
        <v>17</v>
      </c>
      <c r="J944" s="34" t="s">
        <v>13</v>
      </c>
      <c r="K944" s="9"/>
      <c r="L944" s="45">
        <v>83.2</v>
      </c>
      <c r="M944" s="45">
        <v>83.2</v>
      </c>
    </row>
    <row r="945">
      <c r="A945" s="34" t="s">
        <v>70</v>
      </c>
      <c r="B945" s="34" t="s">
        <v>161</v>
      </c>
      <c r="C945" s="34">
        <v>38.0</v>
      </c>
      <c r="D945" s="34" t="s">
        <v>663</v>
      </c>
      <c r="E945" s="34" t="s">
        <v>2619</v>
      </c>
      <c r="F945" s="34" t="s">
        <v>2620</v>
      </c>
      <c r="G945" s="34">
        <v>38151.0</v>
      </c>
      <c r="H945" s="34" t="s">
        <v>2621</v>
      </c>
      <c r="I945" s="34" t="s">
        <v>18</v>
      </c>
      <c r="J945" s="34" t="s">
        <v>13</v>
      </c>
      <c r="K945" s="9"/>
      <c r="L945" s="45">
        <v>80.0</v>
      </c>
      <c r="M945" s="45">
        <v>80.0</v>
      </c>
    </row>
    <row r="946">
      <c r="A946" s="34" t="s">
        <v>70</v>
      </c>
      <c r="B946" s="34" t="s">
        <v>161</v>
      </c>
      <c r="C946" s="34">
        <v>38.0</v>
      </c>
      <c r="D946" s="34" t="s">
        <v>663</v>
      </c>
      <c r="E946" s="34" t="s">
        <v>2622</v>
      </c>
      <c r="F946" s="34" t="s">
        <v>2623</v>
      </c>
      <c r="G946" s="34">
        <v>38053.0</v>
      </c>
      <c r="H946" s="34" t="s">
        <v>2597</v>
      </c>
      <c r="I946" s="34" t="s">
        <v>18</v>
      </c>
      <c r="J946" s="34" t="s">
        <v>13</v>
      </c>
      <c r="K946" s="9"/>
      <c r="L946" s="45">
        <v>88.8</v>
      </c>
      <c r="M946" s="45">
        <v>88.8</v>
      </c>
    </row>
    <row r="947">
      <c r="A947" s="34" t="s">
        <v>70</v>
      </c>
      <c r="B947" s="34" t="s">
        <v>161</v>
      </c>
      <c r="C947" s="34">
        <v>38.0</v>
      </c>
      <c r="D947" s="34" t="s">
        <v>663</v>
      </c>
      <c r="E947" s="34" t="s">
        <v>2624</v>
      </c>
      <c r="F947" s="34" t="s">
        <v>2625</v>
      </c>
      <c r="G947" s="34">
        <v>38553.0</v>
      </c>
      <c r="H947" s="34" t="s">
        <v>2626</v>
      </c>
      <c r="I947" s="34" t="s">
        <v>18</v>
      </c>
      <c r="J947" s="34" t="s">
        <v>14</v>
      </c>
      <c r="K947" s="45">
        <v>111.6</v>
      </c>
      <c r="L947" s="45">
        <v>87.7</v>
      </c>
      <c r="M947" s="45">
        <v>108.5</v>
      </c>
    </row>
    <row r="948">
      <c r="A948" s="34" t="s">
        <v>70</v>
      </c>
      <c r="B948" s="34" t="s">
        <v>161</v>
      </c>
      <c r="C948" s="34">
        <v>38.0</v>
      </c>
      <c r="D948" s="34" t="s">
        <v>663</v>
      </c>
      <c r="E948" s="34" t="s">
        <v>2627</v>
      </c>
      <c r="F948" s="34" t="s">
        <v>2628</v>
      </c>
      <c r="G948" s="34">
        <v>38316.0</v>
      </c>
      <c r="H948" s="34" t="s">
        <v>680</v>
      </c>
      <c r="I948" s="34" t="s">
        <v>18</v>
      </c>
      <c r="J948" s="34" t="s">
        <v>15</v>
      </c>
      <c r="K948" s="45">
        <v>115.4</v>
      </c>
      <c r="L948" s="9"/>
      <c r="M948" s="45">
        <v>115.4</v>
      </c>
    </row>
    <row r="949">
      <c r="A949" s="34" t="s">
        <v>70</v>
      </c>
      <c r="B949" s="34" t="s">
        <v>161</v>
      </c>
      <c r="C949" s="34">
        <v>38.0</v>
      </c>
      <c r="D949" s="34" t="s">
        <v>663</v>
      </c>
      <c r="E949" s="34" t="s">
        <v>2629</v>
      </c>
      <c r="F949" s="34" t="s">
        <v>2630</v>
      </c>
      <c r="G949" s="34">
        <v>38239.0</v>
      </c>
      <c r="H949" s="34" t="s">
        <v>2631</v>
      </c>
      <c r="I949" s="34" t="s">
        <v>18</v>
      </c>
      <c r="J949" s="34" t="s">
        <v>15</v>
      </c>
      <c r="K949" s="45">
        <v>125.7</v>
      </c>
      <c r="L949" s="9"/>
      <c r="M949" s="45">
        <v>125.7</v>
      </c>
    </row>
    <row r="950">
      <c r="A950" s="34" t="s">
        <v>70</v>
      </c>
      <c r="B950" s="34" t="s">
        <v>393</v>
      </c>
      <c r="C950" s="34">
        <v>39.0</v>
      </c>
      <c r="D950" s="34" t="s">
        <v>708</v>
      </c>
      <c r="E950" s="34" t="s">
        <v>2632</v>
      </c>
      <c r="F950" s="34" t="s">
        <v>2633</v>
      </c>
      <c r="G950" s="34">
        <v>39198.0</v>
      </c>
      <c r="H950" s="34" t="s">
        <v>2634</v>
      </c>
      <c r="I950" s="34" t="s">
        <v>18</v>
      </c>
      <c r="J950" s="34" t="s">
        <v>14</v>
      </c>
      <c r="K950" s="45">
        <v>110.2</v>
      </c>
      <c r="L950" s="45">
        <v>81.7</v>
      </c>
      <c r="M950" s="45">
        <v>104.0</v>
      </c>
    </row>
    <row r="951">
      <c r="A951" s="34" t="s">
        <v>70</v>
      </c>
      <c r="B951" s="34" t="s">
        <v>393</v>
      </c>
      <c r="C951" s="34">
        <v>39.0</v>
      </c>
      <c r="D951" s="34" t="s">
        <v>708</v>
      </c>
      <c r="E951" s="34" t="s">
        <v>2635</v>
      </c>
      <c r="F951" s="34" t="s">
        <v>2636</v>
      </c>
      <c r="G951" s="34">
        <v>39300.0</v>
      </c>
      <c r="H951" s="34" t="s">
        <v>2637</v>
      </c>
      <c r="I951" s="34" t="s">
        <v>18</v>
      </c>
      <c r="J951" s="34" t="s">
        <v>15</v>
      </c>
      <c r="K951" s="45">
        <v>117.8</v>
      </c>
      <c r="L951" s="9"/>
      <c r="M951" s="45">
        <v>117.8</v>
      </c>
    </row>
    <row r="952">
      <c r="A952" s="34" t="s">
        <v>70</v>
      </c>
      <c r="B952" s="34" t="s">
        <v>393</v>
      </c>
      <c r="C952" s="34">
        <v>39.0</v>
      </c>
      <c r="D952" s="34" t="s">
        <v>708</v>
      </c>
      <c r="E952" s="34" t="s">
        <v>2638</v>
      </c>
      <c r="F952" s="34" t="s">
        <v>2639</v>
      </c>
      <c r="G952" s="34">
        <v>39300.0</v>
      </c>
      <c r="H952" s="34" t="s">
        <v>2637</v>
      </c>
      <c r="I952" s="34" t="s">
        <v>18</v>
      </c>
      <c r="J952" s="34" t="s">
        <v>13</v>
      </c>
      <c r="K952" s="9"/>
      <c r="L952" s="45">
        <v>83.0</v>
      </c>
      <c r="M952" s="45">
        <v>83.0</v>
      </c>
    </row>
    <row r="953">
      <c r="A953" s="34" t="s">
        <v>70</v>
      </c>
      <c r="B953" s="34" t="s">
        <v>393</v>
      </c>
      <c r="C953" s="34">
        <v>39.0</v>
      </c>
      <c r="D953" s="34" t="s">
        <v>708</v>
      </c>
      <c r="E953" s="34" t="s">
        <v>2640</v>
      </c>
      <c r="F953" s="34" t="s">
        <v>2641</v>
      </c>
      <c r="G953" s="34">
        <v>39333.0</v>
      </c>
      <c r="H953" s="34" t="s">
        <v>2642</v>
      </c>
      <c r="I953" s="34" t="s">
        <v>18</v>
      </c>
      <c r="J953" s="34" t="s">
        <v>13</v>
      </c>
      <c r="K953" s="9"/>
      <c r="L953" s="45">
        <v>96.7</v>
      </c>
      <c r="M953" s="45">
        <v>96.7</v>
      </c>
    </row>
    <row r="954">
      <c r="A954" s="34" t="s">
        <v>70</v>
      </c>
      <c r="B954" s="34" t="s">
        <v>393</v>
      </c>
      <c r="C954" s="34">
        <v>39.0</v>
      </c>
      <c r="D954" s="34" t="s">
        <v>708</v>
      </c>
      <c r="E954" s="34" t="s">
        <v>2643</v>
      </c>
      <c r="F954" s="34" t="s">
        <v>2644</v>
      </c>
      <c r="G954" s="34">
        <v>39434.0</v>
      </c>
      <c r="H954" s="34" t="s">
        <v>2645</v>
      </c>
      <c r="I954" s="34" t="s">
        <v>18</v>
      </c>
      <c r="J954" s="34" t="s">
        <v>14</v>
      </c>
      <c r="K954" s="45">
        <v>118.6</v>
      </c>
      <c r="L954" s="45">
        <v>101.2</v>
      </c>
      <c r="M954" s="45">
        <v>112.8</v>
      </c>
    </row>
    <row r="955">
      <c r="A955" s="34" t="s">
        <v>70</v>
      </c>
      <c r="B955" s="34" t="s">
        <v>393</v>
      </c>
      <c r="C955" s="34">
        <v>39.0</v>
      </c>
      <c r="D955" s="34" t="s">
        <v>708</v>
      </c>
      <c r="E955" s="34" t="s">
        <v>2646</v>
      </c>
      <c r="F955" s="34" t="s">
        <v>2647</v>
      </c>
      <c r="G955" s="34">
        <v>39478.0</v>
      </c>
      <c r="H955" s="34" t="s">
        <v>2648</v>
      </c>
      <c r="I955" s="34" t="s">
        <v>18</v>
      </c>
      <c r="J955" s="34" t="s">
        <v>14</v>
      </c>
      <c r="K955" s="45">
        <v>99.0</v>
      </c>
      <c r="L955" s="45">
        <v>82.2</v>
      </c>
      <c r="M955" s="45">
        <v>93.9</v>
      </c>
    </row>
    <row r="956">
      <c r="A956" s="34" t="s">
        <v>70</v>
      </c>
      <c r="B956" s="34" t="s">
        <v>377</v>
      </c>
      <c r="C956" s="34">
        <v>40.0</v>
      </c>
      <c r="D956" s="34" t="s">
        <v>717</v>
      </c>
      <c r="E956" s="34" t="s">
        <v>2649</v>
      </c>
      <c r="F956" s="34" t="s">
        <v>2650</v>
      </c>
      <c r="G956" s="34">
        <v>40224.0</v>
      </c>
      <c r="H956" s="34" t="s">
        <v>2651</v>
      </c>
      <c r="I956" s="34" t="s">
        <v>18</v>
      </c>
      <c r="J956" s="34" t="s">
        <v>14</v>
      </c>
      <c r="K956" s="45">
        <v>109.3</v>
      </c>
      <c r="L956" s="45">
        <v>107.0</v>
      </c>
      <c r="M956" s="45">
        <v>108.2</v>
      </c>
    </row>
    <row r="957">
      <c r="A957" s="34" t="s">
        <v>70</v>
      </c>
      <c r="B957" s="34" t="s">
        <v>377</v>
      </c>
      <c r="C957" s="34">
        <v>40.0</v>
      </c>
      <c r="D957" s="34" t="s">
        <v>717</v>
      </c>
      <c r="E957" s="34" t="s">
        <v>2652</v>
      </c>
      <c r="F957" s="34" t="s">
        <v>2653</v>
      </c>
      <c r="G957" s="34">
        <v>40312.0</v>
      </c>
      <c r="H957" s="34" t="s">
        <v>2654</v>
      </c>
      <c r="I957" s="34" t="s">
        <v>18</v>
      </c>
      <c r="J957" s="34" t="s">
        <v>13</v>
      </c>
      <c r="K957" s="9"/>
      <c r="L957" s="45">
        <v>93.5</v>
      </c>
      <c r="M957" s="45">
        <v>93.5</v>
      </c>
    </row>
    <row r="958">
      <c r="A958" s="34" t="s">
        <v>70</v>
      </c>
      <c r="B958" s="34" t="s">
        <v>313</v>
      </c>
      <c r="C958" s="34">
        <v>41.0</v>
      </c>
      <c r="D958" s="34" t="s">
        <v>732</v>
      </c>
      <c r="E958" s="34" t="s">
        <v>2655</v>
      </c>
      <c r="F958" s="34" t="s">
        <v>2656</v>
      </c>
      <c r="G958" s="34">
        <v>41018.0</v>
      </c>
      <c r="H958" s="34" t="s">
        <v>741</v>
      </c>
      <c r="I958" s="34" t="s">
        <v>18</v>
      </c>
      <c r="J958" s="34" t="s">
        <v>14</v>
      </c>
      <c r="K958" s="45">
        <v>111.6</v>
      </c>
      <c r="L958" s="45">
        <v>87.9</v>
      </c>
      <c r="M958" s="45">
        <v>105.0</v>
      </c>
    </row>
    <row r="959">
      <c r="A959" s="34" t="s">
        <v>70</v>
      </c>
      <c r="B959" s="34" t="s">
        <v>313</v>
      </c>
      <c r="C959" s="34">
        <v>41.0</v>
      </c>
      <c r="D959" s="34" t="s">
        <v>732</v>
      </c>
      <c r="E959" s="34" t="s">
        <v>2657</v>
      </c>
      <c r="F959" s="34" t="s">
        <v>2658</v>
      </c>
      <c r="G959" s="34">
        <v>41018.0</v>
      </c>
      <c r="H959" s="34" t="s">
        <v>741</v>
      </c>
      <c r="I959" s="34" t="s">
        <v>18</v>
      </c>
      <c r="J959" s="34" t="s">
        <v>13</v>
      </c>
      <c r="K959" s="9"/>
      <c r="L959" s="45">
        <v>86.8</v>
      </c>
      <c r="M959" s="45">
        <v>86.8</v>
      </c>
    </row>
    <row r="960">
      <c r="A960" s="34" t="s">
        <v>70</v>
      </c>
      <c r="B960" s="34" t="s">
        <v>313</v>
      </c>
      <c r="C960" s="34">
        <v>41.0</v>
      </c>
      <c r="D960" s="34" t="s">
        <v>732</v>
      </c>
      <c r="E960" s="34" t="s">
        <v>2659</v>
      </c>
      <c r="F960" s="34" t="s">
        <v>2149</v>
      </c>
      <c r="G960" s="34">
        <v>41269.0</v>
      </c>
      <c r="H960" s="34" t="s">
        <v>738</v>
      </c>
      <c r="I960" s="34" t="s">
        <v>17</v>
      </c>
      <c r="J960" s="34" t="s">
        <v>14</v>
      </c>
      <c r="K960" s="45">
        <v>128.1</v>
      </c>
      <c r="L960" s="45">
        <v>101.1</v>
      </c>
      <c r="M960" s="45">
        <v>115.8</v>
      </c>
    </row>
    <row r="961">
      <c r="A961" s="34" t="s">
        <v>70</v>
      </c>
      <c r="B961" s="34" t="s">
        <v>71</v>
      </c>
      <c r="C961" s="34">
        <v>42.0</v>
      </c>
      <c r="D961" s="34" t="s">
        <v>742</v>
      </c>
      <c r="E961" s="34" t="s">
        <v>2660</v>
      </c>
      <c r="F961" s="34" t="s">
        <v>2661</v>
      </c>
      <c r="G961" s="34">
        <v>42052.0</v>
      </c>
      <c r="H961" s="34" t="s">
        <v>2662</v>
      </c>
      <c r="I961" s="34" t="s">
        <v>18</v>
      </c>
      <c r="J961" s="34" t="s">
        <v>14</v>
      </c>
      <c r="K961" s="45">
        <v>115.0</v>
      </c>
      <c r="L961" s="45">
        <v>86.3</v>
      </c>
      <c r="M961" s="45">
        <v>109.7</v>
      </c>
    </row>
    <row r="962">
      <c r="A962" s="34" t="s">
        <v>70</v>
      </c>
      <c r="B962" s="34" t="s">
        <v>71</v>
      </c>
      <c r="C962" s="34">
        <v>42.0</v>
      </c>
      <c r="D962" s="34" t="s">
        <v>742</v>
      </c>
      <c r="E962" s="34" t="s">
        <v>2663</v>
      </c>
      <c r="F962" s="34" t="s">
        <v>2664</v>
      </c>
      <c r="G962" s="34">
        <v>42154.0</v>
      </c>
      <c r="H962" s="34" t="s">
        <v>2665</v>
      </c>
      <c r="I962" s="34" t="s">
        <v>18</v>
      </c>
      <c r="J962" s="34" t="s">
        <v>13</v>
      </c>
      <c r="K962" s="9"/>
      <c r="L962" s="45">
        <v>85.6</v>
      </c>
      <c r="M962" s="45">
        <v>85.6</v>
      </c>
    </row>
    <row r="963">
      <c r="A963" s="34" t="s">
        <v>70</v>
      </c>
      <c r="B963" s="34" t="s">
        <v>71</v>
      </c>
      <c r="C963" s="34">
        <v>42.0</v>
      </c>
      <c r="D963" s="34" t="s">
        <v>742</v>
      </c>
      <c r="E963" s="34" t="s">
        <v>2666</v>
      </c>
      <c r="F963" s="34" t="s">
        <v>2667</v>
      </c>
      <c r="G963" s="34">
        <v>42186.0</v>
      </c>
      <c r="H963" s="34" t="s">
        <v>2668</v>
      </c>
      <c r="I963" s="34" t="s">
        <v>18</v>
      </c>
      <c r="J963" s="34" t="s">
        <v>13</v>
      </c>
      <c r="K963" s="9"/>
      <c r="L963" s="45">
        <v>73.7</v>
      </c>
      <c r="M963" s="45">
        <v>73.7</v>
      </c>
    </row>
    <row r="964">
      <c r="A964" s="34" t="s">
        <v>70</v>
      </c>
      <c r="B964" s="34" t="s">
        <v>71</v>
      </c>
      <c r="C964" s="34">
        <v>42.0</v>
      </c>
      <c r="D964" s="34" t="s">
        <v>742</v>
      </c>
      <c r="E964" s="34" t="s">
        <v>2669</v>
      </c>
      <c r="F964" s="34" t="s">
        <v>2670</v>
      </c>
      <c r="G964" s="34">
        <v>42187.0</v>
      </c>
      <c r="H964" s="34" t="s">
        <v>745</v>
      </c>
      <c r="I964" s="34" t="s">
        <v>18</v>
      </c>
      <c r="J964" s="34" t="s">
        <v>15</v>
      </c>
      <c r="K964" s="45">
        <v>117.4</v>
      </c>
      <c r="L964" s="9"/>
      <c r="M964" s="45">
        <v>117.4</v>
      </c>
    </row>
    <row r="965">
      <c r="A965" s="34" t="s">
        <v>70</v>
      </c>
      <c r="B965" s="34" t="s">
        <v>71</v>
      </c>
      <c r="C965" s="34">
        <v>42.0</v>
      </c>
      <c r="D965" s="34" t="s">
        <v>742</v>
      </c>
      <c r="E965" s="34" t="s">
        <v>2671</v>
      </c>
      <c r="F965" s="34" t="s">
        <v>2672</v>
      </c>
      <c r="G965" s="34">
        <v>42218.0</v>
      </c>
      <c r="H965" s="34" t="s">
        <v>748</v>
      </c>
      <c r="I965" s="34" t="s">
        <v>18</v>
      </c>
      <c r="J965" s="34" t="s">
        <v>13</v>
      </c>
      <c r="K965" s="9"/>
      <c r="L965" s="45">
        <v>74.2</v>
      </c>
      <c r="M965" s="45">
        <v>74.2</v>
      </c>
    </row>
    <row r="966">
      <c r="A966" s="34" t="s">
        <v>70</v>
      </c>
      <c r="B966" s="34" t="s">
        <v>71</v>
      </c>
      <c r="C966" s="34">
        <v>42.0</v>
      </c>
      <c r="D966" s="34" t="s">
        <v>742</v>
      </c>
      <c r="E966" s="34" t="s">
        <v>2673</v>
      </c>
      <c r="F966" s="34" t="s">
        <v>2674</v>
      </c>
      <c r="G966" s="34">
        <v>42095.0</v>
      </c>
      <c r="H966" s="34" t="s">
        <v>2675</v>
      </c>
      <c r="I966" s="34" t="s">
        <v>18</v>
      </c>
      <c r="J966" s="34" t="s">
        <v>13</v>
      </c>
      <c r="K966" s="9"/>
      <c r="L966" s="45">
        <v>73.5</v>
      </c>
      <c r="M966" s="45">
        <v>73.5</v>
      </c>
    </row>
    <row r="967">
      <c r="A967" s="34" t="s">
        <v>70</v>
      </c>
      <c r="B967" s="34" t="s">
        <v>71</v>
      </c>
      <c r="C967" s="34">
        <v>42.0</v>
      </c>
      <c r="D967" s="34" t="s">
        <v>742</v>
      </c>
      <c r="E967" s="34" t="s">
        <v>2676</v>
      </c>
      <c r="F967" s="34" t="s">
        <v>2677</v>
      </c>
      <c r="G967" s="34">
        <v>42147.0</v>
      </c>
      <c r="H967" s="34" t="s">
        <v>2678</v>
      </c>
      <c r="I967" s="34" t="s">
        <v>18</v>
      </c>
      <c r="J967" s="34" t="s">
        <v>13</v>
      </c>
      <c r="K967" s="9"/>
      <c r="L967" s="45">
        <v>89.4</v>
      </c>
      <c r="M967" s="45">
        <v>89.4</v>
      </c>
    </row>
    <row r="968">
      <c r="A968" s="34" t="s">
        <v>70</v>
      </c>
      <c r="B968" s="34" t="s">
        <v>71</v>
      </c>
      <c r="C968" s="34">
        <v>42.0</v>
      </c>
      <c r="D968" s="34" t="s">
        <v>742</v>
      </c>
      <c r="E968" s="34" t="s">
        <v>2679</v>
      </c>
      <c r="F968" s="34" t="s">
        <v>2680</v>
      </c>
      <c r="G968" s="34">
        <v>42187.0</v>
      </c>
      <c r="H968" s="34" t="s">
        <v>745</v>
      </c>
      <c r="I968" s="34" t="s">
        <v>18</v>
      </c>
      <c r="J968" s="34" t="s">
        <v>13</v>
      </c>
      <c r="K968" s="9"/>
      <c r="L968" s="45">
        <v>81.2</v>
      </c>
      <c r="M968" s="45">
        <v>81.2</v>
      </c>
    </row>
    <row r="969">
      <c r="A969" s="34" t="s">
        <v>70</v>
      </c>
      <c r="B969" s="34" t="s">
        <v>71</v>
      </c>
      <c r="C969" s="34">
        <v>42.0</v>
      </c>
      <c r="D969" s="34" t="s">
        <v>742</v>
      </c>
      <c r="E969" s="34" t="s">
        <v>2681</v>
      </c>
      <c r="F969" s="34" t="s">
        <v>2682</v>
      </c>
      <c r="G969" s="34">
        <v>42187.0</v>
      </c>
      <c r="H969" s="34" t="s">
        <v>745</v>
      </c>
      <c r="I969" s="34" t="s">
        <v>17</v>
      </c>
      <c r="J969" s="34" t="s">
        <v>15</v>
      </c>
      <c r="K969" s="45">
        <v>105.2</v>
      </c>
      <c r="L969" s="9"/>
      <c r="M969" s="45">
        <v>105.2</v>
      </c>
    </row>
    <row r="970">
      <c r="A970" s="34" t="s">
        <v>70</v>
      </c>
      <c r="B970" s="34" t="s">
        <v>71</v>
      </c>
      <c r="C970" s="34">
        <v>42.0</v>
      </c>
      <c r="D970" s="34" t="s">
        <v>742</v>
      </c>
      <c r="E970" s="34" t="s">
        <v>2683</v>
      </c>
      <c r="F970" s="34" t="s">
        <v>2684</v>
      </c>
      <c r="G970" s="34">
        <v>42218.0</v>
      </c>
      <c r="H970" s="34" t="s">
        <v>748</v>
      </c>
      <c r="I970" s="34" t="s">
        <v>17</v>
      </c>
      <c r="J970" s="34" t="s">
        <v>15</v>
      </c>
      <c r="K970" s="45">
        <v>104.4</v>
      </c>
      <c r="L970" s="9"/>
      <c r="M970" s="45">
        <v>104.4</v>
      </c>
    </row>
    <row r="971">
      <c r="A971" s="34" t="s">
        <v>70</v>
      </c>
      <c r="B971" s="34" t="s">
        <v>71</v>
      </c>
      <c r="C971" s="34">
        <v>42.0</v>
      </c>
      <c r="D971" s="34" t="s">
        <v>742</v>
      </c>
      <c r="E971" s="34" t="s">
        <v>2685</v>
      </c>
      <c r="F971" s="34" t="s">
        <v>2686</v>
      </c>
      <c r="G971" s="34">
        <v>42186.0</v>
      </c>
      <c r="H971" s="34" t="s">
        <v>2668</v>
      </c>
      <c r="I971" s="34" t="s">
        <v>17</v>
      </c>
      <c r="J971" s="34" t="s">
        <v>13</v>
      </c>
      <c r="K971" s="9"/>
      <c r="L971" s="45">
        <v>75.7</v>
      </c>
      <c r="M971" s="45">
        <v>75.7</v>
      </c>
    </row>
    <row r="972">
      <c r="A972" s="34" t="s">
        <v>70</v>
      </c>
      <c r="B972" s="34" t="s">
        <v>71</v>
      </c>
      <c r="C972" s="34">
        <v>42.0</v>
      </c>
      <c r="D972" s="34" t="s">
        <v>742</v>
      </c>
      <c r="E972" s="34" t="s">
        <v>2687</v>
      </c>
      <c r="F972" s="34" t="s">
        <v>2688</v>
      </c>
      <c r="G972" s="34">
        <v>42059.0</v>
      </c>
      <c r="H972" s="34" t="s">
        <v>2689</v>
      </c>
      <c r="I972" s="34" t="s">
        <v>17</v>
      </c>
      <c r="J972" s="34" t="s">
        <v>13</v>
      </c>
      <c r="K972" s="9"/>
      <c r="L972" s="45">
        <v>100.1</v>
      </c>
      <c r="M972" s="45">
        <v>100.1</v>
      </c>
    </row>
    <row r="973">
      <c r="A973" s="34" t="s">
        <v>70</v>
      </c>
      <c r="B973" s="34" t="s">
        <v>71</v>
      </c>
      <c r="C973" s="34">
        <v>42.0</v>
      </c>
      <c r="D973" s="34" t="s">
        <v>742</v>
      </c>
      <c r="E973" s="34" t="s">
        <v>2690</v>
      </c>
      <c r="F973" s="34" t="s">
        <v>2691</v>
      </c>
      <c r="G973" s="34">
        <v>42223.0</v>
      </c>
      <c r="H973" s="34" t="s">
        <v>2692</v>
      </c>
      <c r="I973" s="34" t="s">
        <v>17</v>
      </c>
      <c r="J973" s="34" t="s">
        <v>14</v>
      </c>
      <c r="K973" s="45">
        <v>116.5</v>
      </c>
      <c r="L973" s="45">
        <v>99.0</v>
      </c>
      <c r="M973" s="45">
        <v>103.2</v>
      </c>
    </row>
    <row r="974">
      <c r="A974" s="34" t="s">
        <v>70</v>
      </c>
      <c r="B974" s="34" t="s">
        <v>71</v>
      </c>
      <c r="C974" s="34">
        <v>42.0</v>
      </c>
      <c r="D974" s="34" t="s">
        <v>742</v>
      </c>
      <c r="E974" s="34" t="s">
        <v>2693</v>
      </c>
      <c r="F974" s="34" t="s">
        <v>2694</v>
      </c>
      <c r="G974" s="34">
        <v>42059.0</v>
      </c>
      <c r="H974" s="34" t="s">
        <v>2689</v>
      </c>
      <c r="I974" s="34" t="s">
        <v>18</v>
      </c>
      <c r="J974" s="34" t="s">
        <v>15</v>
      </c>
      <c r="K974" s="45">
        <v>120.6</v>
      </c>
      <c r="L974" s="9"/>
      <c r="M974" s="45">
        <v>120.6</v>
      </c>
    </row>
    <row r="975">
      <c r="A975" s="34" t="s">
        <v>70</v>
      </c>
      <c r="B975" s="34" t="s">
        <v>116</v>
      </c>
      <c r="C975" s="34">
        <v>43.0</v>
      </c>
      <c r="D975" s="34" t="s">
        <v>764</v>
      </c>
      <c r="E975" s="34" t="s">
        <v>2695</v>
      </c>
      <c r="F975" s="34" t="s">
        <v>2696</v>
      </c>
      <c r="G975" s="34">
        <v>43040.0</v>
      </c>
      <c r="H975" s="34" t="s">
        <v>770</v>
      </c>
      <c r="I975" s="34" t="s">
        <v>18</v>
      </c>
      <c r="J975" s="34" t="s">
        <v>15</v>
      </c>
      <c r="K975" s="45">
        <v>111.6</v>
      </c>
      <c r="L975" s="9"/>
      <c r="M975" s="45">
        <v>111.6</v>
      </c>
    </row>
    <row r="976">
      <c r="A976" s="34" t="s">
        <v>70</v>
      </c>
      <c r="B976" s="34" t="s">
        <v>116</v>
      </c>
      <c r="C976" s="34">
        <v>43.0</v>
      </c>
      <c r="D976" s="34" t="s">
        <v>764</v>
      </c>
      <c r="E976" s="34" t="s">
        <v>2697</v>
      </c>
      <c r="F976" s="34" t="s">
        <v>2698</v>
      </c>
      <c r="G976" s="34">
        <v>43157.0</v>
      </c>
      <c r="H976" s="34" t="s">
        <v>767</v>
      </c>
      <c r="I976" s="34" t="s">
        <v>18</v>
      </c>
      <c r="J976" s="34" t="s">
        <v>14</v>
      </c>
      <c r="K976" s="45">
        <v>115.8</v>
      </c>
      <c r="L976" s="45">
        <v>89.6</v>
      </c>
      <c r="M976" s="45">
        <v>111.1</v>
      </c>
    </row>
    <row r="977">
      <c r="A977" s="34" t="s">
        <v>70</v>
      </c>
      <c r="B977" s="34" t="s">
        <v>116</v>
      </c>
      <c r="C977" s="34">
        <v>43.0</v>
      </c>
      <c r="D977" s="34" t="s">
        <v>764</v>
      </c>
      <c r="E977" s="34" t="s">
        <v>2699</v>
      </c>
      <c r="F977" s="34" t="s">
        <v>2700</v>
      </c>
      <c r="G977" s="34">
        <v>43041.0</v>
      </c>
      <c r="H977" s="34" t="s">
        <v>773</v>
      </c>
      <c r="I977" s="34" t="s">
        <v>17</v>
      </c>
      <c r="J977" s="34" t="s">
        <v>13</v>
      </c>
      <c r="K977" s="9"/>
      <c r="L977" s="45">
        <v>101.4</v>
      </c>
      <c r="M977" s="45">
        <v>101.4</v>
      </c>
    </row>
    <row r="978">
      <c r="A978" s="34" t="s">
        <v>70</v>
      </c>
      <c r="B978" s="34" t="s">
        <v>779</v>
      </c>
      <c r="C978" s="34">
        <v>44.0</v>
      </c>
      <c r="D978" s="34" t="s">
        <v>780</v>
      </c>
      <c r="E978" s="34" t="s">
        <v>2701</v>
      </c>
      <c r="F978" s="34" t="s">
        <v>2702</v>
      </c>
      <c r="G978" s="34">
        <v>44003.0</v>
      </c>
      <c r="H978" s="34" t="s">
        <v>2703</v>
      </c>
      <c r="I978" s="34" t="s">
        <v>18</v>
      </c>
      <c r="J978" s="34" t="s">
        <v>14</v>
      </c>
      <c r="K978" s="45">
        <v>115.1</v>
      </c>
      <c r="L978" s="45">
        <v>89.1</v>
      </c>
      <c r="M978" s="45">
        <v>107.6</v>
      </c>
    </row>
    <row r="979">
      <c r="A979" s="34" t="s">
        <v>70</v>
      </c>
      <c r="B979" s="34" t="s">
        <v>779</v>
      </c>
      <c r="C979" s="34">
        <v>44.0</v>
      </c>
      <c r="D979" s="34" t="s">
        <v>780</v>
      </c>
      <c r="E979" s="34" t="s">
        <v>2704</v>
      </c>
      <c r="F979" s="34" t="s">
        <v>562</v>
      </c>
      <c r="G979" s="34">
        <v>44055.0</v>
      </c>
      <c r="H979" s="34" t="s">
        <v>2705</v>
      </c>
      <c r="I979" s="34" t="s">
        <v>18</v>
      </c>
      <c r="J979" s="34" t="s">
        <v>15</v>
      </c>
      <c r="K979" s="45">
        <v>130.4</v>
      </c>
      <c r="L979" s="9"/>
      <c r="M979" s="45">
        <v>130.4</v>
      </c>
    </row>
    <row r="980">
      <c r="A980" s="34" t="s">
        <v>70</v>
      </c>
      <c r="B980" s="34" t="s">
        <v>779</v>
      </c>
      <c r="C980" s="34">
        <v>44.0</v>
      </c>
      <c r="D980" s="34" t="s">
        <v>780</v>
      </c>
      <c r="E980" s="34" t="s">
        <v>2706</v>
      </c>
      <c r="F980" s="34" t="s">
        <v>2707</v>
      </c>
      <c r="G980" s="34">
        <v>44109.0</v>
      </c>
      <c r="H980" s="34" t="s">
        <v>779</v>
      </c>
      <c r="I980" s="34" t="s">
        <v>18</v>
      </c>
      <c r="J980" s="34" t="s">
        <v>13</v>
      </c>
      <c r="K980" s="9"/>
      <c r="L980" s="45">
        <v>101.5</v>
      </c>
      <c r="M980" s="45">
        <v>101.5</v>
      </c>
    </row>
    <row r="981">
      <c r="A981" s="34" t="s">
        <v>70</v>
      </c>
      <c r="B981" s="34" t="s">
        <v>779</v>
      </c>
      <c r="C981" s="34">
        <v>44.0</v>
      </c>
      <c r="D981" s="34" t="s">
        <v>780</v>
      </c>
      <c r="E981" s="34" t="s">
        <v>2708</v>
      </c>
      <c r="F981" s="34" t="s">
        <v>1631</v>
      </c>
      <c r="G981" s="34">
        <v>44109.0</v>
      </c>
      <c r="H981" s="34" t="s">
        <v>779</v>
      </c>
      <c r="I981" s="34" t="s">
        <v>18</v>
      </c>
      <c r="J981" s="34" t="s">
        <v>13</v>
      </c>
      <c r="K981" s="9"/>
      <c r="L981" s="45">
        <v>82.0</v>
      </c>
      <c r="M981" s="45">
        <v>82.0</v>
      </c>
    </row>
    <row r="982">
      <c r="A982" s="34" t="s">
        <v>70</v>
      </c>
      <c r="B982" s="34" t="s">
        <v>779</v>
      </c>
      <c r="C982" s="34">
        <v>44.0</v>
      </c>
      <c r="D982" s="34" t="s">
        <v>780</v>
      </c>
      <c r="E982" s="34" t="s">
        <v>2709</v>
      </c>
      <c r="F982" s="34" t="s">
        <v>2710</v>
      </c>
      <c r="G982" s="34">
        <v>44143.0</v>
      </c>
      <c r="H982" s="34" t="s">
        <v>2711</v>
      </c>
      <c r="I982" s="34" t="s">
        <v>18</v>
      </c>
      <c r="J982" s="34" t="s">
        <v>15</v>
      </c>
      <c r="K982" s="45">
        <v>122.8</v>
      </c>
      <c r="L982" s="9"/>
      <c r="M982" s="45">
        <v>122.8</v>
      </c>
    </row>
    <row r="983">
      <c r="A983" s="34" t="s">
        <v>70</v>
      </c>
      <c r="B983" s="34" t="s">
        <v>779</v>
      </c>
      <c r="C983" s="34">
        <v>44.0</v>
      </c>
      <c r="D983" s="34" t="s">
        <v>780</v>
      </c>
      <c r="E983" s="34" t="s">
        <v>2712</v>
      </c>
      <c r="F983" s="34" t="s">
        <v>2713</v>
      </c>
      <c r="G983" s="34">
        <v>44184.0</v>
      </c>
      <c r="H983" s="34" t="s">
        <v>801</v>
      </c>
      <c r="I983" s="34" t="s">
        <v>17</v>
      </c>
      <c r="J983" s="34" t="s">
        <v>14</v>
      </c>
      <c r="K983" s="45">
        <v>118.2</v>
      </c>
      <c r="L983" s="45">
        <v>109.3</v>
      </c>
      <c r="M983" s="45">
        <v>112.4</v>
      </c>
    </row>
    <row r="984">
      <c r="A984" s="34" t="s">
        <v>70</v>
      </c>
      <c r="B984" s="34" t="s">
        <v>779</v>
      </c>
      <c r="C984" s="34">
        <v>44.0</v>
      </c>
      <c r="D984" s="34" t="s">
        <v>780</v>
      </c>
      <c r="E984" s="34" t="s">
        <v>2714</v>
      </c>
      <c r="F984" s="34" t="s">
        <v>2715</v>
      </c>
      <c r="G984" s="34">
        <v>44109.0</v>
      </c>
      <c r="H984" s="34" t="s">
        <v>779</v>
      </c>
      <c r="I984" s="34" t="s">
        <v>17</v>
      </c>
      <c r="J984" s="34" t="s">
        <v>14</v>
      </c>
      <c r="K984" s="45">
        <v>94.0</v>
      </c>
      <c r="L984" s="45">
        <v>88.4</v>
      </c>
      <c r="M984" s="45">
        <v>89.7</v>
      </c>
    </row>
    <row r="985">
      <c r="A985" s="34" t="s">
        <v>70</v>
      </c>
      <c r="B985" s="34" t="s">
        <v>779</v>
      </c>
      <c r="C985" s="34">
        <v>44.0</v>
      </c>
      <c r="D985" s="34" t="s">
        <v>780</v>
      </c>
      <c r="E985" s="34" t="s">
        <v>2716</v>
      </c>
      <c r="F985" s="34" t="s">
        <v>2717</v>
      </c>
      <c r="G985" s="34">
        <v>44190.0</v>
      </c>
      <c r="H985" s="34" t="s">
        <v>798</v>
      </c>
      <c r="I985" s="34" t="s">
        <v>17</v>
      </c>
      <c r="J985" s="34" t="s">
        <v>14</v>
      </c>
      <c r="K985" s="45">
        <v>116.6</v>
      </c>
      <c r="L985" s="45">
        <v>110.4</v>
      </c>
      <c r="M985" s="45">
        <v>113.3</v>
      </c>
    </row>
    <row r="986">
      <c r="A986" s="34" t="s">
        <v>70</v>
      </c>
      <c r="B986" s="34" t="s">
        <v>779</v>
      </c>
      <c r="C986" s="34">
        <v>44.0</v>
      </c>
      <c r="D986" s="34" t="s">
        <v>780</v>
      </c>
      <c r="E986" s="34" t="s">
        <v>2718</v>
      </c>
      <c r="F986" s="34" t="s">
        <v>2719</v>
      </c>
      <c r="G986" s="34">
        <v>44184.0</v>
      </c>
      <c r="H986" s="34" t="s">
        <v>801</v>
      </c>
      <c r="I986" s="34" t="s">
        <v>17</v>
      </c>
      <c r="J986" s="34" t="s">
        <v>13</v>
      </c>
      <c r="K986" s="9"/>
      <c r="L986" s="45">
        <v>97.2</v>
      </c>
      <c r="M986" s="45">
        <v>97.2</v>
      </c>
    </row>
    <row r="987">
      <c r="A987" s="34" t="s">
        <v>70</v>
      </c>
      <c r="B987" s="34" t="s">
        <v>779</v>
      </c>
      <c r="C987" s="34">
        <v>44.0</v>
      </c>
      <c r="D987" s="34" t="s">
        <v>780</v>
      </c>
      <c r="E987" s="34" t="s">
        <v>2720</v>
      </c>
      <c r="F987" s="34" t="s">
        <v>2721</v>
      </c>
      <c r="G987" s="34">
        <v>44190.0</v>
      </c>
      <c r="H987" s="34" t="s">
        <v>798</v>
      </c>
      <c r="I987" s="34" t="s">
        <v>17</v>
      </c>
      <c r="J987" s="34" t="s">
        <v>14</v>
      </c>
      <c r="K987" s="45">
        <v>117.6</v>
      </c>
      <c r="L987" s="45">
        <v>104.5</v>
      </c>
      <c r="M987" s="45">
        <v>110.3</v>
      </c>
    </row>
    <row r="988">
      <c r="A988" s="34" t="s">
        <v>70</v>
      </c>
      <c r="B988" s="34" t="s">
        <v>779</v>
      </c>
      <c r="C988" s="34">
        <v>44.0</v>
      </c>
      <c r="D988" s="34" t="s">
        <v>780</v>
      </c>
      <c r="E988" s="34" t="s">
        <v>2722</v>
      </c>
      <c r="F988" s="34" t="s">
        <v>2723</v>
      </c>
      <c r="G988" s="34">
        <v>44020.0</v>
      </c>
      <c r="H988" s="34" t="s">
        <v>2724</v>
      </c>
      <c r="I988" s="34" t="s">
        <v>18</v>
      </c>
      <c r="J988" s="34" t="s">
        <v>13</v>
      </c>
      <c r="K988" s="9"/>
      <c r="L988" s="45">
        <v>80.0</v>
      </c>
      <c r="M988" s="45">
        <v>80.0</v>
      </c>
    </row>
    <row r="989">
      <c r="A989" s="34" t="s">
        <v>70</v>
      </c>
      <c r="B989" s="34" t="s">
        <v>779</v>
      </c>
      <c r="C989" s="34">
        <v>44.0</v>
      </c>
      <c r="D989" s="34" t="s">
        <v>780</v>
      </c>
      <c r="E989" s="34" t="s">
        <v>2725</v>
      </c>
      <c r="F989" s="34" t="s">
        <v>2726</v>
      </c>
      <c r="G989" s="34">
        <v>44064.0</v>
      </c>
      <c r="H989" s="34" t="s">
        <v>2727</v>
      </c>
      <c r="I989" s="34" t="s">
        <v>17</v>
      </c>
      <c r="J989" s="34" t="s">
        <v>15</v>
      </c>
      <c r="K989" s="45">
        <v>117.2</v>
      </c>
      <c r="L989" s="9"/>
      <c r="M989" s="45">
        <v>117.2</v>
      </c>
    </row>
    <row r="990">
      <c r="A990" s="34" t="s">
        <v>70</v>
      </c>
      <c r="B990" s="34" t="s">
        <v>779</v>
      </c>
      <c r="C990" s="34">
        <v>44.0</v>
      </c>
      <c r="D990" s="34" t="s">
        <v>780</v>
      </c>
      <c r="E990" s="34" t="s">
        <v>2728</v>
      </c>
      <c r="F990" s="34" t="s">
        <v>2729</v>
      </c>
      <c r="G990" s="34">
        <v>44109.0</v>
      </c>
      <c r="H990" s="34" t="s">
        <v>779</v>
      </c>
      <c r="I990" s="34" t="s">
        <v>18</v>
      </c>
      <c r="J990" s="34" t="s">
        <v>14</v>
      </c>
      <c r="K990" s="45">
        <v>120.7</v>
      </c>
      <c r="L990" s="45">
        <v>84.5</v>
      </c>
      <c r="M990" s="45">
        <v>113.0</v>
      </c>
    </row>
    <row r="991">
      <c r="A991" s="34" t="s">
        <v>70</v>
      </c>
      <c r="B991" s="34" t="s">
        <v>779</v>
      </c>
      <c r="C991" s="34">
        <v>44.0</v>
      </c>
      <c r="D991" s="34" t="s">
        <v>780</v>
      </c>
      <c r="E991" s="34" t="s">
        <v>2730</v>
      </c>
      <c r="F991" s="34" t="s">
        <v>2731</v>
      </c>
      <c r="G991" s="34">
        <v>44110.0</v>
      </c>
      <c r="H991" s="34" t="s">
        <v>2732</v>
      </c>
      <c r="I991" s="34" t="s">
        <v>18</v>
      </c>
      <c r="J991" s="34" t="s">
        <v>14</v>
      </c>
      <c r="K991" s="45">
        <v>127.8</v>
      </c>
      <c r="L991" s="45">
        <v>89.1</v>
      </c>
      <c r="M991" s="45">
        <v>116.3</v>
      </c>
    </row>
    <row r="992">
      <c r="A992" s="34" t="s">
        <v>70</v>
      </c>
      <c r="B992" s="34" t="s">
        <v>313</v>
      </c>
      <c r="C992" s="34">
        <v>45.0</v>
      </c>
      <c r="D992" s="34" t="s">
        <v>821</v>
      </c>
      <c r="E992" s="34" t="s">
        <v>2733</v>
      </c>
      <c r="F992" s="34" t="s">
        <v>2734</v>
      </c>
      <c r="G992" s="34">
        <v>45208.0</v>
      </c>
      <c r="H992" s="34" t="s">
        <v>827</v>
      </c>
      <c r="I992" s="34" t="s">
        <v>18</v>
      </c>
      <c r="J992" s="34" t="s">
        <v>15</v>
      </c>
      <c r="K992" s="45">
        <v>103.7</v>
      </c>
      <c r="L992" s="9"/>
      <c r="M992" s="45">
        <v>103.7</v>
      </c>
    </row>
    <row r="993">
      <c r="A993" s="34" t="s">
        <v>70</v>
      </c>
      <c r="B993" s="34" t="s">
        <v>313</v>
      </c>
      <c r="C993" s="34">
        <v>45.0</v>
      </c>
      <c r="D993" s="34" t="s">
        <v>821</v>
      </c>
      <c r="E993" s="34" t="s">
        <v>2735</v>
      </c>
      <c r="F993" s="34" t="s">
        <v>2736</v>
      </c>
      <c r="G993" s="34">
        <v>45252.0</v>
      </c>
      <c r="H993" s="34" t="s">
        <v>2737</v>
      </c>
      <c r="I993" s="34" t="s">
        <v>18</v>
      </c>
      <c r="J993" s="34" t="s">
        <v>15</v>
      </c>
      <c r="K993" s="45">
        <v>103.5</v>
      </c>
      <c r="L993" s="9"/>
      <c r="M993" s="45">
        <v>103.5</v>
      </c>
    </row>
    <row r="994">
      <c r="A994" s="34" t="s">
        <v>70</v>
      </c>
      <c r="B994" s="34" t="s">
        <v>313</v>
      </c>
      <c r="C994" s="34">
        <v>45.0</v>
      </c>
      <c r="D994" s="34" t="s">
        <v>821</v>
      </c>
      <c r="E994" s="34" t="s">
        <v>2738</v>
      </c>
      <c r="F994" s="34" t="s">
        <v>2739</v>
      </c>
      <c r="G994" s="34">
        <v>45234.0</v>
      </c>
      <c r="H994" s="34" t="s">
        <v>830</v>
      </c>
      <c r="I994" s="34" t="s">
        <v>17</v>
      </c>
      <c r="J994" s="34" t="s">
        <v>15</v>
      </c>
      <c r="K994" s="45">
        <v>122.1</v>
      </c>
      <c r="L994" s="9"/>
      <c r="M994" s="45">
        <v>122.1</v>
      </c>
    </row>
    <row r="995">
      <c r="A995" s="34" t="s">
        <v>70</v>
      </c>
      <c r="B995" s="34" t="s">
        <v>313</v>
      </c>
      <c r="C995" s="34">
        <v>45.0</v>
      </c>
      <c r="D995" s="34" t="s">
        <v>821</v>
      </c>
      <c r="E995" s="34" t="s">
        <v>2740</v>
      </c>
      <c r="F995" s="34" t="s">
        <v>2741</v>
      </c>
      <c r="G995" s="34">
        <v>45284.0</v>
      </c>
      <c r="H995" s="34" t="s">
        <v>2742</v>
      </c>
      <c r="I995" s="34" t="s">
        <v>18</v>
      </c>
      <c r="J995" s="34" t="s">
        <v>15</v>
      </c>
      <c r="K995" s="45">
        <v>117.5</v>
      </c>
      <c r="L995" s="9"/>
      <c r="M995" s="45">
        <v>117.5</v>
      </c>
    </row>
    <row r="996">
      <c r="A996" s="34" t="s">
        <v>70</v>
      </c>
      <c r="B996" s="34" t="s">
        <v>182</v>
      </c>
      <c r="C996" s="34">
        <v>46.0</v>
      </c>
      <c r="D996" s="34" t="s">
        <v>838</v>
      </c>
      <c r="E996" s="34" t="s">
        <v>2743</v>
      </c>
      <c r="F996" s="34" t="s">
        <v>2744</v>
      </c>
      <c r="G996" s="34">
        <v>46127.0</v>
      </c>
      <c r="H996" s="34" t="s">
        <v>2745</v>
      </c>
      <c r="I996" s="34" t="s">
        <v>18</v>
      </c>
      <c r="J996" s="34" t="s">
        <v>14</v>
      </c>
      <c r="K996" s="45">
        <v>111.7</v>
      </c>
      <c r="L996" s="45">
        <v>89.1</v>
      </c>
      <c r="M996" s="45">
        <v>104.4</v>
      </c>
    </row>
    <row r="997">
      <c r="A997" s="34" t="s">
        <v>70</v>
      </c>
      <c r="B997" s="34" t="s">
        <v>182</v>
      </c>
      <c r="C997" s="34">
        <v>46.0</v>
      </c>
      <c r="D997" s="34" t="s">
        <v>838</v>
      </c>
      <c r="E997" s="34" t="s">
        <v>2746</v>
      </c>
      <c r="F997" s="34" t="s">
        <v>2747</v>
      </c>
      <c r="G997" s="34">
        <v>46042.0</v>
      </c>
      <c r="H997" s="34" t="s">
        <v>2748</v>
      </c>
      <c r="I997" s="34" t="s">
        <v>17</v>
      </c>
      <c r="J997" s="34" t="s">
        <v>13</v>
      </c>
      <c r="K997" s="9"/>
      <c r="L997" s="45">
        <v>103.7</v>
      </c>
      <c r="M997" s="45">
        <v>103.7</v>
      </c>
    </row>
    <row r="998">
      <c r="A998" s="34" t="s">
        <v>70</v>
      </c>
      <c r="B998" s="34" t="s">
        <v>182</v>
      </c>
      <c r="C998" s="34">
        <v>46.0</v>
      </c>
      <c r="D998" s="34" t="s">
        <v>838</v>
      </c>
      <c r="E998" s="34" t="s">
        <v>2749</v>
      </c>
      <c r="F998" s="34" t="s">
        <v>2750</v>
      </c>
      <c r="G998" s="34">
        <v>46309.0</v>
      </c>
      <c r="H998" s="34" t="s">
        <v>2751</v>
      </c>
      <c r="I998" s="34" t="s">
        <v>18</v>
      </c>
      <c r="J998" s="34" t="s">
        <v>14</v>
      </c>
      <c r="K998" s="45">
        <v>119.2</v>
      </c>
      <c r="L998" s="45">
        <v>100.7</v>
      </c>
      <c r="M998" s="45">
        <v>103.3</v>
      </c>
    </row>
    <row r="999">
      <c r="A999" s="34" t="s">
        <v>70</v>
      </c>
      <c r="B999" s="34" t="s">
        <v>377</v>
      </c>
      <c r="C999" s="34">
        <v>47.0</v>
      </c>
      <c r="D999" s="34" t="s">
        <v>849</v>
      </c>
      <c r="E999" s="34" t="s">
        <v>2752</v>
      </c>
      <c r="F999" s="34" t="s">
        <v>823</v>
      </c>
      <c r="G999" s="34">
        <v>47001.0</v>
      </c>
      <c r="H999" s="34" t="s">
        <v>852</v>
      </c>
      <c r="I999" s="34" t="s">
        <v>18</v>
      </c>
      <c r="J999" s="34" t="s">
        <v>15</v>
      </c>
      <c r="K999" s="45">
        <v>117.7</v>
      </c>
      <c r="L999" s="9"/>
      <c r="M999" s="45">
        <v>117.7</v>
      </c>
    </row>
    <row r="1000">
      <c r="A1000" s="34" t="s">
        <v>70</v>
      </c>
      <c r="B1000" s="34" t="s">
        <v>377</v>
      </c>
      <c r="C1000" s="34">
        <v>47.0</v>
      </c>
      <c r="D1000" s="34" t="s">
        <v>849</v>
      </c>
      <c r="E1000" s="34" t="s">
        <v>2753</v>
      </c>
      <c r="F1000" s="34" t="s">
        <v>2754</v>
      </c>
      <c r="G1000" s="34">
        <v>47195.0</v>
      </c>
      <c r="H1000" s="34" t="s">
        <v>2755</v>
      </c>
      <c r="I1000" s="34" t="s">
        <v>18</v>
      </c>
      <c r="J1000" s="34" t="s">
        <v>15</v>
      </c>
      <c r="K1000" s="45">
        <v>111.7</v>
      </c>
      <c r="L1000" s="9"/>
      <c r="M1000" s="45">
        <v>111.7</v>
      </c>
    </row>
    <row r="1001">
      <c r="A1001" s="34" t="s">
        <v>70</v>
      </c>
      <c r="B1001" s="34" t="s">
        <v>377</v>
      </c>
      <c r="C1001" s="34">
        <v>47.0</v>
      </c>
      <c r="D1001" s="34" t="s">
        <v>849</v>
      </c>
      <c r="E1001" s="34" t="s">
        <v>2756</v>
      </c>
      <c r="F1001" s="34" t="s">
        <v>2757</v>
      </c>
      <c r="G1001" s="34">
        <v>47195.0</v>
      </c>
      <c r="H1001" s="34" t="s">
        <v>2755</v>
      </c>
      <c r="I1001" s="34" t="s">
        <v>18</v>
      </c>
      <c r="J1001" s="34" t="s">
        <v>13</v>
      </c>
      <c r="K1001" s="9"/>
      <c r="L1001" s="45">
        <v>86.3</v>
      </c>
      <c r="M1001" s="45">
        <v>86.3</v>
      </c>
    </row>
    <row r="1002">
      <c r="A1002" s="34" t="s">
        <v>70</v>
      </c>
      <c r="B1002" s="34" t="s">
        <v>377</v>
      </c>
      <c r="C1002" s="34">
        <v>47.0</v>
      </c>
      <c r="D1002" s="34" t="s">
        <v>849</v>
      </c>
      <c r="E1002" s="34" t="s">
        <v>2758</v>
      </c>
      <c r="F1002" s="34" t="s">
        <v>2759</v>
      </c>
      <c r="G1002" s="34">
        <v>47106.0</v>
      </c>
      <c r="H1002" s="34" t="s">
        <v>2760</v>
      </c>
      <c r="I1002" s="34" t="s">
        <v>18</v>
      </c>
      <c r="J1002" s="34" t="s">
        <v>13</v>
      </c>
      <c r="K1002" s="9"/>
      <c r="L1002" s="45">
        <v>81.4</v>
      </c>
      <c r="M1002" s="45">
        <v>81.4</v>
      </c>
    </row>
    <row r="1003">
      <c r="A1003" s="34" t="s">
        <v>70</v>
      </c>
      <c r="B1003" s="34" t="s">
        <v>483</v>
      </c>
      <c r="C1003" s="34">
        <v>48.0</v>
      </c>
      <c r="D1003" s="34" t="s">
        <v>2761</v>
      </c>
      <c r="E1003" s="34" t="s">
        <v>2762</v>
      </c>
      <c r="F1003" s="34" t="s">
        <v>2763</v>
      </c>
      <c r="G1003" s="34">
        <v>48095.0</v>
      </c>
      <c r="H1003" s="34" t="s">
        <v>2764</v>
      </c>
      <c r="I1003" s="34" t="s">
        <v>18</v>
      </c>
      <c r="J1003" s="34" t="s">
        <v>15</v>
      </c>
      <c r="K1003" s="45">
        <v>123.9</v>
      </c>
      <c r="L1003" s="9"/>
      <c r="M1003" s="45">
        <v>123.9</v>
      </c>
    </row>
    <row r="1004">
      <c r="A1004" s="34" t="s">
        <v>70</v>
      </c>
      <c r="B1004" s="34" t="s">
        <v>779</v>
      </c>
      <c r="C1004" s="34">
        <v>49.0</v>
      </c>
      <c r="D1004" s="34" t="s">
        <v>856</v>
      </c>
      <c r="E1004" s="34" t="s">
        <v>2765</v>
      </c>
      <c r="F1004" s="34" t="s">
        <v>2766</v>
      </c>
      <c r="G1004" s="34">
        <v>49015.0</v>
      </c>
      <c r="H1004" s="34" t="s">
        <v>2767</v>
      </c>
      <c r="I1004" s="34" t="s">
        <v>18</v>
      </c>
      <c r="J1004" s="34" t="s">
        <v>13</v>
      </c>
      <c r="K1004" s="9"/>
      <c r="L1004" s="45">
        <v>79.4</v>
      </c>
      <c r="M1004" s="45">
        <v>79.4</v>
      </c>
    </row>
    <row r="1005">
      <c r="A1005" s="34" t="s">
        <v>70</v>
      </c>
      <c r="B1005" s="34" t="s">
        <v>779</v>
      </c>
      <c r="C1005" s="34">
        <v>49.0</v>
      </c>
      <c r="D1005" s="34" t="s">
        <v>856</v>
      </c>
      <c r="E1005" s="34" t="s">
        <v>2768</v>
      </c>
      <c r="F1005" s="34" t="s">
        <v>2769</v>
      </c>
      <c r="G1005" s="34">
        <v>49007.0</v>
      </c>
      <c r="H1005" s="34" t="s">
        <v>859</v>
      </c>
      <c r="I1005" s="34" t="s">
        <v>17</v>
      </c>
      <c r="J1005" s="34" t="s">
        <v>15</v>
      </c>
      <c r="K1005" s="45">
        <v>129.3</v>
      </c>
      <c r="L1005" s="9"/>
      <c r="M1005" s="45">
        <v>129.3</v>
      </c>
    </row>
    <row r="1006">
      <c r="A1006" s="34" t="s">
        <v>70</v>
      </c>
      <c r="B1006" s="34" t="s">
        <v>779</v>
      </c>
      <c r="C1006" s="34">
        <v>49.0</v>
      </c>
      <c r="D1006" s="34" t="s">
        <v>856</v>
      </c>
      <c r="E1006" s="34" t="s">
        <v>2770</v>
      </c>
      <c r="F1006" s="34" t="s">
        <v>2197</v>
      </c>
      <c r="G1006" s="34">
        <v>49092.0</v>
      </c>
      <c r="H1006" s="34" t="s">
        <v>2771</v>
      </c>
      <c r="I1006" s="34" t="s">
        <v>17</v>
      </c>
      <c r="J1006" s="34" t="s">
        <v>15</v>
      </c>
      <c r="K1006" s="45">
        <v>111.0</v>
      </c>
      <c r="L1006" s="9"/>
      <c r="M1006" s="45">
        <v>111.0</v>
      </c>
    </row>
    <row r="1007">
      <c r="A1007" s="34" t="s">
        <v>70</v>
      </c>
      <c r="B1007" s="34" t="s">
        <v>779</v>
      </c>
      <c r="C1007" s="34">
        <v>49.0</v>
      </c>
      <c r="D1007" s="34" t="s">
        <v>856</v>
      </c>
      <c r="E1007" s="34" t="s">
        <v>2772</v>
      </c>
      <c r="F1007" s="34" t="s">
        <v>307</v>
      </c>
      <c r="G1007" s="34">
        <v>49328.0</v>
      </c>
      <c r="H1007" s="34" t="s">
        <v>870</v>
      </c>
      <c r="I1007" s="34" t="s">
        <v>17</v>
      </c>
      <c r="J1007" s="34" t="s">
        <v>15</v>
      </c>
      <c r="K1007" s="45">
        <v>113.7</v>
      </c>
      <c r="L1007" s="9"/>
      <c r="M1007" s="45">
        <v>113.7</v>
      </c>
    </row>
    <row r="1008">
      <c r="A1008" s="34" t="s">
        <v>70</v>
      </c>
      <c r="B1008" s="34" t="s">
        <v>779</v>
      </c>
      <c r="C1008" s="34">
        <v>49.0</v>
      </c>
      <c r="D1008" s="34" t="s">
        <v>856</v>
      </c>
      <c r="E1008" s="34" t="s">
        <v>2773</v>
      </c>
      <c r="F1008" s="34" t="s">
        <v>2774</v>
      </c>
      <c r="G1008" s="34">
        <v>49007.0</v>
      </c>
      <c r="H1008" s="34" t="s">
        <v>859</v>
      </c>
      <c r="I1008" s="34" t="s">
        <v>17</v>
      </c>
      <c r="J1008" s="34" t="s">
        <v>15</v>
      </c>
      <c r="K1008" s="45">
        <v>129.4</v>
      </c>
      <c r="L1008" s="9"/>
      <c r="M1008" s="45">
        <v>129.4</v>
      </c>
    </row>
    <row r="1009">
      <c r="A1009" s="34" t="s">
        <v>70</v>
      </c>
      <c r="B1009" s="34" t="s">
        <v>779</v>
      </c>
      <c r="C1009" s="34">
        <v>49.0</v>
      </c>
      <c r="D1009" s="34" t="s">
        <v>856</v>
      </c>
      <c r="E1009" s="34" t="s">
        <v>2775</v>
      </c>
      <c r="F1009" s="34" t="s">
        <v>2776</v>
      </c>
      <c r="G1009" s="34">
        <v>49328.0</v>
      </c>
      <c r="H1009" s="34" t="s">
        <v>870</v>
      </c>
      <c r="I1009" s="34" t="s">
        <v>17</v>
      </c>
      <c r="J1009" s="34" t="s">
        <v>15</v>
      </c>
      <c r="K1009" s="45">
        <v>104.5</v>
      </c>
      <c r="L1009" s="9"/>
      <c r="M1009" s="45">
        <v>104.5</v>
      </c>
    </row>
    <row r="1010">
      <c r="A1010" s="34" t="s">
        <v>70</v>
      </c>
      <c r="B1010" s="34" t="s">
        <v>779</v>
      </c>
      <c r="C1010" s="34">
        <v>49.0</v>
      </c>
      <c r="D1010" s="34" t="s">
        <v>856</v>
      </c>
      <c r="E1010" s="34" t="s">
        <v>2777</v>
      </c>
      <c r="F1010" s="34" t="s">
        <v>2778</v>
      </c>
      <c r="G1010" s="34">
        <v>49099.0</v>
      </c>
      <c r="H1010" s="34" t="s">
        <v>867</v>
      </c>
      <c r="I1010" s="34" t="s">
        <v>17</v>
      </c>
      <c r="J1010" s="34" t="s">
        <v>15</v>
      </c>
      <c r="K1010" s="45">
        <v>123.0</v>
      </c>
      <c r="L1010" s="9"/>
      <c r="M1010" s="45">
        <v>123.0</v>
      </c>
    </row>
    <row r="1011">
      <c r="A1011" s="34" t="s">
        <v>70</v>
      </c>
      <c r="B1011" s="34" t="s">
        <v>269</v>
      </c>
      <c r="C1011" s="34">
        <v>50.0</v>
      </c>
      <c r="D1011" s="34" t="s">
        <v>881</v>
      </c>
      <c r="E1011" s="34" t="s">
        <v>2779</v>
      </c>
      <c r="F1011" s="34" t="s">
        <v>2780</v>
      </c>
      <c r="G1011" s="34">
        <v>50025.0</v>
      </c>
      <c r="H1011" s="34" t="s">
        <v>898</v>
      </c>
      <c r="I1011" s="34" t="s">
        <v>18</v>
      </c>
      <c r="J1011" s="34" t="s">
        <v>15</v>
      </c>
      <c r="K1011" s="45">
        <v>112.2</v>
      </c>
      <c r="L1011" s="9"/>
      <c r="M1011" s="45">
        <v>112.2</v>
      </c>
    </row>
    <row r="1012">
      <c r="A1012" s="34" t="s">
        <v>70</v>
      </c>
      <c r="B1012" s="34" t="s">
        <v>269</v>
      </c>
      <c r="C1012" s="34">
        <v>50.0</v>
      </c>
      <c r="D1012" s="34" t="s">
        <v>881</v>
      </c>
      <c r="E1012" s="34" t="s">
        <v>2781</v>
      </c>
      <c r="F1012" s="34" t="s">
        <v>2782</v>
      </c>
      <c r="G1012" s="34">
        <v>50359.0</v>
      </c>
      <c r="H1012" s="34" t="s">
        <v>2783</v>
      </c>
      <c r="I1012" s="34" t="s">
        <v>18</v>
      </c>
      <c r="J1012" s="34" t="s">
        <v>14</v>
      </c>
      <c r="K1012" s="45">
        <v>108.0</v>
      </c>
      <c r="L1012" s="45">
        <v>83.9</v>
      </c>
      <c r="M1012" s="45">
        <v>103.7</v>
      </c>
    </row>
    <row r="1013">
      <c r="A1013" s="34" t="s">
        <v>70</v>
      </c>
      <c r="B1013" s="34" t="s">
        <v>269</v>
      </c>
      <c r="C1013" s="34">
        <v>50.0</v>
      </c>
      <c r="D1013" s="34" t="s">
        <v>881</v>
      </c>
      <c r="E1013" s="34" t="s">
        <v>2784</v>
      </c>
      <c r="F1013" s="34" t="s">
        <v>2785</v>
      </c>
      <c r="G1013" s="34">
        <v>50484.0</v>
      </c>
      <c r="H1013" s="34" t="s">
        <v>2786</v>
      </c>
      <c r="I1013" s="34" t="s">
        <v>18</v>
      </c>
      <c r="J1013" s="34" t="s">
        <v>14</v>
      </c>
      <c r="K1013" s="45">
        <v>106.4</v>
      </c>
      <c r="L1013" s="45">
        <v>94.5</v>
      </c>
      <c r="M1013" s="45">
        <v>96.5</v>
      </c>
    </row>
    <row r="1014">
      <c r="A1014" s="34" t="s">
        <v>70</v>
      </c>
      <c r="B1014" s="34" t="s">
        <v>269</v>
      </c>
      <c r="C1014" s="34">
        <v>50.0</v>
      </c>
      <c r="D1014" s="34" t="s">
        <v>881</v>
      </c>
      <c r="E1014" s="34" t="s">
        <v>2787</v>
      </c>
      <c r="F1014" s="34" t="s">
        <v>2788</v>
      </c>
      <c r="G1014" s="34">
        <v>50129.0</v>
      </c>
      <c r="H1014" s="34" t="s">
        <v>884</v>
      </c>
      <c r="I1014" s="34" t="s">
        <v>17</v>
      </c>
      <c r="J1014" s="34" t="s">
        <v>15</v>
      </c>
      <c r="K1014" s="45">
        <v>121.4</v>
      </c>
      <c r="L1014" s="9"/>
      <c r="M1014" s="45">
        <v>121.4</v>
      </c>
    </row>
    <row r="1015">
      <c r="A1015" s="34" t="s">
        <v>70</v>
      </c>
      <c r="B1015" s="34" t="s">
        <v>269</v>
      </c>
      <c r="C1015" s="34">
        <v>50.0</v>
      </c>
      <c r="D1015" s="34" t="s">
        <v>881</v>
      </c>
      <c r="E1015" s="34" t="s">
        <v>2789</v>
      </c>
      <c r="F1015" s="34" t="s">
        <v>2790</v>
      </c>
      <c r="G1015" s="34">
        <v>50502.0</v>
      </c>
      <c r="H1015" s="34" t="s">
        <v>887</v>
      </c>
      <c r="I1015" s="34" t="s">
        <v>17</v>
      </c>
      <c r="J1015" s="34" t="s">
        <v>13</v>
      </c>
      <c r="K1015" s="9"/>
      <c r="L1015" s="45">
        <v>90.4</v>
      </c>
      <c r="M1015" s="45">
        <v>90.4</v>
      </c>
    </row>
    <row r="1016">
      <c r="A1016" s="34" t="s">
        <v>70</v>
      </c>
      <c r="B1016" s="34" t="s">
        <v>169</v>
      </c>
      <c r="C1016" s="34">
        <v>51.0</v>
      </c>
      <c r="D1016" s="34" t="s">
        <v>904</v>
      </c>
      <c r="E1016" s="34" t="s">
        <v>2791</v>
      </c>
      <c r="F1016" s="34" t="s">
        <v>2792</v>
      </c>
      <c r="G1016" s="34">
        <v>51108.0</v>
      </c>
      <c r="H1016" s="34" t="s">
        <v>2793</v>
      </c>
      <c r="I1016" s="34" t="s">
        <v>18</v>
      </c>
      <c r="J1016" s="34" t="s">
        <v>15</v>
      </c>
      <c r="K1016" s="45">
        <v>118.6</v>
      </c>
      <c r="L1016" s="9"/>
      <c r="M1016" s="45">
        <v>118.6</v>
      </c>
    </row>
    <row r="1017">
      <c r="A1017" s="34" t="s">
        <v>70</v>
      </c>
      <c r="B1017" s="34" t="s">
        <v>169</v>
      </c>
      <c r="C1017" s="34">
        <v>51.0</v>
      </c>
      <c r="D1017" s="34" t="s">
        <v>904</v>
      </c>
      <c r="E1017" s="34" t="s">
        <v>2794</v>
      </c>
      <c r="F1017" s="34" t="s">
        <v>2795</v>
      </c>
      <c r="G1017" s="34">
        <v>51454.0</v>
      </c>
      <c r="H1017" s="34" t="s">
        <v>169</v>
      </c>
      <c r="I1017" s="34" t="s">
        <v>18</v>
      </c>
      <c r="J1017" s="34" t="s">
        <v>15</v>
      </c>
      <c r="K1017" s="45">
        <v>91.8</v>
      </c>
      <c r="L1017" s="9"/>
      <c r="M1017" s="45">
        <v>91.8</v>
      </c>
    </row>
    <row r="1018">
      <c r="A1018" s="34" t="s">
        <v>70</v>
      </c>
      <c r="B1018" s="34" t="s">
        <v>169</v>
      </c>
      <c r="C1018" s="34">
        <v>51.0</v>
      </c>
      <c r="D1018" s="34" t="s">
        <v>904</v>
      </c>
      <c r="E1018" s="34" t="s">
        <v>2796</v>
      </c>
      <c r="F1018" s="34" t="s">
        <v>2797</v>
      </c>
      <c r="G1018" s="34">
        <v>51454.0</v>
      </c>
      <c r="H1018" s="34" t="s">
        <v>169</v>
      </c>
      <c r="I1018" s="34" t="s">
        <v>18</v>
      </c>
      <c r="J1018" s="34" t="s">
        <v>13</v>
      </c>
      <c r="K1018" s="9"/>
      <c r="L1018" s="45">
        <v>78.2</v>
      </c>
      <c r="M1018" s="45">
        <v>78.2</v>
      </c>
    </row>
    <row r="1019">
      <c r="A1019" s="34" t="s">
        <v>70</v>
      </c>
      <c r="B1019" s="34" t="s">
        <v>169</v>
      </c>
      <c r="C1019" s="34">
        <v>51.0</v>
      </c>
      <c r="D1019" s="34" t="s">
        <v>904</v>
      </c>
      <c r="E1019" s="34" t="s">
        <v>2798</v>
      </c>
      <c r="F1019" s="34" t="s">
        <v>2799</v>
      </c>
      <c r="G1019" s="34">
        <v>51535.0</v>
      </c>
      <c r="H1019" s="34" t="s">
        <v>2800</v>
      </c>
      <c r="I1019" s="34" t="s">
        <v>18</v>
      </c>
      <c r="J1019" s="34" t="s">
        <v>14</v>
      </c>
      <c r="K1019" s="45">
        <v>99.8</v>
      </c>
      <c r="L1019" s="45">
        <v>79.1</v>
      </c>
      <c r="M1019" s="45">
        <v>92.2</v>
      </c>
    </row>
    <row r="1020">
      <c r="A1020" s="34" t="s">
        <v>70</v>
      </c>
      <c r="B1020" s="34" t="s">
        <v>169</v>
      </c>
      <c r="C1020" s="34">
        <v>51.0</v>
      </c>
      <c r="D1020" s="34" t="s">
        <v>904</v>
      </c>
      <c r="E1020" s="34" t="s">
        <v>2801</v>
      </c>
      <c r="F1020" s="34" t="s">
        <v>2802</v>
      </c>
      <c r="G1020" s="34">
        <v>51454.0</v>
      </c>
      <c r="H1020" s="34" t="s">
        <v>169</v>
      </c>
      <c r="I1020" s="34" t="s">
        <v>17</v>
      </c>
      <c r="J1020" s="34" t="s">
        <v>15</v>
      </c>
      <c r="K1020" s="45">
        <v>129.8</v>
      </c>
      <c r="L1020" s="9"/>
      <c r="M1020" s="45">
        <v>129.8</v>
      </c>
    </row>
    <row r="1021">
      <c r="A1021" s="34" t="s">
        <v>70</v>
      </c>
      <c r="B1021" s="34" t="s">
        <v>169</v>
      </c>
      <c r="C1021" s="34">
        <v>51.0</v>
      </c>
      <c r="D1021" s="34" t="s">
        <v>904</v>
      </c>
      <c r="E1021" s="34" t="s">
        <v>2803</v>
      </c>
      <c r="F1021" s="34" t="s">
        <v>555</v>
      </c>
      <c r="G1021" s="34">
        <v>51454.0</v>
      </c>
      <c r="H1021" s="34" t="s">
        <v>169</v>
      </c>
      <c r="I1021" s="34" t="s">
        <v>17</v>
      </c>
      <c r="J1021" s="34" t="s">
        <v>15</v>
      </c>
      <c r="K1021" s="45">
        <v>141.9</v>
      </c>
      <c r="L1021" s="9"/>
      <c r="M1021" s="45">
        <v>141.9</v>
      </c>
    </row>
    <row r="1022">
      <c r="A1022" s="34" t="s">
        <v>70</v>
      </c>
      <c r="B1022" s="34" t="s">
        <v>169</v>
      </c>
      <c r="C1022" s="34">
        <v>51.0</v>
      </c>
      <c r="D1022" s="34" t="s">
        <v>904</v>
      </c>
      <c r="E1022" s="34" t="s">
        <v>2804</v>
      </c>
      <c r="F1022" s="34" t="s">
        <v>2805</v>
      </c>
      <c r="G1022" s="34">
        <v>51454.0</v>
      </c>
      <c r="H1022" s="34" t="s">
        <v>169</v>
      </c>
      <c r="I1022" s="34" t="s">
        <v>17</v>
      </c>
      <c r="J1022" s="34" t="s">
        <v>15</v>
      </c>
      <c r="K1022" s="45">
        <v>132.0</v>
      </c>
      <c r="L1022" s="9"/>
      <c r="M1022" s="45">
        <v>132.0</v>
      </c>
    </row>
    <row r="1023">
      <c r="A1023" s="34" t="s">
        <v>70</v>
      </c>
      <c r="B1023" s="34" t="s">
        <v>779</v>
      </c>
      <c r="C1023" s="34">
        <v>53.0</v>
      </c>
      <c r="D1023" s="34" t="s">
        <v>927</v>
      </c>
      <c r="E1023" s="34" t="s">
        <v>2806</v>
      </c>
      <c r="F1023" s="34" t="s">
        <v>2807</v>
      </c>
      <c r="G1023" s="34">
        <v>53130.0</v>
      </c>
      <c r="H1023" s="34" t="s">
        <v>2808</v>
      </c>
      <c r="I1023" s="34" t="s">
        <v>17</v>
      </c>
      <c r="J1023" s="34" t="s">
        <v>15</v>
      </c>
      <c r="K1023" s="45">
        <v>120.8</v>
      </c>
      <c r="L1023" s="9"/>
      <c r="M1023" s="45">
        <v>120.8</v>
      </c>
    </row>
    <row r="1024">
      <c r="A1024" s="34" t="s">
        <v>70</v>
      </c>
      <c r="B1024" s="34" t="s">
        <v>779</v>
      </c>
      <c r="C1024" s="34">
        <v>53.0</v>
      </c>
      <c r="D1024" s="34" t="s">
        <v>927</v>
      </c>
      <c r="E1024" s="34" t="s">
        <v>2809</v>
      </c>
      <c r="F1024" s="34" t="s">
        <v>2810</v>
      </c>
      <c r="G1024" s="34">
        <v>53130.0</v>
      </c>
      <c r="H1024" s="34" t="s">
        <v>2808</v>
      </c>
      <c r="I1024" s="34" t="s">
        <v>18</v>
      </c>
      <c r="J1024" s="34" t="s">
        <v>13</v>
      </c>
      <c r="K1024" s="9"/>
      <c r="L1024" s="45">
        <v>94.4</v>
      </c>
      <c r="M1024" s="45">
        <v>94.4</v>
      </c>
    </row>
    <row r="1025">
      <c r="A1025" s="34" t="s">
        <v>70</v>
      </c>
      <c r="B1025" s="34" t="s">
        <v>779</v>
      </c>
      <c r="C1025" s="34">
        <v>53.0</v>
      </c>
      <c r="D1025" s="34" t="s">
        <v>927</v>
      </c>
      <c r="E1025" s="34" t="s">
        <v>2811</v>
      </c>
      <c r="F1025" s="34" t="s">
        <v>2812</v>
      </c>
      <c r="G1025" s="34">
        <v>53130.0</v>
      </c>
      <c r="H1025" s="34" t="s">
        <v>2808</v>
      </c>
      <c r="I1025" s="34" t="s">
        <v>17</v>
      </c>
      <c r="J1025" s="34" t="s">
        <v>13</v>
      </c>
      <c r="K1025" s="9"/>
      <c r="L1025" s="45">
        <v>96.6</v>
      </c>
      <c r="M1025" s="45">
        <v>96.6</v>
      </c>
    </row>
    <row r="1026">
      <c r="A1026" s="34" t="s">
        <v>70</v>
      </c>
      <c r="B1026" s="34" t="s">
        <v>779</v>
      </c>
      <c r="C1026" s="34">
        <v>53.0</v>
      </c>
      <c r="D1026" s="34" t="s">
        <v>927</v>
      </c>
      <c r="E1026" s="34" t="s">
        <v>2813</v>
      </c>
      <c r="F1026" s="34" t="s">
        <v>2814</v>
      </c>
      <c r="G1026" s="34">
        <v>53097.0</v>
      </c>
      <c r="H1026" s="34" t="s">
        <v>2815</v>
      </c>
      <c r="I1026" s="34" t="s">
        <v>18</v>
      </c>
      <c r="J1026" s="34" t="s">
        <v>14</v>
      </c>
      <c r="K1026" s="45">
        <v>108.2</v>
      </c>
      <c r="L1026" s="45">
        <v>81.7</v>
      </c>
      <c r="M1026" s="45">
        <v>97.9</v>
      </c>
    </row>
    <row r="1027">
      <c r="A1027" s="34" t="s">
        <v>70</v>
      </c>
      <c r="B1027" s="34" t="s">
        <v>930</v>
      </c>
      <c r="C1027" s="34">
        <v>54.0</v>
      </c>
      <c r="D1027" s="34" t="s">
        <v>931</v>
      </c>
      <c r="E1027" s="34" t="s">
        <v>2816</v>
      </c>
      <c r="F1027" s="34" t="s">
        <v>2817</v>
      </c>
      <c r="G1027" s="34">
        <v>54395.0</v>
      </c>
      <c r="H1027" s="34" t="s">
        <v>937</v>
      </c>
      <c r="I1027" s="34" t="s">
        <v>18</v>
      </c>
      <c r="J1027" s="34" t="s">
        <v>15</v>
      </c>
      <c r="K1027" s="45">
        <v>126.0</v>
      </c>
      <c r="L1027" s="9"/>
      <c r="M1027" s="45">
        <v>126.0</v>
      </c>
    </row>
    <row r="1028">
      <c r="A1028" s="34" t="s">
        <v>70</v>
      </c>
      <c r="B1028" s="34" t="s">
        <v>930</v>
      </c>
      <c r="C1028" s="34">
        <v>54.0</v>
      </c>
      <c r="D1028" s="34" t="s">
        <v>931</v>
      </c>
      <c r="E1028" s="34" t="s">
        <v>2818</v>
      </c>
      <c r="F1028" s="34" t="s">
        <v>2819</v>
      </c>
      <c r="G1028" s="34">
        <v>54528.0</v>
      </c>
      <c r="H1028" s="34" t="s">
        <v>2820</v>
      </c>
      <c r="I1028" s="34" t="s">
        <v>18</v>
      </c>
      <c r="J1028" s="34" t="s">
        <v>15</v>
      </c>
      <c r="K1028" s="45">
        <v>115.5</v>
      </c>
      <c r="L1028" s="9"/>
      <c r="M1028" s="45">
        <v>115.5</v>
      </c>
    </row>
    <row r="1029">
      <c r="A1029" s="34" t="s">
        <v>70</v>
      </c>
      <c r="B1029" s="34" t="s">
        <v>930</v>
      </c>
      <c r="C1029" s="34">
        <v>54.0</v>
      </c>
      <c r="D1029" s="34" t="s">
        <v>931</v>
      </c>
      <c r="E1029" s="34" t="s">
        <v>2821</v>
      </c>
      <c r="F1029" s="34" t="s">
        <v>2822</v>
      </c>
      <c r="G1029" s="34">
        <v>54395.0</v>
      </c>
      <c r="H1029" s="34" t="s">
        <v>937</v>
      </c>
      <c r="I1029" s="34" t="s">
        <v>18</v>
      </c>
      <c r="J1029" s="34" t="s">
        <v>13</v>
      </c>
      <c r="K1029" s="9"/>
      <c r="L1029" s="45">
        <v>75.7</v>
      </c>
      <c r="M1029" s="45">
        <v>75.7</v>
      </c>
    </row>
    <row r="1030">
      <c r="A1030" s="34" t="s">
        <v>70</v>
      </c>
      <c r="B1030" s="34" t="s">
        <v>930</v>
      </c>
      <c r="C1030" s="34">
        <v>54.0</v>
      </c>
      <c r="D1030" s="34" t="s">
        <v>931</v>
      </c>
      <c r="E1030" s="34" t="s">
        <v>2823</v>
      </c>
      <c r="F1030" s="34" t="s">
        <v>2824</v>
      </c>
      <c r="G1030" s="34">
        <v>54323.0</v>
      </c>
      <c r="H1030" s="34" t="s">
        <v>2825</v>
      </c>
      <c r="I1030" s="34" t="s">
        <v>17</v>
      </c>
      <c r="J1030" s="34" t="s">
        <v>15</v>
      </c>
      <c r="K1030" s="45">
        <v>105.8</v>
      </c>
      <c r="L1030" s="9"/>
      <c r="M1030" s="45">
        <v>105.8</v>
      </c>
    </row>
    <row r="1031">
      <c r="A1031" s="34" t="s">
        <v>70</v>
      </c>
      <c r="B1031" s="34" t="s">
        <v>930</v>
      </c>
      <c r="C1031" s="34">
        <v>54.0</v>
      </c>
      <c r="D1031" s="34" t="s">
        <v>931</v>
      </c>
      <c r="E1031" s="34" t="s">
        <v>2826</v>
      </c>
      <c r="F1031" s="34" t="s">
        <v>2827</v>
      </c>
      <c r="G1031" s="34">
        <v>54395.0</v>
      </c>
      <c r="H1031" s="34" t="s">
        <v>937</v>
      </c>
      <c r="I1031" s="34" t="s">
        <v>17</v>
      </c>
      <c r="J1031" s="34" t="s">
        <v>15</v>
      </c>
      <c r="K1031" s="45">
        <v>130.6</v>
      </c>
      <c r="L1031" s="9"/>
      <c r="M1031" s="45">
        <v>130.6</v>
      </c>
    </row>
    <row r="1032">
      <c r="A1032" s="34" t="s">
        <v>70</v>
      </c>
      <c r="B1032" s="34" t="s">
        <v>930</v>
      </c>
      <c r="C1032" s="34">
        <v>54.0</v>
      </c>
      <c r="D1032" s="34" t="s">
        <v>931</v>
      </c>
      <c r="E1032" s="34" t="s">
        <v>2828</v>
      </c>
      <c r="F1032" s="34" t="s">
        <v>2829</v>
      </c>
      <c r="G1032" s="34">
        <v>54395.0</v>
      </c>
      <c r="H1032" s="34" t="s">
        <v>937</v>
      </c>
      <c r="I1032" s="34" t="s">
        <v>17</v>
      </c>
      <c r="J1032" s="34" t="s">
        <v>15</v>
      </c>
      <c r="K1032" s="45">
        <v>115.8</v>
      </c>
      <c r="L1032" s="9"/>
      <c r="M1032" s="45">
        <v>115.8</v>
      </c>
    </row>
    <row r="1033">
      <c r="A1033" s="34" t="s">
        <v>70</v>
      </c>
      <c r="B1033" s="34" t="s">
        <v>930</v>
      </c>
      <c r="C1033" s="34">
        <v>54.0</v>
      </c>
      <c r="D1033" s="34" t="s">
        <v>931</v>
      </c>
      <c r="E1033" s="34" t="s">
        <v>2830</v>
      </c>
      <c r="F1033" s="34" t="s">
        <v>2831</v>
      </c>
      <c r="G1033" s="34">
        <v>54274.0</v>
      </c>
      <c r="H1033" s="34" t="s">
        <v>2832</v>
      </c>
      <c r="I1033" s="34" t="s">
        <v>17</v>
      </c>
      <c r="J1033" s="34" t="s">
        <v>15</v>
      </c>
      <c r="K1033" s="45">
        <v>138.8</v>
      </c>
      <c r="L1033" s="9"/>
      <c r="M1033" s="45">
        <v>138.8</v>
      </c>
    </row>
    <row r="1034">
      <c r="A1034" s="34" t="s">
        <v>70</v>
      </c>
      <c r="B1034" s="34" t="s">
        <v>930</v>
      </c>
      <c r="C1034" s="34">
        <v>54.0</v>
      </c>
      <c r="D1034" s="34" t="s">
        <v>931</v>
      </c>
      <c r="E1034" s="34" t="s">
        <v>2833</v>
      </c>
      <c r="F1034" s="34" t="s">
        <v>2834</v>
      </c>
      <c r="G1034" s="34">
        <v>54395.0</v>
      </c>
      <c r="H1034" s="34" t="s">
        <v>937</v>
      </c>
      <c r="I1034" s="34" t="s">
        <v>17</v>
      </c>
      <c r="J1034" s="34" t="s">
        <v>15</v>
      </c>
      <c r="K1034" s="45">
        <v>108.7</v>
      </c>
      <c r="L1034" s="9"/>
      <c r="M1034" s="45">
        <v>108.7</v>
      </c>
    </row>
    <row r="1035">
      <c r="A1035" s="34" t="s">
        <v>70</v>
      </c>
      <c r="B1035" s="34" t="s">
        <v>930</v>
      </c>
      <c r="C1035" s="34">
        <v>54.0</v>
      </c>
      <c r="D1035" s="34" t="s">
        <v>931</v>
      </c>
      <c r="E1035" s="34" t="s">
        <v>2835</v>
      </c>
      <c r="F1035" s="34" t="s">
        <v>2836</v>
      </c>
      <c r="G1035" s="34">
        <v>54304.0</v>
      </c>
      <c r="H1035" s="34" t="s">
        <v>2837</v>
      </c>
      <c r="I1035" s="34" t="s">
        <v>18</v>
      </c>
      <c r="J1035" s="34" t="s">
        <v>13</v>
      </c>
      <c r="K1035" s="9"/>
      <c r="L1035" s="45">
        <v>79.7</v>
      </c>
      <c r="M1035" s="45">
        <v>79.7</v>
      </c>
    </row>
    <row r="1036">
      <c r="A1036" s="34" t="s">
        <v>70</v>
      </c>
      <c r="B1036" s="34" t="s">
        <v>930</v>
      </c>
      <c r="C1036" s="34">
        <v>54.0</v>
      </c>
      <c r="D1036" s="34" t="s">
        <v>931</v>
      </c>
      <c r="E1036" s="34" t="s">
        <v>2838</v>
      </c>
      <c r="F1036" s="34" t="s">
        <v>2839</v>
      </c>
      <c r="G1036" s="34">
        <v>54395.0</v>
      </c>
      <c r="H1036" s="34" t="s">
        <v>937</v>
      </c>
      <c r="I1036" s="34" t="s">
        <v>17</v>
      </c>
      <c r="J1036" s="34" t="s">
        <v>15</v>
      </c>
      <c r="K1036" s="45">
        <v>117.9</v>
      </c>
      <c r="L1036" s="9"/>
      <c r="M1036" s="45">
        <v>117.9</v>
      </c>
    </row>
    <row r="1037">
      <c r="A1037" s="34" t="s">
        <v>70</v>
      </c>
      <c r="B1037" s="34" t="s">
        <v>930</v>
      </c>
      <c r="C1037" s="34">
        <v>55.0</v>
      </c>
      <c r="D1037" s="34" t="s">
        <v>957</v>
      </c>
      <c r="E1037" s="34" t="s">
        <v>2840</v>
      </c>
      <c r="F1037" s="34" t="s">
        <v>2841</v>
      </c>
      <c r="G1037" s="34">
        <v>55545.0</v>
      </c>
      <c r="H1037" s="34" t="s">
        <v>966</v>
      </c>
      <c r="I1037" s="34" t="s">
        <v>18</v>
      </c>
      <c r="J1037" s="34" t="s">
        <v>13</v>
      </c>
      <c r="K1037" s="9"/>
      <c r="L1037" s="45">
        <v>77.6</v>
      </c>
      <c r="M1037" s="45">
        <v>77.6</v>
      </c>
    </row>
    <row r="1038">
      <c r="A1038" s="34" t="s">
        <v>70</v>
      </c>
      <c r="B1038" s="34" t="s">
        <v>930</v>
      </c>
      <c r="C1038" s="34">
        <v>55.0</v>
      </c>
      <c r="D1038" s="34" t="s">
        <v>957</v>
      </c>
      <c r="E1038" s="34" t="s">
        <v>2842</v>
      </c>
      <c r="F1038" s="34" t="s">
        <v>307</v>
      </c>
      <c r="G1038" s="34">
        <v>55029.0</v>
      </c>
      <c r="H1038" s="34" t="s">
        <v>960</v>
      </c>
      <c r="I1038" s="34" t="s">
        <v>17</v>
      </c>
      <c r="J1038" s="34" t="s">
        <v>15</v>
      </c>
      <c r="K1038" s="45">
        <v>116.5</v>
      </c>
      <c r="L1038" s="9"/>
      <c r="M1038" s="45">
        <v>116.5</v>
      </c>
    </row>
    <row r="1039">
      <c r="A1039" s="34" t="s">
        <v>70</v>
      </c>
      <c r="B1039" s="34" t="s">
        <v>930</v>
      </c>
      <c r="C1039" s="34">
        <v>55.0</v>
      </c>
      <c r="D1039" s="34" t="s">
        <v>957</v>
      </c>
      <c r="E1039" s="34" t="s">
        <v>2843</v>
      </c>
      <c r="F1039" s="34" t="s">
        <v>2682</v>
      </c>
      <c r="G1039" s="34">
        <v>55545.0</v>
      </c>
      <c r="H1039" s="34" t="s">
        <v>966</v>
      </c>
      <c r="I1039" s="34" t="s">
        <v>17</v>
      </c>
      <c r="J1039" s="34" t="s">
        <v>15</v>
      </c>
      <c r="K1039" s="45">
        <v>110.5</v>
      </c>
      <c r="L1039" s="9"/>
      <c r="M1039" s="45">
        <v>110.5</v>
      </c>
    </row>
    <row r="1040">
      <c r="A1040" s="34" t="s">
        <v>70</v>
      </c>
      <c r="B1040" s="34" t="s">
        <v>930</v>
      </c>
      <c r="C1040" s="34">
        <v>55.0</v>
      </c>
      <c r="D1040" s="34" t="s">
        <v>957</v>
      </c>
      <c r="E1040" s="34" t="s">
        <v>2844</v>
      </c>
      <c r="F1040" s="34" t="s">
        <v>2845</v>
      </c>
      <c r="G1040" s="34">
        <v>55291.0</v>
      </c>
      <c r="H1040" s="34" t="s">
        <v>2846</v>
      </c>
      <c r="I1040" s="34" t="s">
        <v>17</v>
      </c>
      <c r="J1040" s="34" t="s">
        <v>13</v>
      </c>
      <c r="K1040" s="9"/>
      <c r="L1040" s="45">
        <v>82.8</v>
      </c>
      <c r="M1040" s="45">
        <v>82.8</v>
      </c>
    </row>
    <row r="1041">
      <c r="A1041" s="34" t="s">
        <v>70</v>
      </c>
      <c r="B1041" s="34" t="s">
        <v>354</v>
      </c>
      <c r="C1041" s="34">
        <v>56.0</v>
      </c>
      <c r="D1041" s="34" t="s">
        <v>972</v>
      </c>
      <c r="E1041" s="34" t="s">
        <v>2847</v>
      </c>
      <c r="F1041" s="34" t="s">
        <v>2848</v>
      </c>
      <c r="G1041" s="34">
        <v>56075.0</v>
      </c>
      <c r="H1041" s="34" t="s">
        <v>2849</v>
      </c>
      <c r="I1041" s="34" t="s">
        <v>18</v>
      </c>
      <c r="J1041" s="34" t="s">
        <v>14</v>
      </c>
      <c r="K1041" s="45">
        <v>109.6</v>
      </c>
      <c r="L1041" s="45">
        <v>89.2</v>
      </c>
      <c r="M1041" s="45">
        <v>103.9</v>
      </c>
    </row>
    <row r="1042">
      <c r="A1042" s="34" t="s">
        <v>70</v>
      </c>
      <c r="B1042" s="34" t="s">
        <v>354</v>
      </c>
      <c r="C1042" s="34">
        <v>56.0</v>
      </c>
      <c r="D1042" s="34" t="s">
        <v>972</v>
      </c>
      <c r="E1042" s="34" t="s">
        <v>2850</v>
      </c>
      <c r="F1042" s="34" t="s">
        <v>2851</v>
      </c>
      <c r="G1042" s="34">
        <v>56181.0</v>
      </c>
      <c r="H1042" s="34" t="s">
        <v>2852</v>
      </c>
      <c r="I1042" s="34" t="s">
        <v>18</v>
      </c>
      <c r="J1042" s="34" t="s">
        <v>13</v>
      </c>
      <c r="K1042" s="9"/>
      <c r="L1042" s="45">
        <v>92.4</v>
      </c>
      <c r="M1042" s="45">
        <v>92.4</v>
      </c>
    </row>
    <row r="1043">
      <c r="A1043" s="34" t="s">
        <v>70</v>
      </c>
      <c r="B1043" s="34" t="s">
        <v>354</v>
      </c>
      <c r="C1043" s="34">
        <v>56.0</v>
      </c>
      <c r="D1043" s="34" t="s">
        <v>972</v>
      </c>
      <c r="E1043" s="34" t="s">
        <v>2853</v>
      </c>
      <c r="F1043" s="34" t="s">
        <v>2854</v>
      </c>
      <c r="G1043" s="34">
        <v>56260.0</v>
      </c>
      <c r="H1043" s="34" t="s">
        <v>978</v>
      </c>
      <c r="I1043" s="34" t="s">
        <v>18</v>
      </c>
      <c r="J1043" s="34" t="s">
        <v>13</v>
      </c>
      <c r="K1043" s="9"/>
      <c r="L1043" s="45">
        <v>87.4</v>
      </c>
      <c r="M1043" s="45">
        <v>87.4</v>
      </c>
    </row>
    <row r="1044">
      <c r="A1044" s="34" t="s">
        <v>70</v>
      </c>
      <c r="B1044" s="34" t="s">
        <v>354</v>
      </c>
      <c r="C1044" s="34">
        <v>56.0</v>
      </c>
      <c r="D1044" s="34" t="s">
        <v>972</v>
      </c>
      <c r="E1044" s="34" t="s">
        <v>2855</v>
      </c>
      <c r="F1044" s="34" t="s">
        <v>2856</v>
      </c>
      <c r="G1044" s="34">
        <v>56083.0</v>
      </c>
      <c r="H1044" s="34" t="s">
        <v>2857</v>
      </c>
      <c r="I1044" s="34" t="s">
        <v>17</v>
      </c>
      <c r="J1044" s="34" t="s">
        <v>15</v>
      </c>
      <c r="K1044" s="45">
        <v>111.8</v>
      </c>
      <c r="L1044" s="9"/>
      <c r="M1044" s="45">
        <v>111.8</v>
      </c>
    </row>
    <row r="1045">
      <c r="A1045" s="34" t="s">
        <v>70</v>
      </c>
      <c r="B1045" s="34" t="s">
        <v>354</v>
      </c>
      <c r="C1045" s="34">
        <v>56.0</v>
      </c>
      <c r="D1045" s="34" t="s">
        <v>972</v>
      </c>
      <c r="E1045" s="34" t="s">
        <v>2858</v>
      </c>
      <c r="F1045" s="34" t="s">
        <v>2859</v>
      </c>
      <c r="G1045" s="34">
        <v>56165.0</v>
      </c>
      <c r="H1045" s="34" t="s">
        <v>2860</v>
      </c>
      <c r="I1045" s="34" t="s">
        <v>17</v>
      </c>
      <c r="J1045" s="34" t="s">
        <v>14</v>
      </c>
      <c r="K1045" s="45">
        <v>107.1</v>
      </c>
      <c r="L1045" s="45">
        <v>85.4</v>
      </c>
      <c r="M1045" s="45">
        <v>102.7</v>
      </c>
    </row>
    <row r="1046">
      <c r="A1046" s="34" t="s">
        <v>70</v>
      </c>
      <c r="B1046" s="34" t="s">
        <v>354</v>
      </c>
      <c r="C1046" s="34">
        <v>56.0</v>
      </c>
      <c r="D1046" s="34" t="s">
        <v>972</v>
      </c>
      <c r="E1046" s="34" t="s">
        <v>2861</v>
      </c>
      <c r="F1046" s="34" t="s">
        <v>2862</v>
      </c>
      <c r="G1046" s="34">
        <v>56260.0</v>
      </c>
      <c r="H1046" s="34" t="s">
        <v>978</v>
      </c>
      <c r="I1046" s="34" t="s">
        <v>17</v>
      </c>
      <c r="J1046" s="34" t="s">
        <v>15</v>
      </c>
      <c r="K1046" s="45">
        <v>131.0</v>
      </c>
      <c r="L1046" s="9"/>
      <c r="M1046" s="45">
        <v>131.0</v>
      </c>
    </row>
    <row r="1047">
      <c r="A1047" s="34" t="s">
        <v>70</v>
      </c>
      <c r="B1047" s="34" t="s">
        <v>354</v>
      </c>
      <c r="C1047" s="34">
        <v>56.0</v>
      </c>
      <c r="D1047" s="34" t="s">
        <v>972</v>
      </c>
      <c r="E1047" s="34" t="s">
        <v>2863</v>
      </c>
      <c r="F1047" s="34" t="s">
        <v>2864</v>
      </c>
      <c r="G1047" s="34">
        <v>56263.0</v>
      </c>
      <c r="H1047" s="34" t="s">
        <v>2865</v>
      </c>
      <c r="I1047" s="34" t="s">
        <v>17</v>
      </c>
      <c r="J1047" s="34" t="s">
        <v>14</v>
      </c>
      <c r="K1047" s="45">
        <v>122.1</v>
      </c>
      <c r="L1047" s="45">
        <v>98.8</v>
      </c>
      <c r="M1047" s="45">
        <v>117.9</v>
      </c>
    </row>
    <row r="1048">
      <c r="A1048" s="34" t="s">
        <v>70</v>
      </c>
      <c r="B1048" s="34" t="s">
        <v>354</v>
      </c>
      <c r="C1048" s="34">
        <v>56.0</v>
      </c>
      <c r="D1048" s="34" t="s">
        <v>972</v>
      </c>
      <c r="E1048" s="34" t="s">
        <v>2866</v>
      </c>
      <c r="F1048" s="34" t="s">
        <v>2867</v>
      </c>
      <c r="G1048" s="34">
        <v>56178.0</v>
      </c>
      <c r="H1048" s="34" t="s">
        <v>975</v>
      </c>
      <c r="I1048" s="34" t="s">
        <v>17</v>
      </c>
      <c r="J1048" s="34" t="s">
        <v>14</v>
      </c>
      <c r="K1048" s="45">
        <v>106.1</v>
      </c>
      <c r="L1048" s="45">
        <v>88.3</v>
      </c>
      <c r="M1048" s="45">
        <v>99.8</v>
      </c>
    </row>
    <row r="1049">
      <c r="A1049" s="34" t="s">
        <v>70</v>
      </c>
      <c r="B1049" s="34" t="s">
        <v>354</v>
      </c>
      <c r="C1049" s="34">
        <v>56.0</v>
      </c>
      <c r="D1049" s="34" t="s">
        <v>972</v>
      </c>
      <c r="E1049" s="34" t="s">
        <v>2868</v>
      </c>
      <c r="F1049" s="34" t="s">
        <v>2869</v>
      </c>
      <c r="G1049" s="34">
        <v>56182.0</v>
      </c>
      <c r="H1049" s="34" t="s">
        <v>2870</v>
      </c>
      <c r="I1049" s="34" t="s">
        <v>17</v>
      </c>
      <c r="J1049" s="34" t="s">
        <v>13</v>
      </c>
      <c r="K1049" s="9"/>
      <c r="L1049" s="45">
        <v>89.3</v>
      </c>
      <c r="M1049" s="45">
        <v>89.3</v>
      </c>
    </row>
    <row r="1050">
      <c r="A1050" s="34" t="s">
        <v>70</v>
      </c>
      <c r="B1050" s="34" t="s">
        <v>354</v>
      </c>
      <c r="C1050" s="34">
        <v>56.0</v>
      </c>
      <c r="D1050" s="34" t="s">
        <v>972</v>
      </c>
      <c r="E1050" s="34" t="s">
        <v>2871</v>
      </c>
      <c r="F1050" s="34" t="s">
        <v>2872</v>
      </c>
      <c r="G1050" s="34">
        <v>56007.0</v>
      </c>
      <c r="H1050" s="34" t="s">
        <v>2873</v>
      </c>
      <c r="I1050" s="34" t="s">
        <v>18</v>
      </c>
      <c r="J1050" s="34" t="s">
        <v>15</v>
      </c>
      <c r="K1050" s="45">
        <v>121.9</v>
      </c>
      <c r="L1050" s="9"/>
      <c r="M1050" s="45">
        <v>121.9</v>
      </c>
    </row>
    <row r="1051">
      <c r="A1051" s="34" t="s">
        <v>70</v>
      </c>
      <c r="B1051" s="34" t="s">
        <v>354</v>
      </c>
      <c r="C1051" s="34">
        <v>56.0</v>
      </c>
      <c r="D1051" s="34" t="s">
        <v>972</v>
      </c>
      <c r="E1051" s="34" t="s">
        <v>2874</v>
      </c>
      <c r="F1051" s="34" t="s">
        <v>2875</v>
      </c>
      <c r="G1051" s="34">
        <v>56184.0</v>
      </c>
      <c r="H1051" s="34" t="s">
        <v>2876</v>
      </c>
      <c r="I1051" s="34" t="s">
        <v>18</v>
      </c>
      <c r="J1051" s="34" t="s">
        <v>14</v>
      </c>
      <c r="K1051" s="45">
        <v>108.2</v>
      </c>
      <c r="L1051" s="45">
        <v>87.4</v>
      </c>
      <c r="M1051" s="45">
        <v>104.6</v>
      </c>
    </row>
    <row r="1052">
      <c r="A1052" s="34" t="s">
        <v>70</v>
      </c>
      <c r="B1052" s="34" t="s">
        <v>930</v>
      </c>
      <c r="C1052" s="34">
        <v>57.0</v>
      </c>
      <c r="D1052" s="34" t="s">
        <v>983</v>
      </c>
      <c r="E1052" s="34" t="s">
        <v>2877</v>
      </c>
      <c r="F1052" s="34" t="s">
        <v>2878</v>
      </c>
      <c r="G1052" s="34">
        <v>57540.0</v>
      </c>
      <c r="H1052" s="34" t="s">
        <v>2879</v>
      </c>
      <c r="I1052" s="34" t="s">
        <v>18</v>
      </c>
      <c r="J1052" s="34" t="s">
        <v>15</v>
      </c>
      <c r="K1052" s="45">
        <v>107.1</v>
      </c>
      <c r="L1052" s="9"/>
      <c r="M1052" s="45">
        <v>107.1</v>
      </c>
    </row>
    <row r="1053">
      <c r="A1053" s="34" t="s">
        <v>70</v>
      </c>
      <c r="B1053" s="34" t="s">
        <v>930</v>
      </c>
      <c r="C1053" s="34">
        <v>57.0</v>
      </c>
      <c r="D1053" s="34" t="s">
        <v>983</v>
      </c>
      <c r="E1053" s="34" t="s">
        <v>2880</v>
      </c>
      <c r="F1053" s="34" t="s">
        <v>2881</v>
      </c>
      <c r="G1053" s="34">
        <v>57630.0</v>
      </c>
      <c r="H1053" s="34" t="s">
        <v>2882</v>
      </c>
      <c r="I1053" s="34" t="s">
        <v>18</v>
      </c>
      <c r="J1053" s="34" t="s">
        <v>14</v>
      </c>
      <c r="K1053" s="45">
        <v>108.0</v>
      </c>
      <c r="L1053" s="45">
        <v>84.4</v>
      </c>
      <c r="M1053" s="45">
        <v>105.2</v>
      </c>
    </row>
    <row r="1054">
      <c r="A1054" s="34" t="s">
        <v>70</v>
      </c>
      <c r="B1054" s="34" t="s">
        <v>930</v>
      </c>
      <c r="C1054" s="34">
        <v>57.0</v>
      </c>
      <c r="D1054" s="34" t="s">
        <v>983</v>
      </c>
      <c r="E1054" s="34" t="s">
        <v>2883</v>
      </c>
      <c r="F1054" s="34" t="s">
        <v>2884</v>
      </c>
      <c r="G1054" s="34">
        <v>57631.0</v>
      </c>
      <c r="H1054" s="34" t="s">
        <v>2885</v>
      </c>
      <c r="I1054" s="34" t="s">
        <v>18</v>
      </c>
      <c r="J1054" s="34" t="s">
        <v>15</v>
      </c>
      <c r="K1054" s="45">
        <v>112.7</v>
      </c>
      <c r="L1054" s="9"/>
      <c r="M1054" s="45">
        <v>112.7</v>
      </c>
    </row>
    <row r="1055">
      <c r="A1055" s="34" t="s">
        <v>70</v>
      </c>
      <c r="B1055" s="34" t="s">
        <v>930</v>
      </c>
      <c r="C1055" s="34">
        <v>57.0</v>
      </c>
      <c r="D1055" s="34" t="s">
        <v>983</v>
      </c>
      <c r="E1055" s="34" t="s">
        <v>2886</v>
      </c>
      <c r="F1055" s="34" t="s">
        <v>2887</v>
      </c>
      <c r="G1055" s="34">
        <v>57631.0</v>
      </c>
      <c r="H1055" s="34" t="s">
        <v>2885</v>
      </c>
      <c r="I1055" s="34" t="s">
        <v>18</v>
      </c>
      <c r="J1055" s="34" t="s">
        <v>14</v>
      </c>
      <c r="K1055" s="45">
        <v>102.2</v>
      </c>
      <c r="L1055" s="45">
        <v>80.8</v>
      </c>
      <c r="M1055" s="45">
        <v>94.9</v>
      </c>
    </row>
    <row r="1056">
      <c r="A1056" s="34" t="s">
        <v>70</v>
      </c>
      <c r="B1056" s="34" t="s">
        <v>930</v>
      </c>
      <c r="C1056" s="34">
        <v>57.0</v>
      </c>
      <c r="D1056" s="34" t="s">
        <v>983</v>
      </c>
      <c r="E1056" s="34" t="s">
        <v>2888</v>
      </c>
      <c r="F1056" s="34" t="s">
        <v>2889</v>
      </c>
      <c r="G1056" s="34">
        <v>57463.0</v>
      </c>
      <c r="H1056" s="34" t="s">
        <v>989</v>
      </c>
      <c r="I1056" s="34" t="s">
        <v>18</v>
      </c>
      <c r="J1056" s="34" t="s">
        <v>13</v>
      </c>
      <c r="K1056" s="9"/>
      <c r="L1056" s="45">
        <v>73.7</v>
      </c>
      <c r="M1056" s="45">
        <v>73.7</v>
      </c>
    </row>
    <row r="1057">
      <c r="A1057" s="34" t="s">
        <v>70</v>
      </c>
      <c r="B1057" s="34" t="s">
        <v>930</v>
      </c>
      <c r="C1057" s="34">
        <v>57.0</v>
      </c>
      <c r="D1057" s="34" t="s">
        <v>983</v>
      </c>
      <c r="E1057" s="34" t="s">
        <v>2890</v>
      </c>
      <c r="F1057" s="34" t="s">
        <v>918</v>
      </c>
      <c r="G1057" s="34">
        <v>57630.0</v>
      </c>
      <c r="H1057" s="34" t="s">
        <v>2882</v>
      </c>
      <c r="I1057" s="34" t="s">
        <v>17</v>
      </c>
      <c r="J1057" s="34" t="s">
        <v>13</v>
      </c>
      <c r="K1057" s="9"/>
      <c r="L1057" s="45">
        <v>86.3</v>
      </c>
      <c r="M1057" s="45">
        <v>86.3</v>
      </c>
    </row>
    <row r="1058">
      <c r="A1058" s="34" t="s">
        <v>70</v>
      </c>
      <c r="B1058" s="34" t="s">
        <v>930</v>
      </c>
      <c r="C1058" s="34">
        <v>57.0</v>
      </c>
      <c r="D1058" s="34" t="s">
        <v>983</v>
      </c>
      <c r="E1058" s="34" t="s">
        <v>2891</v>
      </c>
      <c r="F1058" s="34" t="s">
        <v>2802</v>
      </c>
      <c r="G1058" s="34">
        <v>57480.0</v>
      </c>
      <c r="H1058" s="34" t="s">
        <v>2892</v>
      </c>
      <c r="I1058" s="34" t="s">
        <v>17</v>
      </c>
      <c r="J1058" s="34" t="s">
        <v>15</v>
      </c>
      <c r="K1058" s="45">
        <v>127.3</v>
      </c>
      <c r="L1058" s="9"/>
      <c r="M1058" s="45">
        <v>127.3</v>
      </c>
    </row>
    <row r="1059">
      <c r="A1059" s="34" t="s">
        <v>70</v>
      </c>
      <c r="B1059" s="34" t="s">
        <v>930</v>
      </c>
      <c r="C1059" s="34">
        <v>57.0</v>
      </c>
      <c r="D1059" s="34" t="s">
        <v>983</v>
      </c>
      <c r="E1059" s="34" t="s">
        <v>2893</v>
      </c>
      <c r="F1059" s="34" t="s">
        <v>2894</v>
      </c>
      <c r="G1059" s="34">
        <v>57606.0</v>
      </c>
      <c r="H1059" s="34" t="s">
        <v>2895</v>
      </c>
      <c r="I1059" s="34" t="s">
        <v>17</v>
      </c>
      <c r="J1059" s="34" t="s">
        <v>15</v>
      </c>
      <c r="K1059" s="45">
        <v>89.5</v>
      </c>
      <c r="L1059" s="9"/>
      <c r="M1059" s="45">
        <v>89.5</v>
      </c>
    </row>
    <row r="1060">
      <c r="A1060" s="34" t="s">
        <v>70</v>
      </c>
      <c r="B1060" s="34" t="s">
        <v>930</v>
      </c>
      <c r="C1060" s="34">
        <v>57.0</v>
      </c>
      <c r="D1060" s="34" t="s">
        <v>983</v>
      </c>
      <c r="E1060" s="34" t="s">
        <v>2896</v>
      </c>
      <c r="F1060" s="34" t="s">
        <v>2897</v>
      </c>
      <c r="G1060" s="34">
        <v>57463.0</v>
      </c>
      <c r="H1060" s="34" t="s">
        <v>989</v>
      </c>
      <c r="I1060" s="34" t="s">
        <v>18</v>
      </c>
      <c r="J1060" s="34" t="s">
        <v>14</v>
      </c>
      <c r="K1060" s="45">
        <v>106.8</v>
      </c>
      <c r="L1060" s="45">
        <v>87.3</v>
      </c>
      <c r="M1060" s="45">
        <v>102.1</v>
      </c>
    </row>
    <row r="1061">
      <c r="A1061" s="34" t="s">
        <v>70</v>
      </c>
      <c r="B1061" s="34" t="s">
        <v>333</v>
      </c>
      <c r="C1061" s="34">
        <v>58.0</v>
      </c>
      <c r="D1061" s="34" t="s">
        <v>1011</v>
      </c>
      <c r="E1061" s="34" t="s">
        <v>2898</v>
      </c>
      <c r="F1061" s="34" t="s">
        <v>2899</v>
      </c>
      <c r="G1061" s="34">
        <v>58194.0</v>
      </c>
      <c r="H1061" s="34" t="s">
        <v>2900</v>
      </c>
      <c r="I1061" s="34" t="s">
        <v>18</v>
      </c>
      <c r="J1061" s="34" t="s">
        <v>13</v>
      </c>
      <c r="K1061" s="9"/>
      <c r="L1061" s="45">
        <v>82.9</v>
      </c>
      <c r="M1061" s="45">
        <v>82.9</v>
      </c>
    </row>
    <row r="1062">
      <c r="A1062" s="34" t="s">
        <v>70</v>
      </c>
      <c r="B1062" s="34" t="s">
        <v>46</v>
      </c>
      <c r="C1062" s="34">
        <v>59.0</v>
      </c>
      <c r="D1062" s="34" t="s">
        <v>1027</v>
      </c>
      <c r="E1062" s="34" t="s">
        <v>2901</v>
      </c>
      <c r="F1062" s="34" t="s">
        <v>2902</v>
      </c>
      <c r="G1062" s="34">
        <v>59014.0</v>
      </c>
      <c r="H1062" s="34" t="s">
        <v>2903</v>
      </c>
      <c r="I1062" s="34" t="s">
        <v>18</v>
      </c>
      <c r="J1062" s="34" t="s">
        <v>13</v>
      </c>
      <c r="K1062" s="9"/>
      <c r="L1062" s="45">
        <v>68.7</v>
      </c>
      <c r="M1062" s="45">
        <v>68.7</v>
      </c>
    </row>
    <row r="1063">
      <c r="A1063" s="34" t="s">
        <v>70</v>
      </c>
      <c r="B1063" s="34" t="s">
        <v>46</v>
      </c>
      <c r="C1063" s="34">
        <v>59.0</v>
      </c>
      <c r="D1063" s="34" t="s">
        <v>1027</v>
      </c>
      <c r="E1063" s="34" t="s">
        <v>2904</v>
      </c>
      <c r="F1063" s="34" t="s">
        <v>2905</v>
      </c>
      <c r="G1063" s="34">
        <v>59036.0</v>
      </c>
      <c r="H1063" s="34" t="s">
        <v>2906</v>
      </c>
      <c r="I1063" s="34" t="s">
        <v>18</v>
      </c>
      <c r="J1063" s="34" t="s">
        <v>14</v>
      </c>
      <c r="K1063" s="45">
        <v>102.9</v>
      </c>
      <c r="L1063" s="45">
        <v>71.9</v>
      </c>
      <c r="M1063" s="45">
        <v>97.9</v>
      </c>
    </row>
    <row r="1064">
      <c r="A1064" s="34" t="s">
        <v>70</v>
      </c>
      <c r="B1064" s="34" t="s">
        <v>46</v>
      </c>
      <c r="C1064" s="34">
        <v>59.0</v>
      </c>
      <c r="D1064" s="34" t="s">
        <v>1027</v>
      </c>
      <c r="E1064" s="34" t="s">
        <v>2907</v>
      </c>
      <c r="F1064" s="34" t="s">
        <v>2908</v>
      </c>
      <c r="G1064" s="34">
        <v>59122.0</v>
      </c>
      <c r="H1064" s="34" t="s">
        <v>1036</v>
      </c>
      <c r="I1064" s="34" t="s">
        <v>18</v>
      </c>
      <c r="J1064" s="34" t="s">
        <v>15</v>
      </c>
      <c r="K1064" s="45">
        <v>108.4</v>
      </c>
      <c r="L1064" s="9"/>
      <c r="M1064" s="45">
        <v>108.4</v>
      </c>
    </row>
    <row r="1065">
      <c r="A1065" s="34" t="s">
        <v>70</v>
      </c>
      <c r="B1065" s="34" t="s">
        <v>46</v>
      </c>
      <c r="C1065" s="34">
        <v>59.0</v>
      </c>
      <c r="D1065" s="34" t="s">
        <v>1027</v>
      </c>
      <c r="E1065" s="34" t="s">
        <v>2909</v>
      </c>
      <c r="F1065" s="34" t="s">
        <v>2910</v>
      </c>
      <c r="G1065" s="34">
        <v>59178.0</v>
      </c>
      <c r="H1065" s="34" t="s">
        <v>1092</v>
      </c>
      <c r="I1065" s="34" t="s">
        <v>18</v>
      </c>
      <c r="J1065" s="34" t="s">
        <v>15</v>
      </c>
      <c r="K1065" s="45">
        <v>119.7</v>
      </c>
      <c r="L1065" s="9"/>
      <c r="M1065" s="45">
        <v>119.7</v>
      </c>
    </row>
    <row r="1066">
      <c r="A1066" s="34" t="s">
        <v>70</v>
      </c>
      <c r="B1066" s="34" t="s">
        <v>46</v>
      </c>
      <c r="C1066" s="34">
        <v>59.0</v>
      </c>
      <c r="D1066" s="34" t="s">
        <v>1027</v>
      </c>
      <c r="E1066" s="34" t="s">
        <v>2911</v>
      </c>
      <c r="F1066" s="34" t="s">
        <v>2912</v>
      </c>
      <c r="G1066" s="34">
        <v>59291.0</v>
      </c>
      <c r="H1066" s="34" t="s">
        <v>2913</v>
      </c>
      <c r="I1066" s="34" t="s">
        <v>18</v>
      </c>
      <c r="J1066" s="34" t="s">
        <v>13</v>
      </c>
      <c r="K1066" s="9"/>
      <c r="L1066" s="45">
        <v>68.9</v>
      </c>
      <c r="M1066" s="45">
        <v>68.9</v>
      </c>
    </row>
    <row r="1067">
      <c r="A1067" s="34" t="s">
        <v>70</v>
      </c>
      <c r="B1067" s="34" t="s">
        <v>46</v>
      </c>
      <c r="C1067" s="34">
        <v>59.0</v>
      </c>
      <c r="D1067" s="34" t="s">
        <v>1027</v>
      </c>
      <c r="E1067" s="34" t="s">
        <v>2914</v>
      </c>
      <c r="F1067" s="34" t="s">
        <v>2915</v>
      </c>
      <c r="G1067" s="34">
        <v>59295.0</v>
      </c>
      <c r="H1067" s="34" t="s">
        <v>1105</v>
      </c>
      <c r="I1067" s="34" t="s">
        <v>18</v>
      </c>
      <c r="J1067" s="34" t="s">
        <v>15</v>
      </c>
      <c r="K1067" s="45">
        <v>115.2</v>
      </c>
      <c r="L1067" s="9"/>
      <c r="M1067" s="45">
        <v>115.2</v>
      </c>
    </row>
    <row r="1068">
      <c r="A1068" s="34" t="s">
        <v>70</v>
      </c>
      <c r="B1068" s="34" t="s">
        <v>46</v>
      </c>
      <c r="C1068" s="34">
        <v>59.0</v>
      </c>
      <c r="D1068" s="34" t="s">
        <v>1027</v>
      </c>
      <c r="E1068" s="34" t="s">
        <v>2916</v>
      </c>
      <c r="F1068" s="34" t="s">
        <v>2917</v>
      </c>
      <c r="G1068" s="34">
        <v>59331.0</v>
      </c>
      <c r="H1068" s="34" t="s">
        <v>2918</v>
      </c>
      <c r="I1068" s="34" t="s">
        <v>18</v>
      </c>
      <c r="J1068" s="34" t="s">
        <v>15</v>
      </c>
      <c r="K1068" s="45">
        <v>102.6</v>
      </c>
      <c r="L1068" s="9"/>
      <c r="M1068" s="45">
        <v>102.6</v>
      </c>
    </row>
    <row r="1069">
      <c r="A1069" s="34" t="s">
        <v>70</v>
      </c>
      <c r="B1069" s="34" t="s">
        <v>46</v>
      </c>
      <c r="C1069" s="34">
        <v>59.0</v>
      </c>
      <c r="D1069" s="34" t="s">
        <v>1027</v>
      </c>
      <c r="E1069" s="34" t="s">
        <v>2919</v>
      </c>
      <c r="F1069" s="34" t="s">
        <v>2920</v>
      </c>
      <c r="G1069" s="34">
        <v>59350.0</v>
      </c>
      <c r="H1069" s="34" t="s">
        <v>46</v>
      </c>
      <c r="I1069" s="34" t="s">
        <v>18</v>
      </c>
      <c r="J1069" s="34" t="s">
        <v>15</v>
      </c>
      <c r="K1069" s="45">
        <v>114.3</v>
      </c>
      <c r="L1069" s="9"/>
      <c r="M1069" s="45">
        <v>114.3</v>
      </c>
    </row>
    <row r="1070">
      <c r="A1070" s="34" t="s">
        <v>70</v>
      </c>
      <c r="B1070" s="34" t="s">
        <v>46</v>
      </c>
      <c r="C1070" s="34">
        <v>59.0</v>
      </c>
      <c r="D1070" s="34" t="s">
        <v>1027</v>
      </c>
      <c r="E1070" s="34" t="s">
        <v>2921</v>
      </c>
      <c r="F1070" s="34" t="s">
        <v>2922</v>
      </c>
      <c r="G1070" s="34">
        <v>59378.0</v>
      </c>
      <c r="H1070" s="34" t="s">
        <v>2923</v>
      </c>
      <c r="I1070" s="34" t="s">
        <v>18</v>
      </c>
      <c r="J1070" s="34" t="s">
        <v>13</v>
      </c>
      <c r="K1070" s="9"/>
      <c r="L1070" s="45">
        <v>84.1</v>
      </c>
      <c r="M1070" s="45">
        <v>84.1</v>
      </c>
    </row>
    <row r="1071">
      <c r="A1071" s="34" t="s">
        <v>70</v>
      </c>
      <c r="B1071" s="34" t="s">
        <v>46</v>
      </c>
      <c r="C1071" s="34">
        <v>59.0</v>
      </c>
      <c r="D1071" s="34" t="s">
        <v>1027</v>
      </c>
      <c r="E1071" s="34" t="s">
        <v>2924</v>
      </c>
      <c r="F1071" s="34" t="s">
        <v>2925</v>
      </c>
      <c r="G1071" s="34">
        <v>59183.0</v>
      </c>
      <c r="H1071" s="34" t="s">
        <v>1039</v>
      </c>
      <c r="I1071" s="34" t="s">
        <v>18</v>
      </c>
      <c r="J1071" s="34" t="s">
        <v>13</v>
      </c>
      <c r="K1071" s="9"/>
      <c r="L1071" s="45">
        <v>69.9</v>
      </c>
      <c r="M1071" s="45">
        <v>69.9</v>
      </c>
    </row>
    <row r="1072">
      <c r="A1072" s="34" t="s">
        <v>70</v>
      </c>
      <c r="B1072" s="34" t="s">
        <v>46</v>
      </c>
      <c r="C1072" s="34">
        <v>59.0</v>
      </c>
      <c r="D1072" s="34" t="s">
        <v>1027</v>
      </c>
      <c r="E1072" s="34" t="s">
        <v>2926</v>
      </c>
      <c r="F1072" s="34" t="s">
        <v>2927</v>
      </c>
      <c r="G1072" s="34">
        <v>59606.0</v>
      </c>
      <c r="H1072" s="34" t="s">
        <v>1072</v>
      </c>
      <c r="I1072" s="34" t="s">
        <v>18</v>
      </c>
      <c r="J1072" s="34" t="s">
        <v>15</v>
      </c>
      <c r="K1072" s="45">
        <v>116.1</v>
      </c>
      <c r="L1072" s="9"/>
      <c r="M1072" s="45">
        <v>116.1</v>
      </c>
    </row>
    <row r="1073">
      <c r="A1073" s="34" t="s">
        <v>70</v>
      </c>
      <c r="B1073" s="34" t="s">
        <v>46</v>
      </c>
      <c r="C1073" s="34">
        <v>59.0</v>
      </c>
      <c r="D1073" s="34" t="s">
        <v>1027</v>
      </c>
      <c r="E1073" s="34" t="s">
        <v>2928</v>
      </c>
      <c r="F1073" s="34" t="s">
        <v>2929</v>
      </c>
      <c r="G1073" s="34">
        <v>59606.0</v>
      </c>
      <c r="H1073" s="34" t="s">
        <v>1072</v>
      </c>
      <c r="I1073" s="34" t="s">
        <v>18</v>
      </c>
      <c r="J1073" s="34" t="s">
        <v>15</v>
      </c>
      <c r="K1073" s="45">
        <v>95.6</v>
      </c>
      <c r="L1073" s="9"/>
      <c r="M1073" s="45">
        <v>95.6</v>
      </c>
    </row>
    <row r="1074">
      <c r="A1074" s="34" t="s">
        <v>70</v>
      </c>
      <c r="B1074" s="34" t="s">
        <v>46</v>
      </c>
      <c r="C1074" s="34">
        <v>59.0</v>
      </c>
      <c r="D1074" s="34" t="s">
        <v>1027</v>
      </c>
      <c r="E1074" s="34" t="s">
        <v>2930</v>
      </c>
      <c r="F1074" s="34" t="s">
        <v>2931</v>
      </c>
      <c r="G1074" s="34">
        <v>59178.0</v>
      </c>
      <c r="H1074" s="34" t="s">
        <v>1092</v>
      </c>
      <c r="I1074" s="34" t="s">
        <v>18</v>
      </c>
      <c r="J1074" s="34" t="s">
        <v>13</v>
      </c>
      <c r="K1074" s="9"/>
      <c r="L1074" s="45">
        <v>83.9</v>
      </c>
      <c r="M1074" s="45">
        <v>83.9</v>
      </c>
    </row>
    <row r="1075">
      <c r="A1075" s="34" t="s">
        <v>70</v>
      </c>
      <c r="B1075" s="34" t="s">
        <v>46</v>
      </c>
      <c r="C1075" s="34">
        <v>59.0</v>
      </c>
      <c r="D1075" s="34" t="s">
        <v>1027</v>
      </c>
      <c r="E1075" s="34" t="s">
        <v>2932</v>
      </c>
      <c r="F1075" s="34" t="s">
        <v>2933</v>
      </c>
      <c r="G1075" s="34">
        <v>59606.0</v>
      </c>
      <c r="H1075" s="34" t="s">
        <v>1072</v>
      </c>
      <c r="I1075" s="34" t="s">
        <v>18</v>
      </c>
      <c r="J1075" s="34" t="s">
        <v>13</v>
      </c>
      <c r="K1075" s="9"/>
      <c r="L1075" s="45">
        <v>76.1</v>
      </c>
      <c r="M1075" s="45">
        <v>76.1</v>
      </c>
    </row>
    <row r="1076">
      <c r="A1076" s="34" t="s">
        <v>70</v>
      </c>
      <c r="B1076" s="34" t="s">
        <v>46</v>
      </c>
      <c r="C1076" s="34">
        <v>59.0</v>
      </c>
      <c r="D1076" s="34" t="s">
        <v>1027</v>
      </c>
      <c r="E1076" s="34" t="s">
        <v>2934</v>
      </c>
      <c r="F1076" s="34" t="s">
        <v>2935</v>
      </c>
      <c r="G1076" s="34">
        <v>59527.0</v>
      </c>
      <c r="H1076" s="34" t="s">
        <v>2936</v>
      </c>
      <c r="I1076" s="34" t="s">
        <v>18</v>
      </c>
      <c r="J1076" s="34" t="s">
        <v>13</v>
      </c>
      <c r="K1076" s="9"/>
      <c r="L1076" s="45">
        <v>75.4</v>
      </c>
      <c r="M1076" s="45">
        <v>75.4</v>
      </c>
    </row>
    <row r="1077">
      <c r="A1077" s="34" t="s">
        <v>70</v>
      </c>
      <c r="B1077" s="34" t="s">
        <v>46</v>
      </c>
      <c r="C1077" s="34">
        <v>59.0</v>
      </c>
      <c r="D1077" s="34" t="s">
        <v>1027</v>
      </c>
      <c r="E1077" s="34" t="s">
        <v>2937</v>
      </c>
      <c r="F1077" s="34" t="s">
        <v>2938</v>
      </c>
      <c r="G1077" s="34">
        <v>59033.0</v>
      </c>
      <c r="H1077" s="34" t="s">
        <v>2939</v>
      </c>
      <c r="I1077" s="34" t="s">
        <v>17</v>
      </c>
      <c r="J1077" s="34" t="s">
        <v>14</v>
      </c>
      <c r="K1077" s="45">
        <v>92.4</v>
      </c>
      <c r="L1077" s="45">
        <v>81.9</v>
      </c>
      <c r="M1077" s="45">
        <v>86.9</v>
      </c>
    </row>
    <row r="1078">
      <c r="A1078" s="34" t="s">
        <v>70</v>
      </c>
      <c r="B1078" s="34" t="s">
        <v>46</v>
      </c>
      <c r="C1078" s="34">
        <v>59.0</v>
      </c>
      <c r="D1078" s="34" t="s">
        <v>1027</v>
      </c>
      <c r="E1078" s="34" t="s">
        <v>2940</v>
      </c>
      <c r="F1078" s="34" t="s">
        <v>2941</v>
      </c>
      <c r="G1078" s="34">
        <v>59599.0</v>
      </c>
      <c r="H1078" s="34" t="s">
        <v>1067</v>
      </c>
      <c r="I1078" s="34" t="s">
        <v>17</v>
      </c>
      <c r="J1078" s="34" t="s">
        <v>14</v>
      </c>
      <c r="K1078" s="45">
        <v>98.9</v>
      </c>
      <c r="L1078" s="45">
        <v>88.1</v>
      </c>
      <c r="M1078" s="45">
        <v>91.3</v>
      </c>
    </row>
    <row r="1079">
      <c r="A1079" s="34" t="s">
        <v>70</v>
      </c>
      <c r="B1079" s="34" t="s">
        <v>46</v>
      </c>
      <c r="C1079" s="34">
        <v>59.0</v>
      </c>
      <c r="D1079" s="34" t="s">
        <v>1027</v>
      </c>
      <c r="E1079" s="34" t="s">
        <v>2942</v>
      </c>
      <c r="F1079" s="34" t="s">
        <v>2943</v>
      </c>
      <c r="G1079" s="34">
        <v>59574.0</v>
      </c>
      <c r="H1079" s="34" t="s">
        <v>2944</v>
      </c>
      <c r="I1079" s="34" t="s">
        <v>17</v>
      </c>
      <c r="J1079" s="34" t="s">
        <v>14</v>
      </c>
      <c r="K1079" s="45">
        <v>94.9</v>
      </c>
      <c r="L1079" s="45">
        <v>82.2</v>
      </c>
      <c r="M1079" s="45">
        <v>85.0</v>
      </c>
    </row>
    <row r="1080">
      <c r="A1080" s="34" t="s">
        <v>70</v>
      </c>
      <c r="B1080" s="34" t="s">
        <v>46</v>
      </c>
      <c r="C1080" s="34">
        <v>59.0</v>
      </c>
      <c r="D1080" s="34" t="s">
        <v>1027</v>
      </c>
      <c r="E1080" s="34" t="s">
        <v>2945</v>
      </c>
      <c r="F1080" s="34" t="s">
        <v>2946</v>
      </c>
      <c r="G1080" s="34">
        <v>59350.0</v>
      </c>
      <c r="H1080" s="34" t="s">
        <v>46</v>
      </c>
      <c r="I1080" s="34" t="s">
        <v>17</v>
      </c>
      <c r="J1080" s="34" t="s">
        <v>15</v>
      </c>
      <c r="K1080" s="45">
        <v>133.0</v>
      </c>
      <c r="L1080" s="9"/>
      <c r="M1080" s="45">
        <v>133.0</v>
      </c>
    </row>
    <row r="1081">
      <c r="A1081" s="34" t="s">
        <v>70</v>
      </c>
      <c r="B1081" s="34" t="s">
        <v>46</v>
      </c>
      <c r="C1081" s="34">
        <v>59.0</v>
      </c>
      <c r="D1081" s="34" t="s">
        <v>1027</v>
      </c>
      <c r="E1081" s="34" t="s">
        <v>2947</v>
      </c>
      <c r="F1081" s="34" t="s">
        <v>2948</v>
      </c>
      <c r="G1081" s="34">
        <v>59350.0</v>
      </c>
      <c r="H1081" s="34" t="s">
        <v>46</v>
      </c>
      <c r="I1081" s="34" t="s">
        <v>17</v>
      </c>
      <c r="J1081" s="34" t="s">
        <v>13</v>
      </c>
      <c r="K1081" s="9"/>
      <c r="L1081" s="45">
        <v>112.0</v>
      </c>
      <c r="M1081" s="45">
        <v>112.0</v>
      </c>
    </row>
    <row r="1082">
      <c r="A1082" s="34" t="s">
        <v>70</v>
      </c>
      <c r="B1082" s="34" t="s">
        <v>46</v>
      </c>
      <c r="C1082" s="34">
        <v>59.0</v>
      </c>
      <c r="D1082" s="34" t="s">
        <v>1027</v>
      </c>
      <c r="E1082" s="34" t="s">
        <v>2949</v>
      </c>
      <c r="F1082" s="34" t="s">
        <v>2950</v>
      </c>
      <c r="G1082" s="34">
        <v>59360.0</v>
      </c>
      <c r="H1082" s="34" t="s">
        <v>1050</v>
      </c>
      <c r="I1082" s="34" t="s">
        <v>17</v>
      </c>
      <c r="J1082" s="34" t="s">
        <v>13</v>
      </c>
      <c r="K1082" s="9"/>
      <c r="L1082" s="45">
        <v>90.1</v>
      </c>
      <c r="M1082" s="45">
        <v>90.1</v>
      </c>
    </row>
    <row r="1083">
      <c r="A1083" s="34" t="s">
        <v>70</v>
      </c>
      <c r="B1083" s="34" t="s">
        <v>46</v>
      </c>
      <c r="C1083" s="34">
        <v>59.0</v>
      </c>
      <c r="D1083" s="34" t="s">
        <v>1027</v>
      </c>
      <c r="E1083" s="34" t="s">
        <v>2951</v>
      </c>
      <c r="F1083" s="34" t="s">
        <v>2952</v>
      </c>
      <c r="G1083" s="34">
        <v>59178.0</v>
      </c>
      <c r="H1083" s="34" t="s">
        <v>1092</v>
      </c>
      <c r="I1083" s="34" t="s">
        <v>17</v>
      </c>
      <c r="J1083" s="34" t="s">
        <v>14</v>
      </c>
      <c r="K1083" s="45">
        <v>101.0</v>
      </c>
      <c r="L1083" s="45">
        <v>86.9</v>
      </c>
      <c r="M1083" s="45">
        <v>91.6</v>
      </c>
    </row>
    <row r="1084">
      <c r="A1084" s="34" t="s">
        <v>70</v>
      </c>
      <c r="B1084" s="34" t="s">
        <v>46</v>
      </c>
      <c r="C1084" s="34">
        <v>59.0</v>
      </c>
      <c r="D1084" s="34" t="s">
        <v>1027</v>
      </c>
      <c r="E1084" s="34" t="s">
        <v>2953</v>
      </c>
      <c r="F1084" s="34" t="s">
        <v>2149</v>
      </c>
      <c r="G1084" s="34">
        <v>59295.0</v>
      </c>
      <c r="H1084" s="34" t="s">
        <v>1105</v>
      </c>
      <c r="I1084" s="34" t="s">
        <v>17</v>
      </c>
      <c r="J1084" s="34" t="s">
        <v>14</v>
      </c>
      <c r="K1084" s="45">
        <v>107.9</v>
      </c>
      <c r="L1084" s="45">
        <v>86.7</v>
      </c>
      <c r="M1084" s="45">
        <v>96.2</v>
      </c>
    </row>
    <row r="1085">
      <c r="A1085" s="34" t="s">
        <v>70</v>
      </c>
      <c r="B1085" s="34" t="s">
        <v>46</v>
      </c>
      <c r="C1085" s="34">
        <v>59.0</v>
      </c>
      <c r="D1085" s="34" t="s">
        <v>1027</v>
      </c>
      <c r="E1085" s="34" t="s">
        <v>2954</v>
      </c>
      <c r="F1085" s="34" t="s">
        <v>2955</v>
      </c>
      <c r="G1085" s="34">
        <v>59249.0</v>
      </c>
      <c r="H1085" s="34" t="s">
        <v>1042</v>
      </c>
      <c r="I1085" s="34" t="s">
        <v>17</v>
      </c>
      <c r="J1085" s="34" t="s">
        <v>14</v>
      </c>
      <c r="K1085" s="45">
        <v>100.3</v>
      </c>
      <c r="L1085" s="45">
        <v>72.4</v>
      </c>
      <c r="M1085" s="45">
        <v>78.2</v>
      </c>
    </row>
    <row r="1086">
      <c r="A1086" s="34" t="s">
        <v>70</v>
      </c>
      <c r="B1086" s="34" t="s">
        <v>46</v>
      </c>
      <c r="C1086" s="34">
        <v>59.0</v>
      </c>
      <c r="D1086" s="34" t="s">
        <v>1027</v>
      </c>
      <c r="E1086" s="34" t="s">
        <v>2956</v>
      </c>
      <c r="F1086" s="34" t="s">
        <v>2957</v>
      </c>
      <c r="G1086" s="34">
        <v>59328.0</v>
      </c>
      <c r="H1086" s="34" t="s">
        <v>1099</v>
      </c>
      <c r="I1086" s="34" t="s">
        <v>17</v>
      </c>
      <c r="J1086" s="34" t="s">
        <v>15</v>
      </c>
      <c r="K1086" s="45">
        <v>126.9</v>
      </c>
      <c r="L1086" s="9"/>
      <c r="M1086" s="45">
        <v>126.9</v>
      </c>
    </row>
    <row r="1087">
      <c r="A1087" s="34" t="s">
        <v>70</v>
      </c>
      <c r="B1087" s="34" t="s">
        <v>46</v>
      </c>
      <c r="C1087" s="34">
        <v>59.0</v>
      </c>
      <c r="D1087" s="34" t="s">
        <v>1027</v>
      </c>
      <c r="E1087" s="34" t="s">
        <v>2958</v>
      </c>
      <c r="F1087" s="34" t="s">
        <v>2959</v>
      </c>
      <c r="G1087" s="34">
        <v>59350.0</v>
      </c>
      <c r="H1087" s="34" t="s">
        <v>46</v>
      </c>
      <c r="I1087" s="34" t="s">
        <v>17</v>
      </c>
      <c r="J1087" s="34" t="s">
        <v>15</v>
      </c>
      <c r="K1087" s="45">
        <v>136.5</v>
      </c>
      <c r="L1087" s="9"/>
      <c r="M1087" s="45">
        <v>136.5</v>
      </c>
    </row>
    <row r="1088">
      <c r="A1088" s="34" t="s">
        <v>70</v>
      </c>
      <c r="B1088" s="34" t="s">
        <v>46</v>
      </c>
      <c r="C1088" s="34">
        <v>59.0</v>
      </c>
      <c r="D1088" s="34" t="s">
        <v>1027</v>
      </c>
      <c r="E1088" s="34" t="s">
        <v>2960</v>
      </c>
      <c r="F1088" s="34" t="s">
        <v>2961</v>
      </c>
      <c r="G1088" s="34">
        <v>59378.0</v>
      </c>
      <c r="H1088" s="34" t="s">
        <v>2923</v>
      </c>
      <c r="I1088" s="34" t="s">
        <v>17</v>
      </c>
      <c r="J1088" s="34" t="s">
        <v>15</v>
      </c>
      <c r="K1088" s="45">
        <v>148.8</v>
      </c>
      <c r="L1088" s="9"/>
      <c r="M1088" s="45">
        <v>148.8</v>
      </c>
    </row>
    <row r="1089">
      <c r="A1089" s="34" t="s">
        <v>70</v>
      </c>
      <c r="B1089" s="34" t="s">
        <v>46</v>
      </c>
      <c r="C1089" s="34">
        <v>59.0</v>
      </c>
      <c r="D1089" s="34" t="s">
        <v>1027</v>
      </c>
      <c r="E1089" s="34" t="s">
        <v>2962</v>
      </c>
      <c r="F1089" s="34" t="s">
        <v>486</v>
      </c>
      <c r="G1089" s="34">
        <v>59654.0</v>
      </c>
      <c r="H1089" s="34" t="s">
        <v>2963</v>
      </c>
      <c r="I1089" s="34" t="s">
        <v>18</v>
      </c>
      <c r="J1089" s="34" t="s">
        <v>13</v>
      </c>
      <c r="K1089" s="9"/>
      <c r="L1089" s="45">
        <v>73.1</v>
      </c>
      <c r="M1089" s="45">
        <v>73.1</v>
      </c>
    </row>
    <row r="1090">
      <c r="A1090" s="34" t="s">
        <v>70</v>
      </c>
      <c r="B1090" s="34" t="s">
        <v>46</v>
      </c>
      <c r="C1090" s="34">
        <v>59.0</v>
      </c>
      <c r="D1090" s="34" t="s">
        <v>1027</v>
      </c>
      <c r="E1090" s="34" t="s">
        <v>2964</v>
      </c>
      <c r="F1090" s="34" t="s">
        <v>2965</v>
      </c>
      <c r="G1090" s="34">
        <v>59512.0</v>
      </c>
      <c r="H1090" s="34" t="s">
        <v>1059</v>
      </c>
      <c r="I1090" s="34" t="s">
        <v>18</v>
      </c>
      <c r="J1090" s="34" t="s">
        <v>15</v>
      </c>
      <c r="K1090" s="45">
        <v>130.1</v>
      </c>
      <c r="L1090" s="9"/>
      <c r="M1090" s="45">
        <v>130.1</v>
      </c>
    </row>
    <row r="1091">
      <c r="A1091" s="34" t="s">
        <v>70</v>
      </c>
      <c r="B1091" s="34" t="s">
        <v>46</v>
      </c>
      <c r="C1091" s="34">
        <v>59.0</v>
      </c>
      <c r="D1091" s="34" t="s">
        <v>1027</v>
      </c>
      <c r="E1091" s="34" t="s">
        <v>2966</v>
      </c>
      <c r="F1091" s="34" t="s">
        <v>1631</v>
      </c>
      <c r="G1091" s="34">
        <v>59603.0</v>
      </c>
      <c r="H1091" s="34" t="s">
        <v>2967</v>
      </c>
      <c r="I1091" s="34" t="s">
        <v>18</v>
      </c>
      <c r="J1091" s="34" t="s">
        <v>13</v>
      </c>
      <c r="K1091" s="9"/>
      <c r="L1091" s="45">
        <v>73.9</v>
      </c>
      <c r="M1091" s="45">
        <v>73.9</v>
      </c>
    </row>
    <row r="1092">
      <c r="A1092" s="34" t="s">
        <v>70</v>
      </c>
      <c r="B1092" s="34" t="s">
        <v>46</v>
      </c>
      <c r="C1092" s="34">
        <v>59.0</v>
      </c>
      <c r="D1092" s="34" t="s">
        <v>1027</v>
      </c>
      <c r="E1092" s="34" t="s">
        <v>2968</v>
      </c>
      <c r="F1092" s="34" t="s">
        <v>2969</v>
      </c>
      <c r="G1092" s="34">
        <v>59350.0</v>
      </c>
      <c r="H1092" s="34" t="s">
        <v>46</v>
      </c>
      <c r="I1092" s="34" t="s">
        <v>18</v>
      </c>
      <c r="J1092" s="34" t="s">
        <v>15</v>
      </c>
      <c r="K1092" s="45">
        <v>101.9</v>
      </c>
      <c r="L1092" s="9"/>
      <c r="M1092" s="45">
        <v>101.9</v>
      </c>
    </row>
    <row r="1093">
      <c r="A1093" s="34" t="s">
        <v>70</v>
      </c>
      <c r="B1093" s="34" t="s">
        <v>46</v>
      </c>
      <c r="C1093" s="34">
        <v>59.0</v>
      </c>
      <c r="D1093" s="34" t="s">
        <v>1027</v>
      </c>
      <c r="E1093" s="34" t="s">
        <v>2970</v>
      </c>
      <c r="F1093" s="34" t="s">
        <v>2971</v>
      </c>
      <c r="G1093" s="34">
        <v>59650.0</v>
      </c>
      <c r="H1093" s="34" t="s">
        <v>2972</v>
      </c>
      <c r="I1093" s="34" t="s">
        <v>18</v>
      </c>
      <c r="J1093" s="34" t="s">
        <v>13</v>
      </c>
      <c r="K1093" s="9"/>
      <c r="L1093" s="45">
        <v>67.4</v>
      </c>
      <c r="M1093" s="45">
        <v>67.4</v>
      </c>
    </row>
    <row r="1094">
      <c r="A1094" s="34" t="s">
        <v>70</v>
      </c>
      <c r="B1094" s="34" t="s">
        <v>46</v>
      </c>
      <c r="C1094" s="34">
        <v>59.0</v>
      </c>
      <c r="D1094" s="34" t="s">
        <v>1027</v>
      </c>
      <c r="E1094" s="34" t="s">
        <v>2973</v>
      </c>
      <c r="F1094" s="34" t="s">
        <v>2974</v>
      </c>
      <c r="G1094" s="34">
        <v>59606.0</v>
      </c>
      <c r="H1094" s="34" t="s">
        <v>1072</v>
      </c>
      <c r="I1094" s="34" t="s">
        <v>18</v>
      </c>
      <c r="J1094" s="34" t="s">
        <v>15</v>
      </c>
      <c r="K1094" s="45">
        <v>99.5</v>
      </c>
      <c r="L1094" s="9"/>
      <c r="M1094" s="45">
        <v>99.5</v>
      </c>
    </row>
    <row r="1095">
      <c r="A1095" s="34" t="s">
        <v>70</v>
      </c>
      <c r="B1095" s="34" t="s">
        <v>46</v>
      </c>
      <c r="C1095" s="34">
        <v>59.0</v>
      </c>
      <c r="D1095" s="34" t="s">
        <v>1027</v>
      </c>
      <c r="E1095" s="34" t="s">
        <v>2975</v>
      </c>
      <c r="F1095" s="34" t="s">
        <v>2976</v>
      </c>
      <c r="G1095" s="34">
        <v>59178.0</v>
      </c>
      <c r="H1095" s="34" t="s">
        <v>1092</v>
      </c>
      <c r="I1095" s="34" t="s">
        <v>18</v>
      </c>
      <c r="J1095" s="34" t="s">
        <v>13</v>
      </c>
      <c r="K1095" s="9"/>
      <c r="L1095" s="45">
        <v>71.3</v>
      </c>
      <c r="M1095" s="45">
        <v>71.3</v>
      </c>
    </row>
    <row r="1096">
      <c r="A1096" s="34" t="s">
        <v>70</v>
      </c>
      <c r="B1096" s="34" t="s">
        <v>46</v>
      </c>
      <c r="C1096" s="34">
        <v>59.0</v>
      </c>
      <c r="D1096" s="34" t="s">
        <v>1027</v>
      </c>
      <c r="E1096" s="34" t="s">
        <v>2977</v>
      </c>
      <c r="F1096" s="34" t="s">
        <v>2978</v>
      </c>
      <c r="G1096" s="34">
        <v>59378.0</v>
      </c>
      <c r="H1096" s="34" t="s">
        <v>2923</v>
      </c>
      <c r="I1096" s="34" t="s">
        <v>17</v>
      </c>
      <c r="J1096" s="34" t="s">
        <v>15</v>
      </c>
      <c r="K1096" s="45">
        <v>155.3</v>
      </c>
      <c r="L1096" s="9"/>
      <c r="M1096" s="45">
        <v>155.3</v>
      </c>
    </row>
    <row r="1097">
      <c r="A1097" s="34" t="s">
        <v>70</v>
      </c>
      <c r="B1097" s="34" t="s">
        <v>88</v>
      </c>
      <c r="C1097" s="34">
        <v>60.0</v>
      </c>
      <c r="D1097" s="34" t="s">
        <v>1127</v>
      </c>
      <c r="E1097" s="34" t="s">
        <v>2979</v>
      </c>
      <c r="F1097" s="34" t="s">
        <v>2980</v>
      </c>
      <c r="G1097" s="34">
        <v>60057.0</v>
      </c>
      <c r="H1097" s="34" t="s">
        <v>1130</v>
      </c>
      <c r="I1097" s="34" t="s">
        <v>18</v>
      </c>
      <c r="J1097" s="34" t="s">
        <v>13</v>
      </c>
      <c r="K1097" s="9"/>
      <c r="L1097" s="45">
        <v>76.9</v>
      </c>
      <c r="M1097" s="45">
        <v>76.9</v>
      </c>
    </row>
    <row r="1098">
      <c r="A1098" s="34" t="s">
        <v>70</v>
      </c>
      <c r="B1098" s="34" t="s">
        <v>88</v>
      </c>
      <c r="C1098" s="34">
        <v>60.0</v>
      </c>
      <c r="D1098" s="34" t="s">
        <v>1127</v>
      </c>
      <c r="E1098" s="34" t="s">
        <v>2981</v>
      </c>
      <c r="F1098" s="34" t="s">
        <v>2982</v>
      </c>
      <c r="G1098" s="34">
        <v>60471.0</v>
      </c>
      <c r="H1098" s="34" t="s">
        <v>2983</v>
      </c>
      <c r="I1098" s="34" t="s">
        <v>18</v>
      </c>
      <c r="J1098" s="34" t="s">
        <v>13</v>
      </c>
      <c r="K1098" s="9"/>
      <c r="L1098" s="45">
        <v>82.3</v>
      </c>
      <c r="M1098" s="45">
        <v>82.3</v>
      </c>
    </row>
    <row r="1099">
      <c r="A1099" s="34" t="s">
        <v>70</v>
      </c>
      <c r="B1099" s="34" t="s">
        <v>88</v>
      </c>
      <c r="C1099" s="34">
        <v>60.0</v>
      </c>
      <c r="D1099" s="34" t="s">
        <v>1127</v>
      </c>
      <c r="E1099" s="34" t="s">
        <v>2984</v>
      </c>
      <c r="F1099" s="34" t="s">
        <v>2985</v>
      </c>
      <c r="G1099" s="34">
        <v>60612.0</v>
      </c>
      <c r="H1099" s="34" t="s">
        <v>2986</v>
      </c>
      <c r="I1099" s="34" t="s">
        <v>18</v>
      </c>
      <c r="J1099" s="34" t="s">
        <v>13</v>
      </c>
      <c r="K1099" s="9"/>
      <c r="L1099" s="45">
        <v>86.0</v>
      </c>
      <c r="M1099" s="45">
        <v>86.0</v>
      </c>
    </row>
    <row r="1100">
      <c r="A1100" s="34" t="s">
        <v>70</v>
      </c>
      <c r="B1100" s="34" t="s">
        <v>88</v>
      </c>
      <c r="C1100" s="34">
        <v>60.0</v>
      </c>
      <c r="D1100" s="34" t="s">
        <v>1127</v>
      </c>
      <c r="E1100" s="34" t="s">
        <v>2987</v>
      </c>
      <c r="F1100" s="34" t="s">
        <v>2988</v>
      </c>
      <c r="G1100" s="34">
        <v>60175.0</v>
      </c>
      <c r="H1100" s="34" t="s">
        <v>2989</v>
      </c>
      <c r="I1100" s="34" t="s">
        <v>18</v>
      </c>
      <c r="J1100" s="34" t="s">
        <v>13</v>
      </c>
      <c r="K1100" s="9"/>
      <c r="L1100" s="45">
        <v>77.1</v>
      </c>
      <c r="M1100" s="45">
        <v>77.1</v>
      </c>
    </row>
    <row r="1101">
      <c r="A1101" s="34" t="s">
        <v>70</v>
      </c>
      <c r="B1101" s="34" t="s">
        <v>88</v>
      </c>
      <c r="C1101" s="34">
        <v>60.0</v>
      </c>
      <c r="D1101" s="34" t="s">
        <v>1127</v>
      </c>
      <c r="E1101" s="34" t="s">
        <v>2990</v>
      </c>
      <c r="F1101" s="34" t="s">
        <v>2991</v>
      </c>
      <c r="G1101" s="34">
        <v>60057.0</v>
      </c>
      <c r="H1101" s="34" t="s">
        <v>1130</v>
      </c>
      <c r="I1101" s="34" t="s">
        <v>17</v>
      </c>
      <c r="J1101" s="34" t="s">
        <v>13</v>
      </c>
      <c r="K1101" s="9"/>
      <c r="L1101" s="45">
        <v>83.9</v>
      </c>
      <c r="M1101" s="45">
        <v>83.9</v>
      </c>
    </row>
    <row r="1102">
      <c r="A1102" s="34" t="s">
        <v>70</v>
      </c>
      <c r="B1102" s="34" t="s">
        <v>88</v>
      </c>
      <c r="C1102" s="34">
        <v>60.0</v>
      </c>
      <c r="D1102" s="34" t="s">
        <v>1127</v>
      </c>
      <c r="E1102" s="34" t="s">
        <v>2992</v>
      </c>
      <c r="F1102" s="34" t="s">
        <v>2993</v>
      </c>
      <c r="G1102" s="34">
        <v>60141.0</v>
      </c>
      <c r="H1102" s="34" t="s">
        <v>1133</v>
      </c>
      <c r="I1102" s="34" t="s">
        <v>17</v>
      </c>
      <c r="J1102" s="34" t="s">
        <v>13</v>
      </c>
      <c r="K1102" s="9"/>
      <c r="L1102" s="45">
        <v>114.5</v>
      </c>
      <c r="M1102" s="45">
        <v>114.5</v>
      </c>
    </row>
    <row r="1103">
      <c r="A1103" s="34" t="s">
        <v>70</v>
      </c>
      <c r="B1103" s="34" t="s">
        <v>88</v>
      </c>
      <c r="C1103" s="34">
        <v>60.0</v>
      </c>
      <c r="D1103" s="34" t="s">
        <v>1127</v>
      </c>
      <c r="E1103" s="34" t="s">
        <v>2994</v>
      </c>
      <c r="F1103" s="34" t="s">
        <v>2995</v>
      </c>
      <c r="G1103" s="34">
        <v>60057.0</v>
      </c>
      <c r="H1103" s="34" t="s">
        <v>1130</v>
      </c>
      <c r="I1103" s="34" t="s">
        <v>17</v>
      </c>
      <c r="J1103" s="34" t="s">
        <v>15</v>
      </c>
      <c r="K1103" s="45">
        <v>123.9</v>
      </c>
      <c r="L1103" s="9"/>
      <c r="M1103" s="45">
        <v>123.9</v>
      </c>
    </row>
    <row r="1104">
      <c r="A1104" s="34" t="s">
        <v>70</v>
      </c>
      <c r="B1104" s="34" t="s">
        <v>88</v>
      </c>
      <c r="C1104" s="34">
        <v>60.0</v>
      </c>
      <c r="D1104" s="34" t="s">
        <v>1127</v>
      </c>
      <c r="E1104" s="34" t="s">
        <v>2996</v>
      </c>
      <c r="F1104" s="34" t="s">
        <v>2997</v>
      </c>
      <c r="G1104" s="34">
        <v>60159.0</v>
      </c>
      <c r="H1104" s="34" t="s">
        <v>1136</v>
      </c>
      <c r="I1104" s="34" t="s">
        <v>17</v>
      </c>
      <c r="J1104" s="34" t="s">
        <v>15</v>
      </c>
      <c r="K1104" s="45">
        <v>136.0</v>
      </c>
      <c r="L1104" s="9"/>
      <c r="M1104" s="45">
        <v>136.0</v>
      </c>
    </row>
    <row r="1105">
      <c r="A1105" s="34" t="s">
        <v>70</v>
      </c>
      <c r="B1105" s="34" t="s">
        <v>88</v>
      </c>
      <c r="C1105" s="34">
        <v>60.0</v>
      </c>
      <c r="D1105" s="34" t="s">
        <v>1127</v>
      </c>
      <c r="E1105" s="34" t="s">
        <v>2998</v>
      </c>
      <c r="F1105" s="34" t="s">
        <v>2999</v>
      </c>
      <c r="G1105" s="34">
        <v>60057.0</v>
      </c>
      <c r="H1105" s="34" t="s">
        <v>1130</v>
      </c>
      <c r="I1105" s="34" t="s">
        <v>18</v>
      </c>
      <c r="J1105" s="34" t="s">
        <v>15</v>
      </c>
      <c r="K1105" s="45">
        <v>107.2</v>
      </c>
      <c r="L1105" s="9"/>
      <c r="M1105" s="45">
        <v>107.2</v>
      </c>
    </row>
    <row r="1106">
      <c r="A1106" s="34" t="s">
        <v>70</v>
      </c>
      <c r="B1106" s="34" t="s">
        <v>88</v>
      </c>
      <c r="C1106" s="34">
        <v>60.0</v>
      </c>
      <c r="D1106" s="34" t="s">
        <v>1127</v>
      </c>
      <c r="E1106" s="34" t="s">
        <v>3000</v>
      </c>
      <c r="F1106" s="34" t="s">
        <v>3001</v>
      </c>
      <c r="G1106" s="34">
        <v>60509.0</v>
      </c>
      <c r="H1106" s="34" t="s">
        <v>3002</v>
      </c>
      <c r="I1106" s="34" t="s">
        <v>17</v>
      </c>
      <c r="J1106" s="34" t="s">
        <v>15</v>
      </c>
      <c r="K1106" s="45">
        <v>114.5</v>
      </c>
      <c r="L1106" s="9"/>
      <c r="M1106" s="45">
        <v>114.5</v>
      </c>
    </row>
    <row r="1107">
      <c r="A1107" s="34" t="s">
        <v>70</v>
      </c>
      <c r="B1107" s="34" t="s">
        <v>88</v>
      </c>
      <c r="C1107" s="34">
        <v>60.0</v>
      </c>
      <c r="D1107" s="34" t="s">
        <v>1127</v>
      </c>
      <c r="E1107" s="34" t="s">
        <v>3003</v>
      </c>
      <c r="F1107" s="34" t="s">
        <v>3004</v>
      </c>
      <c r="G1107" s="34">
        <v>60159.0</v>
      </c>
      <c r="H1107" s="34" t="s">
        <v>1136</v>
      </c>
      <c r="I1107" s="34" t="s">
        <v>18</v>
      </c>
      <c r="J1107" s="34" t="s">
        <v>14</v>
      </c>
      <c r="K1107" s="45">
        <v>112.2</v>
      </c>
      <c r="L1107" s="45">
        <v>87.2</v>
      </c>
      <c r="M1107" s="45">
        <v>106.5</v>
      </c>
    </row>
    <row r="1108">
      <c r="A1108" s="34" t="s">
        <v>70</v>
      </c>
      <c r="B1108" s="34" t="s">
        <v>88</v>
      </c>
      <c r="C1108" s="34">
        <v>60.0</v>
      </c>
      <c r="D1108" s="34" t="s">
        <v>1127</v>
      </c>
      <c r="E1108" s="34" t="s">
        <v>3005</v>
      </c>
      <c r="F1108" s="34" t="s">
        <v>3006</v>
      </c>
      <c r="G1108" s="34">
        <v>60286.0</v>
      </c>
      <c r="H1108" s="34" t="s">
        <v>3007</v>
      </c>
      <c r="I1108" s="34" t="s">
        <v>18</v>
      </c>
      <c r="J1108" s="34" t="s">
        <v>13</v>
      </c>
      <c r="K1108" s="9"/>
      <c r="L1108" s="45">
        <v>77.3</v>
      </c>
      <c r="M1108" s="45">
        <v>77.3</v>
      </c>
    </row>
    <row r="1109">
      <c r="A1109" s="34" t="s">
        <v>70</v>
      </c>
      <c r="B1109" s="34" t="s">
        <v>88</v>
      </c>
      <c r="C1109" s="34">
        <v>60.0</v>
      </c>
      <c r="D1109" s="34" t="s">
        <v>1127</v>
      </c>
      <c r="E1109" s="34" t="s">
        <v>3008</v>
      </c>
      <c r="F1109" s="34" t="s">
        <v>3009</v>
      </c>
      <c r="G1109" s="34">
        <v>60159.0</v>
      </c>
      <c r="H1109" s="34" t="s">
        <v>1136</v>
      </c>
      <c r="I1109" s="34" t="s">
        <v>17</v>
      </c>
      <c r="J1109" s="34" t="s">
        <v>13</v>
      </c>
      <c r="K1109" s="9"/>
      <c r="L1109" s="45">
        <v>105.7</v>
      </c>
      <c r="M1109" s="45">
        <v>105.7</v>
      </c>
    </row>
    <row r="1110">
      <c r="A1110" s="34" t="s">
        <v>70</v>
      </c>
      <c r="B1110" s="34" t="s">
        <v>269</v>
      </c>
      <c r="C1110" s="34">
        <v>61.0</v>
      </c>
      <c r="D1110" s="34" t="s">
        <v>1153</v>
      </c>
      <c r="E1110" s="34" t="s">
        <v>3010</v>
      </c>
      <c r="F1110" s="34" t="s">
        <v>3011</v>
      </c>
      <c r="G1110" s="34">
        <v>61006.0</v>
      </c>
      <c r="H1110" s="34" t="s">
        <v>1161</v>
      </c>
      <c r="I1110" s="34" t="s">
        <v>18</v>
      </c>
      <c r="J1110" s="34" t="s">
        <v>14</v>
      </c>
      <c r="K1110" s="45">
        <v>103.6</v>
      </c>
      <c r="L1110" s="45">
        <v>80.2</v>
      </c>
      <c r="M1110" s="45">
        <v>96.3</v>
      </c>
    </row>
    <row r="1111">
      <c r="A1111" s="34" t="s">
        <v>70</v>
      </c>
      <c r="B1111" s="34" t="s">
        <v>269</v>
      </c>
      <c r="C1111" s="34">
        <v>61.0</v>
      </c>
      <c r="D1111" s="34" t="s">
        <v>1153</v>
      </c>
      <c r="E1111" s="34" t="s">
        <v>3012</v>
      </c>
      <c r="F1111" s="34" t="s">
        <v>3013</v>
      </c>
      <c r="G1111" s="34">
        <v>61189.0</v>
      </c>
      <c r="H1111" s="34" t="s">
        <v>3014</v>
      </c>
      <c r="I1111" s="34" t="s">
        <v>17</v>
      </c>
      <c r="J1111" s="34" t="s">
        <v>13</v>
      </c>
      <c r="K1111" s="9"/>
      <c r="L1111" s="45">
        <v>91.8</v>
      </c>
      <c r="M1111" s="45">
        <v>91.8</v>
      </c>
    </row>
    <row r="1112">
      <c r="A1112" s="34" t="s">
        <v>70</v>
      </c>
      <c r="B1112" s="34" t="s">
        <v>46</v>
      </c>
      <c r="C1112" s="34">
        <v>62.0</v>
      </c>
      <c r="D1112" s="34" t="s">
        <v>1165</v>
      </c>
      <c r="E1112" s="34" t="s">
        <v>3015</v>
      </c>
      <c r="F1112" s="34" t="s">
        <v>3016</v>
      </c>
      <c r="G1112" s="34">
        <v>62041.0</v>
      </c>
      <c r="H1112" s="34" t="s">
        <v>1186</v>
      </c>
      <c r="I1112" s="34" t="s">
        <v>18</v>
      </c>
      <c r="J1112" s="34" t="s">
        <v>13</v>
      </c>
      <c r="K1112" s="9"/>
      <c r="L1112" s="45">
        <v>76.3</v>
      </c>
      <c r="M1112" s="45">
        <v>76.3</v>
      </c>
    </row>
    <row r="1113">
      <c r="A1113" s="34" t="s">
        <v>70</v>
      </c>
      <c r="B1113" s="34" t="s">
        <v>46</v>
      </c>
      <c r="C1113" s="34">
        <v>62.0</v>
      </c>
      <c r="D1113" s="34" t="s">
        <v>1165</v>
      </c>
      <c r="E1113" s="34" t="s">
        <v>3017</v>
      </c>
      <c r="F1113" s="34" t="s">
        <v>3018</v>
      </c>
      <c r="G1113" s="34">
        <v>62065.0</v>
      </c>
      <c r="H1113" s="34" t="s">
        <v>3019</v>
      </c>
      <c r="I1113" s="34" t="s">
        <v>18</v>
      </c>
      <c r="J1113" s="34" t="s">
        <v>14</v>
      </c>
      <c r="K1113" s="45">
        <v>85.5</v>
      </c>
      <c r="L1113" s="45">
        <v>68.2</v>
      </c>
      <c r="M1113" s="45">
        <v>84.3</v>
      </c>
    </row>
    <row r="1114">
      <c r="A1114" s="34" t="s">
        <v>70</v>
      </c>
      <c r="B1114" s="34" t="s">
        <v>46</v>
      </c>
      <c r="C1114" s="34">
        <v>62.0</v>
      </c>
      <c r="D1114" s="34" t="s">
        <v>1165</v>
      </c>
      <c r="E1114" s="34" t="s">
        <v>3020</v>
      </c>
      <c r="F1114" s="34" t="s">
        <v>3021</v>
      </c>
      <c r="G1114" s="34">
        <v>62119.0</v>
      </c>
      <c r="H1114" s="34" t="s">
        <v>3022</v>
      </c>
      <c r="I1114" s="34" t="s">
        <v>18</v>
      </c>
      <c r="J1114" s="34" t="s">
        <v>15</v>
      </c>
      <c r="K1114" s="45">
        <v>119.6</v>
      </c>
      <c r="L1114" s="9"/>
      <c r="M1114" s="45">
        <v>119.6</v>
      </c>
    </row>
    <row r="1115">
      <c r="A1115" s="34" t="s">
        <v>70</v>
      </c>
      <c r="B1115" s="34" t="s">
        <v>46</v>
      </c>
      <c r="C1115" s="34">
        <v>62.0</v>
      </c>
      <c r="D1115" s="34" t="s">
        <v>1165</v>
      </c>
      <c r="E1115" s="34" t="s">
        <v>3023</v>
      </c>
      <c r="F1115" s="34" t="s">
        <v>3024</v>
      </c>
      <c r="G1115" s="34">
        <v>62193.0</v>
      </c>
      <c r="H1115" s="34" t="s">
        <v>3025</v>
      </c>
      <c r="I1115" s="34" t="s">
        <v>18</v>
      </c>
      <c r="J1115" s="34" t="s">
        <v>15</v>
      </c>
      <c r="K1115" s="45">
        <v>104.0</v>
      </c>
      <c r="L1115" s="9"/>
      <c r="M1115" s="45">
        <v>104.0</v>
      </c>
    </row>
    <row r="1116">
      <c r="A1116" s="34" t="s">
        <v>70</v>
      </c>
      <c r="B1116" s="34" t="s">
        <v>46</v>
      </c>
      <c r="C1116" s="34">
        <v>62.0</v>
      </c>
      <c r="D1116" s="34" t="s">
        <v>1165</v>
      </c>
      <c r="E1116" s="34" t="s">
        <v>3026</v>
      </c>
      <c r="F1116" s="34" t="s">
        <v>3027</v>
      </c>
      <c r="G1116" s="34">
        <v>62215.0</v>
      </c>
      <c r="H1116" s="34" t="s">
        <v>3028</v>
      </c>
      <c r="I1116" s="34" t="s">
        <v>18</v>
      </c>
      <c r="J1116" s="34" t="s">
        <v>15</v>
      </c>
      <c r="K1116" s="45">
        <v>100.0</v>
      </c>
      <c r="L1116" s="9"/>
      <c r="M1116" s="45">
        <v>100.0</v>
      </c>
    </row>
    <row r="1117">
      <c r="A1117" s="34" t="s">
        <v>70</v>
      </c>
      <c r="B1117" s="34" t="s">
        <v>46</v>
      </c>
      <c r="C1117" s="34">
        <v>62.0</v>
      </c>
      <c r="D1117" s="34" t="s">
        <v>1165</v>
      </c>
      <c r="E1117" s="34" t="s">
        <v>3029</v>
      </c>
      <c r="F1117" s="34" t="s">
        <v>3030</v>
      </c>
      <c r="G1117" s="34">
        <v>62498.0</v>
      </c>
      <c r="H1117" s="34" t="s">
        <v>1188</v>
      </c>
      <c r="I1117" s="34" t="s">
        <v>18</v>
      </c>
      <c r="J1117" s="34" t="s">
        <v>13</v>
      </c>
      <c r="K1117" s="9"/>
      <c r="L1117" s="45">
        <v>71.2</v>
      </c>
      <c r="M1117" s="45">
        <v>71.2</v>
      </c>
    </row>
    <row r="1118">
      <c r="A1118" s="34" t="s">
        <v>70</v>
      </c>
      <c r="B1118" s="34" t="s">
        <v>46</v>
      </c>
      <c r="C1118" s="34">
        <v>62.0</v>
      </c>
      <c r="D1118" s="34" t="s">
        <v>1165</v>
      </c>
      <c r="E1118" s="34" t="s">
        <v>3031</v>
      </c>
      <c r="F1118" s="34" t="s">
        <v>3032</v>
      </c>
      <c r="G1118" s="34">
        <v>62510.0</v>
      </c>
      <c r="H1118" s="34" t="s">
        <v>3033</v>
      </c>
      <c r="I1118" s="34" t="s">
        <v>18</v>
      </c>
      <c r="J1118" s="34" t="s">
        <v>15</v>
      </c>
      <c r="K1118" s="45">
        <v>99.5</v>
      </c>
      <c r="L1118" s="9"/>
      <c r="M1118" s="45">
        <v>99.5</v>
      </c>
    </row>
    <row r="1119">
      <c r="A1119" s="34" t="s">
        <v>70</v>
      </c>
      <c r="B1119" s="34" t="s">
        <v>46</v>
      </c>
      <c r="C1119" s="34">
        <v>62.0</v>
      </c>
      <c r="D1119" s="34" t="s">
        <v>1165</v>
      </c>
      <c r="E1119" s="34" t="s">
        <v>3034</v>
      </c>
      <c r="F1119" s="34" t="s">
        <v>3035</v>
      </c>
      <c r="G1119" s="34">
        <v>62318.0</v>
      </c>
      <c r="H1119" s="34" t="s">
        <v>3036</v>
      </c>
      <c r="I1119" s="34" t="s">
        <v>18</v>
      </c>
      <c r="J1119" s="34" t="s">
        <v>13</v>
      </c>
      <c r="K1119" s="9"/>
      <c r="L1119" s="45">
        <v>74.3</v>
      </c>
      <c r="M1119" s="45">
        <v>74.3</v>
      </c>
    </row>
    <row r="1120">
      <c r="A1120" s="34" t="s">
        <v>70</v>
      </c>
      <c r="B1120" s="34" t="s">
        <v>46</v>
      </c>
      <c r="C1120" s="34">
        <v>62.0</v>
      </c>
      <c r="D1120" s="34" t="s">
        <v>1165</v>
      </c>
      <c r="E1120" s="34" t="s">
        <v>3037</v>
      </c>
      <c r="F1120" s="34" t="s">
        <v>3038</v>
      </c>
      <c r="G1120" s="34">
        <v>62193.0</v>
      </c>
      <c r="H1120" s="34" t="s">
        <v>3025</v>
      </c>
      <c r="I1120" s="34" t="s">
        <v>18</v>
      </c>
      <c r="J1120" s="34" t="s">
        <v>13</v>
      </c>
      <c r="K1120" s="9"/>
      <c r="L1120" s="45">
        <v>69.8</v>
      </c>
      <c r="M1120" s="45">
        <v>69.8</v>
      </c>
    </row>
    <row r="1121">
      <c r="A1121" s="34" t="s">
        <v>70</v>
      </c>
      <c r="B1121" s="34" t="s">
        <v>46</v>
      </c>
      <c r="C1121" s="34">
        <v>62.0</v>
      </c>
      <c r="D1121" s="34" t="s">
        <v>1165</v>
      </c>
      <c r="E1121" s="34" t="s">
        <v>3039</v>
      </c>
      <c r="F1121" s="34" t="s">
        <v>3040</v>
      </c>
      <c r="G1121" s="34">
        <v>62193.0</v>
      </c>
      <c r="H1121" s="34" t="s">
        <v>3025</v>
      </c>
      <c r="I1121" s="34" t="s">
        <v>18</v>
      </c>
      <c r="J1121" s="34" t="s">
        <v>13</v>
      </c>
      <c r="K1121" s="9"/>
      <c r="L1121" s="45">
        <v>77.5</v>
      </c>
      <c r="M1121" s="45">
        <v>77.5</v>
      </c>
    </row>
    <row r="1122">
      <c r="A1122" s="34" t="s">
        <v>70</v>
      </c>
      <c r="B1122" s="34" t="s">
        <v>46</v>
      </c>
      <c r="C1122" s="34">
        <v>62.0</v>
      </c>
      <c r="D1122" s="34" t="s">
        <v>1165</v>
      </c>
      <c r="E1122" s="34" t="s">
        <v>3041</v>
      </c>
      <c r="F1122" s="34" t="s">
        <v>3042</v>
      </c>
      <c r="G1122" s="34">
        <v>62510.0</v>
      </c>
      <c r="H1122" s="34" t="s">
        <v>3033</v>
      </c>
      <c r="I1122" s="34" t="s">
        <v>18</v>
      </c>
      <c r="J1122" s="34" t="s">
        <v>13</v>
      </c>
      <c r="K1122" s="9"/>
      <c r="L1122" s="45">
        <v>77.4</v>
      </c>
      <c r="M1122" s="45">
        <v>77.4</v>
      </c>
    </row>
    <row r="1123">
      <c r="A1123" s="34" t="s">
        <v>70</v>
      </c>
      <c r="B1123" s="34" t="s">
        <v>46</v>
      </c>
      <c r="C1123" s="34">
        <v>62.0</v>
      </c>
      <c r="D1123" s="34" t="s">
        <v>1165</v>
      </c>
      <c r="E1123" s="34" t="s">
        <v>3043</v>
      </c>
      <c r="F1123" s="34" t="s">
        <v>3044</v>
      </c>
      <c r="G1123" s="34">
        <v>62178.0</v>
      </c>
      <c r="H1123" s="34" t="s">
        <v>3045</v>
      </c>
      <c r="I1123" s="34" t="s">
        <v>18</v>
      </c>
      <c r="J1123" s="34" t="s">
        <v>13</v>
      </c>
      <c r="K1123" s="9"/>
      <c r="L1123" s="45">
        <v>70.4</v>
      </c>
      <c r="M1123" s="45">
        <v>70.4</v>
      </c>
    </row>
    <row r="1124">
      <c r="A1124" s="34" t="s">
        <v>70</v>
      </c>
      <c r="B1124" s="34" t="s">
        <v>46</v>
      </c>
      <c r="C1124" s="34">
        <v>62.0</v>
      </c>
      <c r="D1124" s="34" t="s">
        <v>1165</v>
      </c>
      <c r="E1124" s="34" t="s">
        <v>3046</v>
      </c>
      <c r="F1124" s="34" t="s">
        <v>3047</v>
      </c>
      <c r="G1124" s="34">
        <v>62771.0</v>
      </c>
      <c r="H1124" s="34" t="s">
        <v>3048</v>
      </c>
      <c r="I1124" s="34" t="s">
        <v>18</v>
      </c>
      <c r="J1124" s="34" t="s">
        <v>13</v>
      </c>
      <c r="K1124" s="9"/>
      <c r="L1124" s="45">
        <v>66.1</v>
      </c>
      <c r="M1124" s="45">
        <v>66.1</v>
      </c>
    </row>
    <row r="1125">
      <c r="A1125" s="34" t="s">
        <v>70</v>
      </c>
      <c r="B1125" s="34" t="s">
        <v>46</v>
      </c>
      <c r="C1125" s="34">
        <v>62.0</v>
      </c>
      <c r="D1125" s="34" t="s">
        <v>1165</v>
      </c>
      <c r="E1125" s="34" t="s">
        <v>3049</v>
      </c>
      <c r="F1125" s="34" t="s">
        <v>3050</v>
      </c>
      <c r="G1125" s="34">
        <v>62041.0</v>
      </c>
      <c r="H1125" s="34" t="s">
        <v>1186</v>
      </c>
      <c r="I1125" s="34" t="s">
        <v>18</v>
      </c>
      <c r="J1125" s="34" t="s">
        <v>14</v>
      </c>
      <c r="K1125" s="45">
        <v>105.4</v>
      </c>
      <c r="L1125" s="45">
        <v>95.9</v>
      </c>
      <c r="M1125" s="45">
        <v>105.3</v>
      </c>
    </row>
    <row r="1126">
      <c r="A1126" s="34" t="s">
        <v>70</v>
      </c>
      <c r="B1126" s="34" t="s">
        <v>46</v>
      </c>
      <c r="C1126" s="34">
        <v>62.0</v>
      </c>
      <c r="D1126" s="34" t="s">
        <v>1165</v>
      </c>
      <c r="E1126" s="34" t="s">
        <v>3051</v>
      </c>
      <c r="F1126" s="34" t="s">
        <v>2480</v>
      </c>
      <c r="G1126" s="34">
        <v>62895.0</v>
      </c>
      <c r="H1126" s="34" t="s">
        <v>3052</v>
      </c>
      <c r="I1126" s="34" t="s">
        <v>18</v>
      </c>
      <c r="J1126" s="34" t="s">
        <v>13</v>
      </c>
      <c r="K1126" s="9"/>
      <c r="L1126" s="45">
        <v>83.2</v>
      </c>
      <c r="M1126" s="45">
        <v>83.2</v>
      </c>
    </row>
    <row r="1127">
      <c r="A1127" s="34" t="s">
        <v>70</v>
      </c>
      <c r="B1127" s="34" t="s">
        <v>46</v>
      </c>
      <c r="C1127" s="34">
        <v>62.0</v>
      </c>
      <c r="D1127" s="34" t="s">
        <v>1165</v>
      </c>
      <c r="E1127" s="34" t="s">
        <v>3053</v>
      </c>
      <c r="F1127" s="34" t="s">
        <v>3054</v>
      </c>
      <c r="G1127" s="34">
        <v>62160.0</v>
      </c>
      <c r="H1127" s="34" t="s">
        <v>3055</v>
      </c>
      <c r="I1127" s="34" t="s">
        <v>17</v>
      </c>
      <c r="J1127" s="34" t="s">
        <v>15</v>
      </c>
      <c r="K1127" s="45">
        <v>125.7</v>
      </c>
      <c r="L1127" s="9"/>
      <c r="M1127" s="45">
        <v>125.7</v>
      </c>
    </row>
    <row r="1128">
      <c r="A1128" s="34" t="s">
        <v>70</v>
      </c>
      <c r="B1128" s="34" t="s">
        <v>46</v>
      </c>
      <c r="C1128" s="34">
        <v>62.0</v>
      </c>
      <c r="D1128" s="34" t="s">
        <v>1165</v>
      </c>
      <c r="E1128" s="34" t="s">
        <v>3056</v>
      </c>
      <c r="F1128" s="34" t="s">
        <v>3057</v>
      </c>
      <c r="G1128" s="34">
        <v>62765.0</v>
      </c>
      <c r="H1128" s="34" t="s">
        <v>1177</v>
      </c>
      <c r="I1128" s="34" t="s">
        <v>17</v>
      </c>
      <c r="J1128" s="34" t="s">
        <v>15</v>
      </c>
      <c r="K1128" s="45">
        <v>123.1</v>
      </c>
      <c r="L1128" s="9"/>
      <c r="M1128" s="45">
        <v>123.1</v>
      </c>
    </row>
    <row r="1129">
      <c r="A1129" s="34" t="s">
        <v>70</v>
      </c>
      <c r="B1129" s="34" t="s">
        <v>46</v>
      </c>
      <c r="C1129" s="34">
        <v>62.0</v>
      </c>
      <c r="D1129" s="34" t="s">
        <v>1165</v>
      </c>
      <c r="E1129" s="34" t="s">
        <v>3058</v>
      </c>
      <c r="F1129" s="34" t="s">
        <v>3059</v>
      </c>
      <c r="G1129" s="34">
        <v>62160.0</v>
      </c>
      <c r="H1129" s="34" t="s">
        <v>3055</v>
      </c>
      <c r="I1129" s="34" t="s">
        <v>18</v>
      </c>
      <c r="J1129" s="34" t="s">
        <v>13</v>
      </c>
      <c r="K1129" s="9"/>
      <c r="L1129" s="45">
        <v>68.5</v>
      </c>
      <c r="M1129" s="45">
        <v>68.5</v>
      </c>
    </row>
    <row r="1130">
      <c r="A1130" s="34" t="s">
        <v>70</v>
      </c>
      <c r="B1130" s="34" t="s">
        <v>46</v>
      </c>
      <c r="C1130" s="34">
        <v>62.0</v>
      </c>
      <c r="D1130" s="34" t="s">
        <v>1165</v>
      </c>
      <c r="E1130" s="34" t="s">
        <v>3060</v>
      </c>
      <c r="F1130" s="34" t="s">
        <v>3061</v>
      </c>
      <c r="G1130" s="34">
        <v>62108.0</v>
      </c>
      <c r="H1130" s="34" t="s">
        <v>3062</v>
      </c>
      <c r="I1130" s="34" t="s">
        <v>18</v>
      </c>
      <c r="J1130" s="34" t="s">
        <v>14</v>
      </c>
      <c r="K1130" s="45">
        <v>105.9</v>
      </c>
      <c r="L1130" s="45">
        <v>78.2</v>
      </c>
      <c r="M1130" s="45">
        <v>98.8</v>
      </c>
    </row>
    <row r="1131">
      <c r="A1131" s="34" t="s">
        <v>70</v>
      </c>
      <c r="B1131" s="34" t="s">
        <v>46</v>
      </c>
      <c r="C1131" s="34">
        <v>62.0</v>
      </c>
      <c r="D1131" s="34" t="s">
        <v>1165</v>
      </c>
      <c r="E1131" s="34" t="s">
        <v>3063</v>
      </c>
      <c r="F1131" s="34" t="s">
        <v>3064</v>
      </c>
      <c r="G1131" s="34">
        <v>62178.0</v>
      </c>
      <c r="H1131" s="34" t="s">
        <v>3045</v>
      </c>
      <c r="I1131" s="34" t="s">
        <v>18</v>
      </c>
      <c r="J1131" s="34" t="s">
        <v>13</v>
      </c>
      <c r="K1131" s="9"/>
      <c r="L1131" s="45">
        <v>92.3</v>
      </c>
      <c r="M1131" s="45">
        <v>92.3</v>
      </c>
    </row>
    <row r="1132">
      <c r="A1132" s="34" t="s">
        <v>70</v>
      </c>
      <c r="B1132" s="34" t="s">
        <v>46</v>
      </c>
      <c r="C1132" s="34">
        <v>62.0</v>
      </c>
      <c r="D1132" s="34" t="s">
        <v>1165</v>
      </c>
      <c r="E1132" s="34" t="s">
        <v>3065</v>
      </c>
      <c r="F1132" s="34" t="s">
        <v>3066</v>
      </c>
      <c r="G1132" s="34">
        <v>62525.0</v>
      </c>
      <c r="H1132" s="34" t="s">
        <v>3067</v>
      </c>
      <c r="I1132" s="34" t="s">
        <v>18</v>
      </c>
      <c r="J1132" s="34" t="s">
        <v>15</v>
      </c>
      <c r="K1132" s="45">
        <v>107.9</v>
      </c>
      <c r="L1132" s="9"/>
      <c r="M1132" s="45">
        <v>107.9</v>
      </c>
    </row>
    <row r="1133">
      <c r="A1133" s="34" t="s">
        <v>70</v>
      </c>
      <c r="B1133" s="34" t="s">
        <v>46</v>
      </c>
      <c r="C1133" s="34">
        <v>62.0</v>
      </c>
      <c r="D1133" s="34" t="s">
        <v>1165</v>
      </c>
      <c r="E1133" s="34" t="s">
        <v>3068</v>
      </c>
      <c r="F1133" s="34" t="s">
        <v>3069</v>
      </c>
      <c r="G1133" s="34">
        <v>62510.0</v>
      </c>
      <c r="H1133" s="34" t="s">
        <v>3033</v>
      </c>
      <c r="I1133" s="34" t="s">
        <v>18</v>
      </c>
      <c r="J1133" s="34" t="s">
        <v>13</v>
      </c>
      <c r="K1133" s="9"/>
      <c r="L1133" s="45">
        <v>70.0</v>
      </c>
      <c r="M1133" s="45">
        <v>70.0</v>
      </c>
    </row>
    <row r="1134">
      <c r="A1134" s="34" t="s">
        <v>70</v>
      </c>
      <c r="B1134" s="34" t="s">
        <v>116</v>
      </c>
      <c r="C1134" s="34">
        <v>63.0</v>
      </c>
      <c r="D1134" s="34" t="s">
        <v>1196</v>
      </c>
      <c r="E1134" s="34" t="s">
        <v>3070</v>
      </c>
      <c r="F1134" s="34" t="s">
        <v>1566</v>
      </c>
      <c r="G1134" s="34">
        <v>63003.0</v>
      </c>
      <c r="H1134" s="34" t="s">
        <v>3071</v>
      </c>
      <c r="I1134" s="34" t="s">
        <v>18</v>
      </c>
      <c r="J1134" s="34" t="s">
        <v>14</v>
      </c>
      <c r="K1134" s="45">
        <v>110.5</v>
      </c>
      <c r="L1134" s="45">
        <v>84.0</v>
      </c>
      <c r="M1134" s="45">
        <v>101.9</v>
      </c>
    </row>
    <row r="1135">
      <c r="A1135" s="34" t="s">
        <v>70</v>
      </c>
      <c r="B1135" s="34" t="s">
        <v>116</v>
      </c>
      <c r="C1135" s="34">
        <v>63.0</v>
      </c>
      <c r="D1135" s="34" t="s">
        <v>1196</v>
      </c>
      <c r="E1135" s="34" t="s">
        <v>3072</v>
      </c>
      <c r="F1135" s="34" t="s">
        <v>3073</v>
      </c>
      <c r="G1135" s="34">
        <v>63113.0</v>
      </c>
      <c r="H1135" s="34" t="s">
        <v>1199</v>
      </c>
      <c r="I1135" s="34" t="s">
        <v>18</v>
      </c>
      <c r="J1135" s="34" t="s">
        <v>15</v>
      </c>
      <c r="K1135" s="45">
        <v>122.4</v>
      </c>
      <c r="L1135" s="9"/>
      <c r="M1135" s="45">
        <v>122.4</v>
      </c>
    </row>
    <row r="1136">
      <c r="A1136" s="34" t="s">
        <v>70</v>
      </c>
      <c r="B1136" s="34" t="s">
        <v>116</v>
      </c>
      <c r="C1136" s="34">
        <v>63.0</v>
      </c>
      <c r="D1136" s="34" t="s">
        <v>1196</v>
      </c>
      <c r="E1136" s="34" t="s">
        <v>3074</v>
      </c>
      <c r="F1136" s="34" t="s">
        <v>3075</v>
      </c>
      <c r="G1136" s="34">
        <v>63113.0</v>
      </c>
      <c r="H1136" s="34" t="s">
        <v>1199</v>
      </c>
      <c r="I1136" s="34" t="s">
        <v>18</v>
      </c>
      <c r="J1136" s="34" t="s">
        <v>14</v>
      </c>
      <c r="K1136" s="45">
        <v>117.3</v>
      </c>
      <c r="L1136" s="45">
        <v>91.4</v>
      </c>
      <c r="M1136" s="45">
        <v>108.4</v>
      </c>
    </row>
    <row r="1137">
      <c r="A1137" s="34" t="s">
        <v>70</v>
      </c>
      <c r="B1137" s="34" t="s">
        <v>116</v>
      </c>
      <c r="C1137" s="34">
        <v>63.0</v>
      </c>
      <c r="D1137" s="34" t="s">
        <v>1196</v>
      </c>
      <c r="E1137" s="34" t="s">
        <v>3076</v>
      </c>
      <c r="F1137" s="34" t="s">
        <v>3077</v>
      </c>
      <c r="G1137" s="34">
        <v>63113.0</v>
      </c>
      <c r="H1137" s="34" t="s">
        <v>1199</v>
      </c>
      <c r="I1137" s="34" t="s">
        <v>18</v>
      </c>
      <c r="J1137" s="34" t="s">
        <v>13</v>
      </c>
      <c r="K1137" s="9"/>
      <c r="L1137" s="45">
        <v>90.9</v>
      </c>
      <c r="M1137" s="45">
        <v>90.9</v>
      </c>
    </row>
    <row r="1138">
      <c r="A1138" s="34" t="s">
        <v>70</v>
      </c>
      <c r="B1138" s="34" t="s">
        <v>116</v>
      </c>
      <c r="C1138" s="34">
        <v>63.0</v>
      </c>
      <c r="D1138" s="34" t="s">
        <v>1196</v>
      </c>
      <c r="E1138" s="34" t="s">
        <v>3078</v>
      </c>
      <c r="F1138" s="34" t="s">
        <v>3079</v>
      </c>
      <c r="G1138" s="34">
        <v>63113.0</v>
      </c>
      <c r="H1138" s="34" t="s">
        <v>1199</v>
      </c>
      <c r="I1138" s="34" t="s">
        <v>18</v>
      </c>
      <c r="J1138" s="34" t="s">
        <v>13</v>
      </c>
      <c r="K1138" s="9"/>
      <c r="L1138" s="45">
        <v>80.1</v>
      </c>
      <c r="M1138" s="45">
        <v>80.1</v>
      </c>
    </row>
    <row r="1139">
      <c r="A1139" s="34" t="s">
        <v>70</v>
      </c>
      <c r="B1139" s="34" t="s">
        <v>116</v>
      </c>
      <c r="C1139" s="34">
        <v>63.0</v>
      </c>
      <c r="D1139" s="34" t="s">
        <v>1196</v>
      </c>
      <c r="E1139" s="34" t="s">
        <v>3080</v>
      </c>
      <c r="F1139" s="34" t="s">
        <v>3081</v>
      </c>
      <c r="G1139" s="34">
        <v>63300.0</v>
      </c>
      <c r="H1139" s="34" t="s">
        <v>1202</v>
      </c>
      <c r="I1139" s="34" t="s">
        <v>18</v>
      </c>
      <c r="J1139" s="34" t="s">
        <v>14</v>
      </c>
      <c r="K1139" s="45">
        <v>92.6</v>
      </c>
      <c r="L1139" s="45">
        <v>86.7</v>
      </c>
      <c r="M1139" s="45">
        <v>86.8</v>
      </c>
    </row>
    <row r="1140">
      <c r="A1140" s="34" t="s">
        <v>70</v>
      </c>
      <c r="B1140" s="34" t="s">
        <v>116</v>
      </c>
      <c r="C1140" s="34">
        <v>63.0</v>
      </c>
      <c r="D1140" s="34" t="s">
        <v>1196</v>
      </c>
      <c r="E1140" s="34" t="s">
        <v>3082</v>
      </c>
      <c r="F1140" s="34" t="s">
        <v>3083</v>
      </c>
      <c r="G1140" s="34">
        <v>63125.0</v>
      </c>
      <c r="H1140" s="34" t="s">
        <v>3084</v>
      </c>
      <c r="I1140" s="34" t="s">
        <v>17</v>
      </c>
      <c r="J1140" s="34" t="s">
        <v>15</v>
      </c>
      <c r="K1140" s="45">
        <v>106.7</v>
      </c>
      <c r="L1140" s="9"/>
      <c r="M1140" s="45">
        <v>106.7</v>
      </c>
    </row>
    <row r="1141">
      <c r="A1141" s="34" t="s">
        <v>70</v>
      </c>
      <c r="B1141" s="34" t="s">
        <v>116</v>
      </c>
      <c r="C1141" s="34">
        <v>63.0</v>
      </c>
      <c r="D1141" s="34" t="s">
        <v>1196</v>
      </c>
      <c r="E1141" s="34" t="s">
        <v>3085</v>
      </c>
      <c r="F1141" s="34" t="s">
        <v>3086</v>
      </c>
      <c r="G1141" s="34">
        <v>63113.0</v>
      </c>
      <c r="H1141" s="34" t="s">
        <v>1199</v>
      </c>
      <c r="I1141" s="34" t="s">
        <v>17</v>
      </c>
      <c r="J1141" s="34" t="s">
        <v>13</v>
      </c>
      <c r="K1141" s="9"/>
      <c r="L1141" s="45">
        <v>88.9</v>
      </c>
      <c r="M1141" s="45">
        <v>88.9</v>
      </c>
    </row>
    <row r="1142">
      <c r="A1142" s="34" t="s">
        <v>70</v>
      </c>
      <c r="B1142" s="34" t="s">
        <v>116</v>
      </c>
      <c r="C1142" s="34">
        <v>63.0</v>
      </c>
      <c r="D1142" s="34" t="s">
        <v>1196</v>
      </c>
      <c r="E1142" s="34" t="s">
        <v>3087</v>
      </c>
      <c r="F1142" s="34" t="s">
        <v>3088</v>
      </c>
      <c r="G1142" s="34">
        <v>63075.0</v>
      </c>
      <c r="H1142" s="34" t="s">
        <v>3089</v>
      </c>
      <c r="I1142" s="34" t="s">
        <v>17</v>
      </c>
      <c r="J1142" s="34" t="s">
        <v>15</v>
      </c>
      <c r="K1142" s="45">
        <v>123.8</v>
      </c>
      <c r="L1142" s="9"/>
      <c r="M1142" s="45">
        <v>123.8</v>
      </c>
    </row>
    <row r="1143">
      <c r="A1143" s="34" t="s">
        <v>70</v>
      </c>
      <c r="B1143" s="34" t="s">
        <v>116</v>
      </c>
      <c r="C1143" s="34">
        <v>63.0</v>
      </c>
      <c r="D1143" s="34" t="s">
        <v>1196</v>
      </c>
      <c r="E1143" s="34" t="s">
        <v>3090</v>
      </c>
      <c r="F1143" s="34" t="s">
        <v>3091</v>
      </c>
      <c r="G1143" s="34">
        <v>63113.0</v>
      </c>
      <c r="H1143" s="34" t="s">
        <v>1199</v>
      </c>
      <c r="I1143" s="34" t="s">
        <v>17</v>
      </c>
      <c r="J1143" s="34" t="s">
        <v>15</v>
      </c>
      <c r="K1143" s="45">
        <v>127.4</v>
      </c>
      <c r="L1143" s="9"/>
      <c r="M1143" s="45">
        <v>127.4</v>
      </c>
    </row>
    <row r="1144">
      <c r="A1144" s="34" t="s">
        <v>70</v>
      </c>
      <c r="B1144" s="34" t="s">
        <v>116</v>
      </c>
      <c r="C1144" s="34">
        <v>63.0</v>
      </c>
      <c r="D1144" s="34" t="s">
        <v>1196</v>
      </c>
      <c r="E1144" s="34" t="s">
        <v>3092</v>
      </c>
      <c r="F1144" s="34" t="s">
        <v>3093</v>
      </c>
      <c r="G1144" s="34">
        <v>63113.0</v>
      </c>
      <c r="H1144" s="34" t="s">
        <v>1199</v>
      </c>
      <c r="I1144" s="34" t="s">
        <v>17</v>
      </c>
      <c r="J1144" s="34" t="s">
        <v>13</v>
      </c>
      <c r="K1144" s="9"/>
      <c r="L1144" s="45">
        <v>92.2</v>
      </c>
      <c r="M1144" s="45">
        <v>92.2</v>
      </c>
    </row>
    <row r="1145">
      <c r="A1145" s="34" t="s">
        <v>70</v>
      </c>
      <c r="B1145" s="34" t="s">
        <v>116</v>
      </c>
      <c r="C1145" s="34">
        <v>63.0</v>
      </c>
      <c r="D1145" s="34" t="s">
        <v>1196</v>
      </c>
      <c r="E1145" s="34" t="s">
        <v>3094</v>
      </c>
      <c r="F1145" s="34" t="s">
        <v>3095</v>
      </c>
      <c r="G1145" s="34">
        <v>63075.0</v>
      </c>
      <c r="H1145" s="34" t="s">
        <v>3089</v>
      </c>
      <c r="I1145" s="34" t="s">
        <v>18</v>
      </c>
      <c r="J1145" s="34" t="s">
        <v>14</v>
      </c>
      <c r="K1145" s="45">
        <v>129.2</v>
      </c>
      <c r="L1145" s="45">
        <v>101.1</v>
      </c>
      <c r="M1145" s="45">
        <v>120.9</v>
      </c>
    </row>
    <row r="1146">
      <c r="A1146" s="34" t="s">
        <v>70</v>
      </c>
      <c r="B1146" s="34" t="s">
        <v>116</v>
      </c>
      <c r="C1146" s="34">
        <v>63.0</v>
      </c>
      <c r="D1146" s="34" t="s">
        <v>1196</v>
      </c>
      <c r="E1146" s="34" t="s">
        <v>3096</v>
      </c>
      <c r="F1146" s="34" t="s">
        <v>1490</v>
      </c>
      <c r="G1146" s="34">
        <v>63113.0</v>
      </c>
      <c r="H1146" s="34" t="s">
        <v>1199</v>
      </c>
      <c r="I1146" s="34" t="s">
        <v>17</v>
      </c>
      <c r="J1146" s="34" t="s">
        <v>15</v>
      </c>
      <c r="K1146" s="45">
        <v>144.7</v>
      </c>
      <c r="L1146" s="9"/>
      <c r="M1146" s="45">
        <v>144.7</v>
      </c>
    </row>
    <row r="1147">
      <c r="A1147" s="34" t="s">
        <v>70</v>
      </c>
      <c r="B1147" s="34" t="s">
        <v>377</v>
      </c>
      <c r="C1147" s="34">
        <v>64.0</v>
      </c>
      <c r="D1147" s="34" t="s">
        <v>1210</v>
      </c>
      <c r="E1147" s="34" t="s">
        <v>3097</v>
      </c>
      <c r="F1147" s="34" t="s">
        <v>3098</v>
      </c>
      <c r="G1147" s="34">
        <v>64102.0</v>
      </c>
      <c r="H1147" s="34" t="s">
        <v>1235</v>
      </c>
      <c r="I1147" s="34" t="s">
        <v>18</v>
      </c>
      <c r="J1147" s="34" t="s">
        <v>13</v>
      </c>
      <c r="K1147" s="9"/>
      <c r="L1147" s="45">
        <v>98.9</v>
      </c>
      <c r="M1147" s="45">
        <v>98.9</v>
      </c>
    </row>
    <row r="1148">
      <c r="A1148" s="34" t="s">
        <v>70</v>
      </c>
      <c r="B1148" s="34" t="s">
        <v>377</v>
      </c>
      <c r="C1148" s="34">
        <v>64.0</v>
      </c>
      <c r="D1148" s="34" t="s">
        <v>1210</v>
      </c>
      <c r="E1148" s="34" t="s">
        <v>3099</v>
      </c>
      <c r="F1148" s="34" t="s">
        <v>3100</v>
      </c>
      <c r="G1148" s="34">
        <v>64122.0</v>
      </c>
      <c r="H1148" s="34" t="s">
        <v>1243</v>
      </c>
      <c r="I1148" s="34" t="s">
        <v>18</v>
      </c>
      <c r="J1148" s="34" t="s">
        <v>15</v>
      </c>
      <c r="K1148" s="45">
        <v>126.4</v>
      </c>
      <c r="L1148" s="9"/>
      <c r="M1148" s="45">
        <v>126.4</v>
      </c>
    </row>
    <row r="1149">
      <c r="A1149" s="34" t="s">
        <v>70</v>
      </c>
      <c r="B1149" s="34" t="s">
        <v>377</v>
      </c>
      <c r="C1149" s="34">
        <v>64.0</v>
      </c>
      <c r="D1149" s="34" t="s">
        <v>1210</v>
      </c>
      <c r="E1149" s="34" t="s">
        <v>3101</v>
      </c>
      <c r="F1149" s="34" t="s">
        <v>3102</v>
      </c>
      <c r="G1149" s="34">
        <v>64371.0</v>
      </c>
      <c r="H1149" s="34" t="s">
        <v>3103</v>
      </c>
      <c r="I1149" s="34" t="s">
        <v>18</v>
      </c>
      <c r="J1149" s="34" t="s">
        <v>13</v>
      </c>
      <c r="K1149" s="9"/>
      <c r="L1149" s="45">
        <v>101.5</v>
      </c>
      <c r="M1149" s="45">
        <v>101.5</v>
      </c>
    </row>
    <row r="1150">
      <c r="A1150" s="34" t="s">
        <v>70</v>
      </c>
      <c r="B1150" s="34" t="s">
        <v>377</v>
      </c>
      <c r="C1150" s="34">
        <v>64.0</v>
      </c>
      <c r="D1150" s="34" t="s">
        <v>1210</v>
      </c>
      <c r="E1150" s="34" t="s">
        <v>3104</v>
      </c>
      <c r="F1150" s="34" t="s">
        <v>3105</v>
      </c>
      <c r="G1150" s="34">
        <v>64417.0</v>
      </c>
      <c r="H1150" s="34" t="s">
        <v>3106</v>
      </c>
      <c r="I1150" s="34" t="s">
        <v>18</v>
      </c>
      <c r="J1150" s="34" t="s">
        <v>15</v>
      </c>
      <c r="K1150" s="45">
        <v>125.4</v>
      </c>
      <c r="L1150" s="9"/>
      <c r="M1150" s="45">
        <v>125.4</v>
      </c>
    </row>
    <row r="1151">
      <c r="A1151" s="34" t="s">
        <v>70</v>
      </c>
      <c r="B1151" s="34" t="s">
        <v>377</v>
      </c>
      <c r="C1151" s="34">
        <v>64.0</v>
      </c>
      <c r="D1151" s="34" t="s">
        <v>1210</v>
      </c>
      <c r="E1151" s="34" t="s">
        <v>3107</v>
      </c>
      <c r="F1151" s="34" t="s">
        <v>3108</v>
      </c>
      <c r="G1151" s="34">
        <v>64422.0</v>
      </c>
      <c r="H1151" s="34" t="s">
        <v>1219</v>
      </c>
      <c r="I1151" s="34" t="s">
        <v>18</v>
      </c>
      <c r="J1151" s="34" t="s">
        <v>13</v>
      </c>
      <c r="K1151" s="9"/>
      <c r="L1151" s="45">
        <v>97.2</v>
      </c>
      <c r="M1151" s="45">
        <v>97.2</v>
      </c>
    </row>
    <row r="1152">
      <c r="A1152" s="34" t="s">
        <v>70</v>
      </c>
      <c r="B1152" s="34" t="s">
        <v>377</v>
      </c>
      <c r="C1152" s="34">
        <v>64.0</v>
      </c>
      <c r="D1152" s="34" t="s">
        <v>1210</v>
      </c>
      <c r="E1152" s="34" t="s">
        <v>3109</v>
      </c>
      <c r="F1152" s="34" t="s">
        <v>3110</v>
      </c>
      <c r="G1152" s="34">
        <v>64422.0</v>
      </c>
      <c r="H1152" s="34" t="s">
        <v>1219</v>
      </c>
      <c r="I1152" s="34" t="s">
        <v>18</v>
      </c>
      <c r="J1152" s="34" t="s">
        <v>13</v>
      </c>
      <c r="K1152" s="9"/>
      <c r="L1152" s="45">
        <v>86.1</v>
      </c>
      <c r="M1152" s="45">
        <v>86.1</v>
      </c>
    </row>
    <row r="1153">
      <c r="A1153" s="34" t="s">
        <v>70</v>
      </c>
      <c r="B1153" s="34" t="s">
        <v>377</v>
      </c>
      <c r="C1153" s="34">
        <v>64.0</v>
      </c>
      <c r="D1153" s="34" t="s">
        <v>1210</v>
      </c>
      <c r="E1153" s="34" t="s">
        <v>3111</v>
      </c>
      <c r="F1153" s="34" t="s">
        <v>3112</v>
      </c>
      <c r="G1153" s="34">
        <v>64270.0</v>
      </c>
      <c r="H1153" s="34" t="s">
        <v>3113</v>
      </c>
      <c r="I1153" s="34" t="s">
        <v>17</v>
      </c>
      <c r="J1153" s="34" t="s">
        <v>15</v>
      </c>
      <c r="K1153" s="45">
        <v>112.0</v>
      </c>
      <c r="L1153" s="9"/>
      <c r="M1153" s="45">
        <v>112.0</v>
      </c>
    </row>
    <row r="1154">
      <c r="A1154" s="34" t="s">
        <v>70</v>
      </c>
      <c r="B1154" s="34" t="s">
        <v>377</v>
      </c>
      <c r="C1154" s="34">
        <v>64.0</v>
      </c>
      <c r="D1154" s="34" t="s">
        <v>1210</v>
      </c>
      <c r="E1154" s="34" t="s">
        <v>3114</v>
      </c>
      <c r="F1154" s="34" t="s">
        <v>555</v>
      </c>
      <c r="G1154" s="34">
        <v>64417.0</v>
      </c>
      <c r="H1154" s="34" t="s">
        <v>3106</v>
      </c>
      <c r="I1154" s="34" t="s">
        <v>17</v>
      </c>
      <c r="J1154" s="34" t="s">
        <v>15</v>
      </c>
      <c r="K1154" s="45">
        <v>117.9</v>
      </c>
      <c r="L1154" s="9"/>
      <c r="M1154" s="45">
        <v>117.9</v>
      </c>
    </row>
    <row r="1155">
      <c r="A1155" s="34" t="s">
        <v>70</v>
      </c>
      <c r="B1155" s="34" t="s">
        <v>377</v>
      </c>
      <c r="C1155" s="34">
        <v>64.0</v>
      </c>
      <c r="D1155" s="34" t="s">
        <v>1210</v>
      </c>
      <c r="E1155" s="34" t="s">
        <v>3115</v>
      </c>
      <c r="F1155" s="34" t="s">
        <v>789</v>
      </c>
      <c r="G1155" s="34">
        <v>64445.0</v>
      </c>
      <c r="H1155" s="34" t="s">
        <v>1225</v>
      </c>
      <c r="I1155" s="34" t="s">
        <v>17</v>
      </c>
      <c r="J1155" s="34" t="s">
        <v>15</v>
      </c>
      <c r="K1155" s="45">
        <v>126.6</v>
      </c>
      <c r="L1155" s="9"/>
      <c r="M1155" s="45">
        <v>126.6</v>
      </c>
    </row>
    <row r="1156">
      <c r="A1156" s="34" t="s">
        <v>70</v>
      </c>
      <c r="B1156" s="34" t="s">
        <v>377</v>
      </c>
      <c r="C1156" s="34">
        <v>64.0</v>
      </c>
      <c r="D1156" s="34" t="s">
        <v>1210</v>
      </c>
      <c r="E1156" s="34" t="s">
        <v>3116</v>
      </c>
      <c r="F1156" s="34" t="s">
        <v>80</v>
      </c>
      <c r="G1156" s="34">
        <v>64547.0</v>
      </c>
      <c r="H1156" s="34" t="s">
        <v>3117</v>
      </c>
      <c r="I1156" s="34" t="s">
        <v>17</v>
      </c>
      <c r="J1156" s="34" t="s">
        <v>15</v>
      </c>
      <c r="K1156" s="45">
        <v>101.9</v>
      </c>
      <c r="L1156" s="9"/>
      <c r="M1156" s="45">
        <v>101.9</v>
      </c>
    </row>
    <row r="1157">
      <c r="A1157" s="34" t="s">
        <v>70</v>
      </c>
      <c r="B1157" s="34" t="s">
        <v>377</v>
      </c>
      <c r="C1157" s="34">
        <v>64.0</v>
      </c>
      <c r="D1157" s="34" t="s">
        <v>1210</v>
      </c>
      <c r="E1157" s="34" t="s">
        <v>3118</v>
      </c>
      <c r="F1157" s="34" t="s">
        <v>3119</v>
      </c>
      <c r="G1157" s="34">
        <v>64445.0</v>
      </c>
      <c r="H1157" s="34" t="s">
        <v>1225</v>
      </c>
      <c r="I1157" s="34" t="s">
        <v>17</v>
      </c>
      <c r="J1157" s="34" t="s">
        <v>13</v>
      </c>
      <c r="K1157" s="9"/>
      <c r="L1157" s="45">
        <v>91.0</v>
      </c>
      <c r="M1157" s="45">
        <v>91.0</v>
      </c>
    </row>
    <row r="1158">
      <c r="A1158" s="34" t="s">
        <v>70</v>
      </c>
      <c r="B1158" s="34" t="s">
        <v>377</v>
      </c>
      <c r="C1158" s="34">
        <v>64.0</v>
      </c>
      <c r="D1158" s="34" t="s">
        <v>1210</v>
      </c>
      <c r="E1158" s="34" t="s">
        <v>3120</v>
      </c>
      <c r="F1158" s="34" t="s">
        <v>3121</v>
      </c>
      <c r="G1158" s="34">
        <v>64024.0</v>
      </c>
      <c r="H1158" s="34" t="s">
        <v>1213</v>
      </c>
      <c r="I1158" s="34" t="s">
        <v>17</v>
      </c>
      <c r="J1158" s="34" t="s">
        <v>15</v>
      </c>
      <c r="K1158" s="45">
        <v>113.5</v>
      </c>
      <c r="L1158" s="9"/>
      <c r="M1158" s="45">
        <v>113.5</v>
      </c>
    </row>
    <row r="1159">
      <c r="A1159" s="34" t="s">
        <v>70</v>
      </c>
      <c r="B1159" s="34" t="s">
        <v>377</v>
      </c>
      <c r="C1159" s="34">
        <v>64.0</v>
      </c>
      <c r="D1159" s="34" t="s">
        <v>1210</v>
      </c>
      <c r="E1159" s="34" t="s">
        <v>3122</v>
      </c>
      <c r="F1159" s="34" t="s">
        <v>3123</v>
      </c>
      <c r="G1159" s="34">
        <v>64024.0</v>
      </c>
      <c r="H1159" s="34" t="s">
        <v>1213</v>
      </c>
      <c r="I1159" s="34" t="s">
        <v>17</v>
      </c>
      <c r="J1159" s="34" t="s">
        <v>13</v>
      </c>
      <c r="K1159" s="9"/>
      <c r="L1159" s="45">
        <v>100.5</v>
      </c>
      <c r="M1159" s="45">
        <v>100.5</v>
      </c>
    </row>
    <row r="1160">
      <c r="A1160" s="34" t="s">
        <v>70</v>
      </c>
      <c r="B1160" s="34" t="s">
        <v>377</v>
      </c>
      <c r="C1160" s="34">
        <v>64.0</v>
      </c>
      <c r="D1160" s="34" t="s">
        <v>1210</v>
      </c>
      <c r="E1160" s="34" t="s">
        <v>3124</v>
      </c>
      <c r="F1160" s="34" t="s">
        <v>3125</v>
      </c>
      <c r="G1160" s="34">
        <v>64445.0</v>
      </c>
      <c r="H1160" s="34" t="s">
        <v>1225</v>
      </c>
      <c r="I1160" s="34" t="s">
        <v>18</v>
      </c>
      <c r="J1160" s="34" t="s">
        <v>15</v>
      </c>
      <c r="K1160" s="45">
        <v>116.9</v>
      </c>
      <c r="L1160" s="9"/>
      <c r="M1160" s="45">
        <v>116.9</v>
      </c>
    </row>
    <row r="1161">
      <c r="A1161" s="34" t="s">
        <v>70</v>
      </c>
      <c r="B1161" s="34" t="s">
        <v>182</v>
      </c>
      <c r="C1161" s="34">
        <v>65.0</v>
      </c>
      <c r="D1161" s="34" t="s">
        <v>1246</v>
      </c>
      <c r="E1161" s="34" t="s">
        <v>3126</v>
      </c>
      <c r="F1161" s="34" t="s">
        <v>3127</v>
      </c>
      <c r="G1161" s="34">
        <v>65440.0</v>
      </c>
      <c r="H1161" s="34" t="s">
        <v>1252</v>
      </c>
      <c r="I1161" s="34" t="s">
        <v>18</v>
      </c>
      <c r="J1161" s="34" t="s">
        <v>13</v>
      </c>
      <c r="K1161" s="9"/>
      <c r="L1161" s="45">
        <v>86.6</v>
      </c>
      <c r="M1161" s="45">
        <v>86.6</v>
      </c>
    </row>
    <row r="1162">
      <c r="A1162" s="34" t="s">
        <v>70</v>
      </c>
      <c r="B1162" s="34" t="s">
        <v>182</v>
      </c>
      <c r="C1162" s="34">
        <v>65.0</v>
      </c>
      <c r="D1162" s="34" t="s">
        <v>1246</v>
      </c>
      <c r="E1162" s="34" t="s">
        <v>3128</v>
      </c>
      <c r="F1162" s="34" t="s">
        <v>272</v>
      </c>
      <c r="G1162" s="34">
        <v>65440.0</v>
      </c>
      <c r="H1162" s="34" t="s">
        <v>1252</v>
      </c>
      <c r="I1162" s="34" t="s">
        <v>17</v>
      </c>
      <c r="J1162" s="34" t="s">
        <v>15</v>
      </c>
      <c r="K1162" s="45">
        <v>119.1</v>
      </c>
      <c r="L1162" s="9"/>
      <c r="M1162" s="45">
        <v>119.1</v>
      </c>
    </row>
    <row r="1163">
      <c r="A1163" s="34" t="s">
        <v>70</v>
      </c>
      <c r="B1163" s="34" t="s">
        <v>182</v>
      </c>
      <c r="C1163" s="34">
        <v>65.0</v>
      </c>
      <c r="D1163" s="34" t="s">
        <v>1246</v>
      </c>
      <c r="E1163" s="34" t="s">
        <v>3129</v>
      </c>
      <c r="F1163" s="34" t="s">
        <v>3130</v>
      </c>
      <c r="G1163" s="34">
        <v>65440.0</v>
      </c>
      <c r="H1163" s="34" t="s">
        <v>1252</v>
      </c>
      <c r="I1163" s="34" t="s">
        <v>17</v>
      </c>
      <c r="J1163" s="34" t="s">
        <v>15</v>
      </c>
      <c r="K1163" s="45">
        <v>98.7</v>
      </c>
      <c r="L1163" s="9"/>
      <c r="M1163" s="45">
        <v>98.7</v>
      </c>
    </row>
    <row r="1164">
      <c r="A1164" s="34" t="s">
        <v>70</v>
      </c>
      <c r="B1164" s="34" t="s">
        <v>483</v>
      </c>
      <c r="C1164" s="34">
        <v>66.0</v>
      </c>
      <c r="D1164" s="34" t="s">
        <v>1255</v>
      </c>
      <c r="E1164" s="34" t="s">
        <v>3131</v>
      </c>
      <c r="F1164" s="34" t="s">
        <v>3132</v>
      </c>
      <c r="G1164" s="34">
        <v>66149.0</v>
      </c>
      <c r="H1164" s="34" t="s">
        <v>3133</v>
      </c>
      <c r="I1164" s="34" t="s">
        <v>18</v>
      </c>
      <c r="J1164" s="34" t="s">
        <v>14</v>
      </c>
      <c r="K1164" s="45">
        <v>112.3</v>
      </c>
      <c r="L1164" s="45">
        <v>85.0</v>
      </c>
      <c r="M1164" s="45">
        <v>100.9</v>
      </c>
    </row>
    <row r="1165">
      <c r="A1165" s="34" t="s">
        <v>70</v>
      </c>
      <c r="B1165" s="34" t="s">
        <v>483</v>
      </c>
      <c r="C1165" s="34">
        <v>66.0</v>
      </c>
      <c r="D1165" s="34" t="s">
        <v>1255</v>
      </c>
      <c r="E1165" s="34" t="s">
        <v>3134</v>
      </c>
      <c r="F1165" s="34" t="s">
        <v>3135</v>
      </c>
      <c r="G1165" s="34">
        <v>66136.0</v>
      </c>
      <c r="H1165" s="34" t="s">
        <v>1258</v>
      </c>
      <c r="I1165" s="34" t="s">
        <v>18</v>
      </c>
      <c r="J1165" s="34" t="s">
        <v>13</v>
      </c>
      <c r="K1165" s="9"/>
      <c r="L1165" s="45">
        <v>78.9</v>
      </c>
      <c r="M1165" s="45">
        <v>78.9</v>
      </c>
    </row>
    <row r="1166">
      <c r="A1166" s="34" t="s">
        <v>70</v>
      </c>
      <c r="B1166" s="34" t="s">
        <v>483</v>
      </c>
      <c r="C1166" s="34">
        <v>66.0</v>
      </c>
      <c r="D1166" s="34" t="s">
        <v>1255</v>
      </c>
      <c r="E1166" s="34" t="s">
        <v>3136</v>
      </c>
      <c r="F1166" s="34" t="s">
        <v>3137</v>
      </c>
      <c r="G1166" s="34">
        <v>66136.0</v>
      </c>
      <c r="H1166" s="34" t="s">
        <v>1258</v>
      </c>
      <c r="I1166" s="34" t="s">
        <v>17</v>
      </c>
      <c r="J1166" s="34" t="s">
        <v>15</v>
      </c>
      <c r="K1166" s="45">
        <v>127.5</v>
      </c>
      <c r="L1166" s="9"/>
      <c r="M1166" s="45">
        <v>127.5</v>
      </c>
    </row>
    <row r="1167">
      <c r="A1167" s="34" t="s">
        <v>70</v>
      </c>
      <c r="B1167" s="34" t="s">
        <v>483</v>
      </c>
      <c r="C1167" s="34">
        <v>66.0</v>
      </c>
      <c r="D1167" s="34" t="s">
        <v>1255</v>
      </c>
      <c r="E1167" s="34" t="s">
        <v>3138</v>
      </c>
      <c r="F1167" s="34" t="s">
        <v>3139</v>
      </c>
      <c r="G1167" s="34">
        <v>66037.0</v>
      </c>
      <c r="H1167" s="34" t="s">
        <v>3140</v>
      </c>
      <c r="I1167" s="34" t="s">
        <v>18</v>
      </c>
      <c r="J1167" s="34" t="s">
        <v>14</v>
      </c>
      <c r="K1167" s="45">
        <v>108.6</v>
      </c>
      <c r="L1167" s="45">
        <v>91.0</v>
      </c>
      <c r="M1167" s="45">
        <v>105.4</v>
      </c>
    </row>
    <row r="1168">
      <c r="A1168" s="34" t="s">
        <v>70</v>
      </c>
      <c r="B1168" s="34" t="s">
        <v>483</v>
      </c>
      <c r="C1168" s="34">
        <v>66.0</v>
      </c>
      <c r="D1168" s="34" t="s">
        <v>1255</v>
      </c>
      <c r="E1168" s="34" t="s">
        <v>3141</v>
      </c>
      <c r="F1168" s="34" t="s">
        <v>3142</v>
      </c>
      <c r="G1168" s="34">
        <v>66171.0</v>
      </c>
      <c r="H1168" s="34" t="s">
        <v>3143</v>
      </c>
      <c r="I1168" s="34" t="s">
        <v>17</v>
      </c>
      <c r="J1168" s="34" t="s">
        <v>15</v>
      </c>
      <c r="K1168" s="45">
        <v>123.6</v>
      </c>
      <c r="L1168" s="9"/>
      <c r="M1168" s="45">
        <v>123.6</v>
      </c>
    </row>
    <row r="1169">
      <c r="A1169" s="34" t="s">
        <v>70</v>
      </c>
      <c r="B1169" s="34" t="s">
        <v>1259</v>
      </c>
      <c r="C1169" s="34">
        <v>67.0</v>
      </c>
      <c r="D1169" s="34" t="s">
        <v>1260</v>
      </c>
      <c r="E1169" s="34" t="s">
        <v>3144</v>
      </c>
      <c r="F1169" s="34" t="s">
        <v>3145</v>
      </c>
      <c r="G1169" s="34">
        <v>67482.0</v>
      </c>
      <c r="H1169" s="34" t="s">
        <v>1259</v>
      </c>
      <c r="I1169" s="34" t="s">
        <v>18</v>
      </c>
      <c r="J1169" s="34" t="s">
        <v>13</v>
      </c>
      <c r="K1169" s="9"/>
      <c r="L1169" s="45">
        <v>76.9</v>
      </c>
      <c r="M1169" s="45">
        <v>76.9</v>
      </c>
    </row>
    <row r="1170">
      <c r="A1170" s="34" t="s">
        <v>70</v>
      </c>
      <c r="B1170" s="34" t="s">
        <v>1259</v>
      </c>
      <c r="C1170" s="34">
        <v>67.0</v>
      </c>
      <c r="D1170" s="34" t="s">
        <v>1260</v>
      </c>
      <c r="E1170" s="34" t="s">
        <v>3146</v>
      </c>
      <c r="F1170" s="34" t="s">
        <v>3147</v>
      </c>
      <c r="G1170" s="34">
        <v>67180.0</v>
      </c>
      <c r="H1170" s="34" t="s">
        <v>3148</v>
      </c>
      <c r="I1170" s="34" t="s">
        <v>18</v>
      </c>
      <c r="J1170" s="34" t="s">
        <v>14</v>
      </c>
      <c r="K1170" s="45">
        <v>117.9</v>
      </c>
      <c r="L1170" s="45">
        <v>84.8</v>
      </c>
      <c r="M1170" s="45">
        <v>105.8</v>
      </c>
    </row>
    <row r="1171">
      <c r="A1171" s="34" t="s">
        <v>70</v>
      </c>
      <c r="B1171" s="34" t="s">
        <v>1259</v>
      </c>
      <c r="C1171" s="34">
        <v>67.0</v>
      </c>
      <c r="D1171" s="34" t="s">
        <v>1260</v>
      </c>
      <c r="E1171" s="34" t="s">
        <v>3149</v>
      </c>
      <c r="F1171" s="34" t="s">
        <v>3150</v>
      </c>
      <c r="G1171" s="34">
        <v>67482.0</v>
      </c>
      <c r="H1171" s="34" t="s">
        <v>1259</v>
      </c>
      <c r="I1171" s="34" t="s">
        <v>17</v>
      </c>
      <c r="J1171" s="34" t="s">
        <v>15</v>
      </c>
      <c r="K1171" s="45">
        <v>124.3</v>
      </c>
      <c r="L1171" s="9"/>
      <c r="M1171" s="45">
        <v>124.3</v>
      </c>
    </row>
    <row r="1172">
      <c r="A1172" s="34" t="s">
        <v>70</v>
      </c>
      <c r="B1172" s="34" t="s">
        <v>1259</v>
      </c>
      <c r="C1172" s="34">
        <v>67.0</v>
      </c>
      <c r="D1172" s="34" t="s">
        <v>1260</v>
      </c>
      <c r="E1172" s="34" t="s">
        <v>3151</v>
      </c>
      <c r="F1172" s="34" t="s">
        <v>3152</v>
      </c>
      <c r="G1172" s="34">
        <v>67482.0</v>
      </c>
      <c r="H1172" s="34" t="s">
        <v>1259</v>
      </c>
      <c r="I1172" s="34" t="s">
        <v>17</v>
      </c>
      <c r="J1172" s="34" t="s">
        <v>15</v>
      </c>
      <c r="K1172" s="45">
        <v>116.8</v>
      </c>
      <c r="L1172" s="9"/>
      <c r="M1172" s="45">
        <v>116.8</v>
      </c>
    </row>
    <row r="1173">
      <c r="A1173" s="34" t="s">
        <v>70</v>
      </c>
      <c r="B1173" s="34" t="s">
        <v>1259</v>
      </c>
      <c r="C1173" s="34">
        <v>67.0</v>
      </c>
      <c r="D1173" s="34" t="s">
        <v>1260</v>
      </c>
      <c r="E1173" s="34" t="s">
        <v>3153</v>
      </c>
      <c r="F1173" s="34" t="s">
        <v>3154</v>
      </c>
      <c r="G1173" s="34">
        <v>67180.0</v>
      </c>
      <c r="H1173" s="34" t="s">
        <v>3148</v>
      </c>
      <c r="I1173" s="34" t="s">
        <v>17</v>
      </c>
      <c r="J1173" s="34" t="s">
        <v>13</v>
      </c>
      <c r="K1173" s="9"/>
      <c r="L1173" s="45">
        <v>111.4</v>
      </c>
      <c r="M1173" s="45">
        <v>111.4</v>
      </c>
    </row>
    <row r="1174">
      <c r="A1174" s="34" t="s">
        <v>70</v>
      </c>
      <c r="B1174" s="34" t="s">
        <v>1259</v>
      </c>
      <c r="C1174" s="34">
        <v>67.0</v>
      </c>
      <c r="D1174" s="34" t="s">
        <v>1260</v>
      </c>
      <c r="E1174" s="34" t="s">
        <v>3155</v>
      </c>
      <c r="F1174" s="34" t="s">
        <v>3156</v>
      </c>
      <c r="G1174" s="34">
        <v>67437.0</v>
      </c>
      <c r="H1174" s="34" t="s">
        <v>3157</v>
      </c>
      <c r="I1174" s="34" t="s">
        <v>18</v>
      </c>
      <c r="J1174" s="34" t="s">
        <v>14</v>
      </c>
      <c r="K1174" s="45">
        <v>120.7</v>
      </c>
      <c r="L1174" s="45">
        <v>100.2</v>
      </c>
      <c r="M1174" s="45">
        <v>118.1</v>
      </c>
    </row>
    <row r="1175">
      <c r="A1175" s="34" t="s">
        <v>70</v>
      </c>
      <c r="B1175" s="34" t="s">
        <v>1259</v>
      </c>
      <c r="C1175" s="34">
        <v>67.0</v>
      </c>
      <c r="D1175" s="34" t="s">
        <v>1260</v>
      </c>
      <c r="E1175" s="34" t="s">
        <v>3158</v>
      </c>
      <c r="F1175" s="34" t="s">
        <v>3159</v>
      </c>
      <c r="G1175" s="34">
        <v>67447.0</v>
      </c>
      <c r="H1175" s="34" t="s">
        <v>3160</v>
      </c>
      <c r="I1175" s="34" t="s">
        <v>17</v>
      </c>
      <c r="J1175" s="34" t="s">
        <v>13</v>
      </c>
      <c r="K1175" s="9"/>
      <c r="L1175" s="45">
        <v>100.9</v>
      </c>
      <c r="M1175" s="45">
        <v>100.9</v>
      </c>
    </row>
    <row r="1176">
      <c r="A1176" s="34" t="s">
        <v>70</v>
      </c>
      <c r="B1176" s="34" t="s">
        <v>1259</v>
      </c>
      <c r="C1176" s="34">
        <v>67.0</v>
      </c>
      <c r="D1176" s="34" t="s">
        <v>1260</v>
      </c>
      <c r="E1176" s="34" t="s">
        <v>3161</v>
      </c>
      <c r="F1176" s="34" t="s">
        <v>3162</v>
      </c>
      <c r="G1176" s="34">
        <v>67300.0</v>
      </c>
      <c r="H1176" s="34" t="s">
        <v>3163</v>
      </c>
      <c r="I1176" s="34" t="s">
        <v>18</v>
      </c>
      <c r="J1176" s="34" t="s">
        <v>14</v>
      </c>
      <c r="K1176" s="45">
        <v>118.0</v>
      </c>
      <c r="L1176" s="45">
        <v>90.1</v>
      </c>
      <c r="M1176" s="45">
        <v>109.6</v>
      </c>
    </row>
    <row r="1177">
      <c r="A1177" s="34" t="s">
        <v>70</v>
      </c>
      <c r="B1177" s="34" t="s">
        <v>1259</v>
      </c>
      <c r="C1177" s="34">
        <v>68.0</v>
      </c>
      <c r="D1177" s="34" t="s">
        <v>1281</v>
      </c>
      <c r="E1177" s="34" t="s">
        <v>3164</v>
      </c>
      <c r="F1177" s="34" t="s">
        <v>1566</v>
      </c>
      <c r="G1177" s="34">
        <v>68066.0</v>
      </c>
      <c r="H1177" s="34" t="s">
        <v>1287</v>
      </c>
      <c r="I1177" s="34" t="s">
        <v>18</v>
      </c>
      <c r="J1177" s="34" t="s">
        <v>14</v>
      </c>
      <c r="K1177" s="45">
        <v>108.1</v>
      </c>
      <c r="L1177" s="45">
        <v>82.2</v>
      </c>
      <c r="M1177" s="45">
        <v>99.1</v>
      </c>
    </row>
    <row r="1178">
      <c r="A1178" s="34" t="s">
        <v>70</v>
      </c>
      <c r="B1178" s="34" t="s">
        <v>1259</v>
      </c>
      <c r="C1178" s="34">
        <v>68.0</v>
      </c>
      <c r="D1178" s="34" t="s">
        <v>1281</v>
      </c>
      <c r="E1178" s="34" t="s">
        <v>3165</v>
      </c>
      <c r="F1178" s="34" t="s">
        <v>3166</v>
      </c>
      <c r="G1178" s="34">
        <v>68224.0</v>
      </c>
      <c r="H1178" s="34" t="s">
        <v>1292</v>
      </c>
      <c r="I1178" s="34" t="s">
        <v>18</v>
      </c>
      <c r="J1178" s="34" t="s">
        <v>15</v>
      </c>
      <c r="K1178" s="45">
        <v>103.4</v>
      </c>
      <c r="L1178" s="9"/>
      <c r="M1178" s="45">
        <v>103.4</v>
      </c>
    </row>
    <row r="1179">
      <c r="A1179" s="34" t="s">
        <v>70</v>
      </c>
      <c r="B1179" s="34" t="s">
        <v>1259</v>
      </c>
      <c r="C1179" s="34">
        <v>68.0</v>
      </c>
      <c r="D1179" s="34" t="s">
        <v>1281</v>
      </c>
      <c r="E1179" s="34" t="s">
        <v>3167</v>
      </c>
      <c r="F1179" s="34" t="s">
        <v>3168</v>
      </c>
      <c r="G1179" s="34">
        <v>68224.0</v>
      </c>
      <c r="H1179" s="34" t="s">
        <v>1292</v>
      </c>
      <c r="I1179" s="34" t="s">
        <v>18</v>
      </c>
      <c r="J1179" s="34" t="s">
        <v>13</v>
      </c>
      <c r="K1179" s="9"/>
      <c r="L1179" s="45">
        <v>72.5</v>
      </c>
      <c r="M1179" s="45">
        <v>72.5</v>
      </c>
    </row>
    <row r="1180">
      <c r="A1180" s="34" t="s">
        <v>70</v>
      </c>
      <c r="B1180" s="34" t="s">
        <v>1259</v>
      </c>
      <c r="C1180" s="34">
        <v>68.0</v>
      </c>
      <c r="D1180" s="34" t="s">
        <v>1281</v>
      </c>
      <c r="E1180" s="34" t="s">
        <v>3169</v>
      </c>
      <c r="F1180" s="34" t="s">
        <v>2540</v>
      </c>
      <c r="G1180" s="34">
        <v>68297.0</v>
      </c>
      <c r="H1180" s="34" t="s">
        <v>2060</v>
      </c>
      <c r="I1180" s="34" t="s">
        <v>18</v>
      </c>
      <c r="J1180" s="34" t="s">
        <v>14</v>
      </c>
      <c r="K1180" s="45">
        <v>111.2</v>
      </c>
      <c r="L1180" s="45">
        <v>83.0</v>
      </c>
      <c r="M1180" s="45">
        <v>105.0</v>
      </c>
    </row>
    <row r="1181">
      <c r="A1181" s="34" t="s">
        <v>70</v>
      </c>
      <c r="B1181" s="34" t="s">
        <v>1259</v>
      </c>
      <c r="C1181" s="34">
        <v>68.0</v>
      </c>
      <c r="D1181" s="34" t="s">
        <v>1281</v>
      </c>
      <c r="E1181" s="34" t="s">
        <v>3170</v>
      </c>
      <c r="F1181" s="34" t="s">
        <v>3171</v>
      </c>
      <c r="G1181" s="34">
        <v>68334.0</v>
      </c>
      <c r="H1181" s="34" t="s">
        <v>1301</v>
      </c>
      <c r="I1181" s="34" t="s">
        <v>18</v>
      </c>
      <c r="J1181" s="34" t="s">
        <v>13</v>
      </c>
      <c r="K1181" s="9"/>
      <c r="L1181" s="45">
        <v>82.4</v>
      </c>
      <c r="M1181" s="45">
        <v>82.4</v>
      </c>
    </row>
    <row r="1182">
      <c r="A1182" s="34" t="s">
        <v>70</v>
      </c>
      <c r="B1182" s="34" t="s">
        <v>1259</v>
      </c>
      <c r="C1182" s="34">
        <v>68.0</v>
      </c>
      <c r="D1182" s="34" t="s">
        <v>1281</v>
      </c>
      <c r="E1182" s="34" t="s">
        <v>3172</v>
      </c>
      <c r="F1182" s="34" t="s">
        <v>3173</v>
      </c>
      <c r="G1182" s="34">
        <v>68066.0</v>
      </c>
      <c r="H1182" s="34" t="s">
        <v>1287</v>
      </c>
      <c r="I1182" s="34" t="s">
        <v>17</v>
      </c>
      <c r="J1182" s="34" t="s">
        <v>13</v>
      </c>
      <c r="K1182" s="9"/>
      <c r="L1182" s="45">
        <v>95.5</v>
      </c>
      <c r="M1182" s="45">
        <v>95.5</v>
      </c>
    </row>
    <row r="1183">
      <c r="A1183" s="34" t="s">
        <v>70</v>
      </c>
      <c r="B1183" s="34" t="s">
        <v>1259</v>
      </c>
      <c r="C1183" s="34">
        <v>68.0</v>
      </c>
      <c r="D1183" s="34" t="s">
        <v>1281</v>
      </c>
      <c r="E1183" s="34" t="s">
        <v>3174</v>
      </c>
      <c r="F1183" s="34" t="s">
        <v>3175</v>
      </c>
      <c r="G1183" s="34">
        <v>68224.0</v>
      </c>
      <c r="H1183" s="34" t="s">
        <v>1292</v>
      </c>
      <c r="I1183" s="34" t="s">
        <v>17</v>
      </c>
      <c r="J1183" s="34" t="s">
        <v>15</v>
      </c>
      <c r="K1183" s="45">
        <v>111.3</v>
      </c>
      <c r="L1183" s="9"/>
      <c r="M1183" s="45">
        <v>111.3</v>
      </c>
    </row>
    <row r="1184">
      <c r="A1184" s="34" t="s">
        <v>70</v>
      </c>
      <c r="B1184" s="34" t="s">
        <v>71</v>
      </c>
      <c r="C1184" s="34">
        <v>69.0</v>
      </c>
      <c r="D1184" s="34" t="s">
        <v>1316</v>
      </c>
      <c r="E1184" s="34" t="s">
        <v>3176</v>
      </c>
      <c r="F1184" s="34" t="s">
        <v>3177</v>
      </c>
      <c r="G1184" s="34">
        <v>69029.0</v>
      </c>
      <c r="H1184" s="34" t="s">
        <v>3178</v>
      </c>
      <c r="I1184" s="34" t="s">
        <v>18</v>
      </c>
      <c r="J1184" s="34" t="s">
        <v>13</v>
      </c>
      <c r="K1184" s="9"/>
      <c r="L1184" s="45">
        <v>81.0</v>
      </c>
      <c r="M1184" s="45">
        <v>81.0</v>
      </c>
    </row>
    <row r="1185">
      <c r="A1185" s="34" t="s">
        <v>70</v>
      </c>
      <c r="B1185" s="34" t="s">
        <v>71</v>
      </c>
      <c r="C1185" s="34">
        <v>69.0</v>
      </c>
      <c r="D1185" s="34" t="s">
        <v>1316</v>
      </c>
      <c r="E1185" s="34" t="s">
        <v>3179</v>
      </c>
      <c r="F1185" s="34" t="s">
        <v>3180</v>
      </c>
      <c r="G1185" s="34">
        <v>69386.0</v>
      </c>
      <c r="H1185" s="34" t="s">
        <v>3181</v>
      </c>
      <c r="I1185" s="34" t="s">
        <v>18</v>
      </c>
      <c r="J1185" s="34" t="s">
        <v>15</v>
      </c>
      <c r="K1185" s="45">
        <v>129.1</v>
      </c>
      <c r="L1185" s="9"/>
      <c r="M1185" s="45">
        <v>129.1</v>
      </c>
    </row>
    <row r="1186">
      <c r="A1186" s="34" t="s">
        <v>70</v>
      </c>
      <c r="B1186" s="34" t="s">
        <v>71</v>
      </c>
      <c r="C1186" s="34">
        <v>69.0</v>
      </c>
      <c r="D1186" s="34" t="s">
        <v>1316</v>
      </c>
      <c r="E1186" s="34" t="s">
        <v>3182</v>
      </c>
      <c r="F1186" s="34" t="s">
        <v>3183</v>
      </c>
      <c r="G1186" s="34">
        <v>69385.0</v>
      </c>
      <c r="H1186" s="34" t="s">
        <v>1340</v>
      </c>
      <c r="I1186" s="34" t="s">
        <v>18</v>
      </c>
      <c r="J1186" s="34" t="s">
        <v>15</v>
      </c>
      <c r="K1186" s="45">
        <v>131.8</v>
      </c>
      <c r="L1186" s="9"/>
      <c r="M1186" s="45">
        <v>131.8</v>
      </c>
    </row>
    <row r="1187">
      <c r="A1187" s="34" t="s">
        <v>70</v>
      </c>
      <c r="B1187" s="34" t="s">
        <v>71</v>
      </c>
      <c r="C1187" s="34">
        <v>69.0</v>
      </c>
      <c r="D1187" s="34" t="s">
        <v>1316</v>
      </c>
      <c r="E1187" s="34" t="s">
        <v>3184</v>
      </c>
      <c r="F1187" s="34" t="s">
        <v>3185</v>
      </c>
      <c r="G1187" s="34">
        <v>69382.0</v>
      </c>
      <c r="H1187" s="34" t="s">
        <v>1350</v>
      </c>
      <c r="I1187" s="34" t="s">
        <v>18</v>
      </c>
      <c r="J1187" s="34" t="s">
        <v>15</v>
      </c>
      <c r="K1187" s="45">
        <v>105.6</v>
      </c>
      <c r="L1187" s="9"/>
      <c r="M1187" s="45">
        <v>105.6</v>
      </c>
    </row>
    <row r="1188">
      <c r="A1188" s="34" t="s">
        <v>70</v>
      </c>
      <c r="B1188" s="34" t="s">
        <v>71</v>
      </c>
      <c r="C1188" s="34">
        <v>69.0</v>
      </c>
      <c r="D1188" s="34" t="s">
        <v>1316</v>
      </c>
      <c r="E1188" s="34" t="s">
        <v>3186</v>
      </c>
      <c r="F1188" s="34" t="s">
        <v>3187</v>
      </c>
      <c r="G1188" s="34">
        <v>69388.0</v>
      </c>
      <c r="H1188" s="34" t="s">
        <v>1328</v>
      </c>
      <c r="I1188" s="34" t="s">
        <v>18</v>
      </c>
      <c r="J1188" s="34" t="s">
        <v>15</v>
      </c>
      <c r="K1188" s="45">
        <v>90.2</v>
      </c>
      <c r="L1188" s="9"/>
      <c r="M1188" s="45">
        <v>90.2</v>
      </c>
    </row>
    <row r="1189">
      <c r="A1189" s="34" t="s">
        <v>70</v>
      </c>
      <c r="B1189" s="34" t="s">
        <v>71</v>
      </c>
      <c r="C1189" s="34">
        <v>69.0</v>
      </c>
      <c r="D1189" s="34" t="s">
        <v>1316</v>
      </c>
      <c r="E1189" s="34" t="s">
        <v>3188</v>
      </c>
      <c r="F1189" s="34" t="s">
        <v>3189</v>
      </c>
      <c r="G1189" s="34">
        <v>69381.0</v>
      </c>
      <c r="H1189" s="34" t="s">
        <v>1334</v>
      </c>
      <c r="I1189" s="34" t="s">
        <v>18</v>
      </c>
      <c r="J1189" s="34" t="s">
        <v>14</v>
      </c>
      <c r="K1189" s="45">
        <v>105.2</v>
      </c>
      <c r="L1189" s="45">
        <v>85.3</v>
      </c>
      <c r="M1189" s="45">
        <v>87.3</v>
      </c>
    </row>
    <row r="1190">
      <c r="A1190" s="34" t="s">
        <v>70</v>
      </c>
      <c r="B1190" s="34" t="s">
        <v>71</v>
      </c>
      <c r="C1190" s="34">
        <v>69.0</v>
      </c>
      <c r="D1190" s="34" t="s">
        <v>1316</v>
      </c>
      <c r="E1190" s="34" t="s">
        <v>3190</v>
      </c>
      <c r="F1190" s="34" t="s">
        <v>3191</v>
      </c>
      <c r="G1190" s="34">
        <v>69243.0</v>
      </c>
      <c r="H1190" s="34" t="s">
        <v>1373</v>
      </c>
      <c r="I1190" s="34" t="s">
        <v>18</v>
      </c>
      <c r="J1190" s="34" t="s">
        <v>14</v>
      </c>
      <c r="K1190" s="45">
        <v>116.8</v>
      </c>
      <c r="L1190" s="45">
        <v>85.1</v>
      </c>
      <c r="M1190" s="45">
        <v>109.4</v>
      </c>
    </row>
    <row r="1191">
      <c r="A1191" s="34" t="s">
        <v>70</v>
      </c>
      <c r="B1191" s="34" t="s">
        <v>71</v>
      </c>
      <c r="C1191" s="34">
        <v>69.0</v>
      </c>
      <c r="D1191" s="34" t="s">
        <v>1316</v>
      </c>
      <c r="E1191" s="34" t="s">
        <v>3192</v>
      </c>
      <c r="F1191" s="34" t="s">
        <v>3193</v>
      </c>
      <c r="G1191" s="34">
        <v>69259.0</v>
      </c>
      <c r="H1191" s="34" t="s">
        <v>3194</v>
      </c>
      <c r="I1191" s="34" t="s">
        <v>18</v>
      </c>
      <c r="J1191" s="34" t="s">
        <v>13</v>
      </c>
      <c r="K1191" s="9"/>
      <c r="L1191" s="45">
        <v>75.8</v>
      </c>
      <c r="M1191" s="45">
        <v>75.8</v>
      </c>
    </row>
    <row r="1192">
      <c r="A1192" s="34" t="s">
        <v>70</v>
      </c>
      <c r="B1192" s="34" t="s">
        <v>71</v>
      </c>
      <c r="C1192" s="34">
        <v>69.0</v>
      </c>
      <c r="D1192" s="34" t="s">
        <v>1316</v>
      </c>
      <c r="E1192" s="34" t="s">
        <v>3195</v>
      </c>
      <c r="F1192" s="34" t="s">
        <v>3196</v>
      </c>
      <c r="G1192" s="34">
        <v>69264.0</v>
      </c>
      <c r="H1192" s="34" t="s">
        <v>1356</v>
      </c>
      <c r="I1192" s="34" t="s">
        <v>18</v>
      </c>
      <c r="J1192" s="34" t="s">
        <v>14</v>
      </c>
      <c r="K1192" s="45">
        <v>102.5</v>
      </c>
      <c r="L1192" s="45">
        <v>88.4</v>
      </c>
      <c r="M1192" s="45">
        <v>99.9</v>
      </c>
    </row>
    <row r="1193">
      <c r="A1193" s="34" t="s">
        <v>70</v>
      </c>
      <c r="B1193" s="34" t="s">
        <v>71</v>
      </c>
      <c r="C1193" s="34">
        <v>69.0</v>
      </c>
      <c r="D1193" s="34" t="s">
        <v>1316</v>
      </c>
      <c r="E1193" s="34" t="s">
        <v>3197</v>
      </c>
      <c r="F1193" s="34" t="s">
        <v>3198</v>
      </c>
      <c r="G1193" s="34">
        <v>69266.0</v>
      </c>
      <c r="H1193" s="34" t="s">
        <v>1337</v>
      </c>
      <c r="I1193" s="34" t="s">
        <v>18</v>
      </c>
      <c r="J1193" s="34" t="s">
        <v>14</v>
      </c>
      <c r="K1193" s="45">
        <v>90.6</v>
      </c>
      <c r="L1193" s="45">
        <v>81.2</v>
      </c>
      <c r="M1193" s="45">
        <v>89.0</v>
      </c>
    </row>
    <row r="1194">
      <c r="A1194" s="34" t="s">
        <v>70</v>
      </c>
      <c r="B1194" s="34" t="s">
        <v>71</v>
      </c>
      <c r="C1194" s="34">
        <v>69.0</v>
      </c>
      <c r="D1194" s="34" t="s">
        <v>1316</v>
      </c>
      <c r="E1194" s="34" t="s">
        <v>3199</v>
      </c>
      <c r="F1194" s="34" t="s">
        <v>3200</v>
      </c>
      <c r="G1194" s="34">
        <v>69029.0</v>
      </c>
      <c r="H1194" s="34" t="s">
        <v>3178</v>
      </c>
      <c r="I1194" s="34" t="s">
        <v>18</v>
      </c>
      <c r="J1194" s="34" t="s">
        <v>13</v>
      </c>
      <c r="K1194" s="9"/>
      <c r="L1194" s="45">
        <v>80.5</v>
      </c>
      <c r="M1194" s="45">
        <v>80.5</v>
      </c>
    </row>
    <row r="1195">
      <c r="A1195" s="34" t="s">
        <v>70</v>
      </c>
      <c r="B1195" s="34" t="s">
        <v>71</v>
      </c>
      <c r="C1195" s="34">
        <v>69.0</v>
      </c>
      <c r="D1195" s="34" t="s">
        <v>1316</v>
      </c>
      <c r="E1195" s="34" t="s">
        <v>3201</v>
      </c>
      <c r="F1195" s="34" t="s">
        <v>3202</v>
      </c>
      <c r="G1195" s="34">
        <v>69388.0</v>
      </c>
      <c r="H1195" s="34" t="s">
        <v>1328</v>
      </c>
      <c r="I1195" s="34" t="s">
        <v>17</v>
      </c>
      <c r="J1195" s="34" t="s">
        <v>15</v>
      </c>
      <c r="K1195" s="45">
        <v>117.5</v>
      </c>
      <c r="L1195" s="9"/>
      <c r="M1195" s="45">
        <v>117.5</v>
      </c>
    </row>
    <row r="1196">
      <c r="A1196" s="34" t="s">
        <v>70</v>
      </c>
      <c r="B1196" s="34" t="s">
        <v>71</v>
      </c>
      <c r="C1196" s="34">
        <v>69.0</v>
      </c>
      <c r="D1196" s="34" t="s">
        <v>1316</v>
      </c>
      <c r="E1196" s="34" t="s">
        <v>3203</v>
      </c>
      <c r="F1196" s="34" t="s">
        <v>3204</v>
      </c>
      <c r="G1196" s="34">
        <v>69143.0</v>
      </c>
      <c r="H1196" s="34" t="s">
        <v>3205</v>
      </c>
      <c r="I1196" s="34" t="s">
        <v>17</v>
      </c>
      <c r="J1196" s="34" t="s">
        <v>15</v>
      </c>
      <c r="K1196" s="45">
        <v>145.2</v>
      </c>
      <c r="L1196" s="9"/>
      <c r="M1196" s="45">
        <v>145.2</v>
      </c>
    </row>
    <row r="1197">
      <c r="A1197" s="34" t="s">
        <v>70</v>
      </c>
      <c r="B1197" s="34" t="s">
        <v>71</v>
      </c>
      <c r="C1197" s="34">
        <v>69.0</v>
      </c>
      <c r="D1197" s="34" t="s">
        <v>1316</v>
      </c>
      <c r="E1197" s="34" t="s">
        <v>3206</v>
      </c>
      <c r="F1197" s="34" t="s">
        <v>3207</v>
      </c>
      <c r="G1197" s="34">
        <v>69264.0</v>
      </c>
      <c r="H1197" s="34" t="s">
        <v>1356</v>
      </c>
      <c r="I1197" s="34" t="s">
        <v>17</v>
      </c>
      <c r="J1197" s="34" t="s">
        <v>15</v>
      </c>
      <c r="K1197" s="45">
        <v>130.0</v>
      </c>
      <c r="L1197" s="9"/>
      <c r="M1197" s="45">
        <v>130.0</v>
      </c>
    </row>
    <row r="1198">
      <c r="A1198" s="34" t="s">
        <v>70</v>
      </c>
      <c r="B1198" s="34" t="s">
        <v>71</v>
      </c>
      <c r="C1198" s="34">
        <v>69.0</v>
      </c>
      <c r="D1198" s="34" t="s">
        <v>1316</v>
      </c>
      <c r="E1198" s="34" t="s">
        <v>3208</v>
      </c>
      <c r="F1198" s="34" t="s">
        <v>3209</v>
      </c>
      <c r="G1198" s="34">
        <v>69266.0</v>
      </c>
      <c r="H1198" s="34" t="s">
        <v>1337</v>
      </c>
      <c r="I1198" s="34" t="s">
        <v>17</v>
      </c>
      <c r="J1198" s="34" t="s">
        <v>15</v>
      </c>
      <c r="K1198" s="45">
        <v>128.7</v>
      </c>
      <c r="L1198" s="9"/>
      <c r="M1198" s="45">
        <v>128.7</v>
      </c>
    </row>
    <row r="1199">
      <c r="A1199" s="34" t="s">
        <v>70</v>
      </c>
      <c r="B1199" s="34" t="s">
        <v>71</v>
      </c>
      <c r="C1199" s="34">
        <v>69.0</v>
      </c>
      <c r="D1199" s="34" t="s">
        <v>1316</v>
      </c>
      <c r="E1199" s="34" t="s">
        <v>3210</v>
      </c>
      <c r="F1199" s="34" t="s">
        <v>3211</v>
      </c>
      <c r="G1199" s="34">
        <v>69381.0</v>
      </c>
      <c r="H1199" s="34" t="s">
        <v>1334</v>
      </c>
      <c r="I1199" s="34" t="s">
        <v>17</v>
      </c>
      <c r="J1199" s="34" t="s">
        <v>13</v>
      </c>
      <c r="K1199" s="9"/>
      <c r="L1199" s="45">
        <v>85.4</v>
      </c>
      <c r="M1199" s="45">
        <v>85.4</v>
      </c>
    </row>
    <row r="1200">
      <c r="A1200" s="34" t="s">
        <v>70</v>
      </c>
      <c r="B1200" s="34" t="s">
        <v>71</v>
      </c>
      <c r="C1200" s="34">
        <v>69.0</v>
      </c>
      <c r="D1200" s="34" t="s">
        <v>1316</v>
      </c>
      <c r="E1200" s="34" t="s">
        <v>3212</v>
      </c>
      <c r="F1200" s="34" t="s">
        <v>3213</v>
      </c>
      <c r="G1200" s="34">
        <v>69286.0</v>
      </c>
      <c r="H1200" s="34" t="s">
        <v>3214</v>
      </c>
      <c r="I1200" s="34" t="s">
        <v>18</v>
      </c>
      <c r="J1200" s="34" t="s">
        <v>13</v>
      </c>
      <c r="K1200" s="9"/>
      <c r="L1200" s="45">
        <v>93.9</v>
      </c>
      <c r="M1200" s="45">
        <v>93.9</v>
      </c>
    </row>
    <row r="1201">
      <c r="A1201" s="34" t="s">
        <v>70</v>
      </c>
      <c r="B1201" s="34" t="s">
        <v>71</v>
      </c>
      <c r="C1201" s="34">
        <v>69.0</v>
      </c>
      <c r="D1201" s="34" t="s">
        <v>1316</v>
      </c>
      <c r="E1201" s="34" t="s">
        <v>3215</v>
      </c>
      <c r="F1201" s="34" t="s">
        <v>3216</v>
      </c>
      <c r="G1201" s="34">
        <v>69290.0</v>
      </c>
      <c r="H1201" s="34" t="s">
        <v>3217</v>
      </c>
      <c r="I1201" s="34" t="s">
        <v>18</v>
      </c>
      <c r="J1201" s="34" t="s">
        <v>13</v>
      </c>
      <c r="K1201" s="9"/>
      <c r="L1201" s="45">
        <v>78.4</v>
      </c>
      <c r="M1201" s="45">
        <v>78.4</v>
      </c>
    </row>
    <row r="1202">
      <c r="A1202" s="34" t="s">
        <v>70</v>
      </c>
      <c r="B1202" s="34" t="s">
        <v>71</v>
      </c>
      <c r="C1202" s="34">
        <v>69.0</v>
      </c>
      <c r="D1202" s="34" t="s">
        <v>1316</v>
      </c>
      <c r="E1202" s="34" t="s">
        <v>3218</v>
      </c>
      <c r="F1202" s="34" t="s">
        <v>3219</v>
      </c>
      <c r="G1202" s="34">
        <v>69091.0</v>
      </c>
      <c r="H1202" s="34" t="s">
        <v>3220</v>
      </c>
      <c r="I1202" s="34" t="s">
        <v>18</v>
      </c>
      <c r="J1202" s="34" t="s">
        <v>14</v>
      </c>
      <c r="K1202" s="45">
        <v>106.7</v>
      </c>
      <c r="L1202" s="45">
        <v>82.7</v>
      </c>
      <c r="M1202" s="45">
        <v>101.7</v>
      </c>
    </row>
    <row r="1203">
      <c r="A1203" s="34" t="s">
        <v>70</v>
      </c>
      <c r="B1203" s="34" t="s">
        <v>71</v>
      </c>
      <c r="C1203" s="34">
        <v>69.0</v>
      </c>
      <c r="D1203" s="34" t="s">
        <v>1316</v>
      </c>
      <c r="E1203" s="34" t="s">
        <v>3221</v>
      </c>
      <c r="F1203" s="34" t="s">
        <v>3222</v>
      </c>
      <c r="G1203" s="34">
        <v>69385.0</v>
      </c>
      <c r="H1203" s="34" t="s">
        <v>1340</v>
      </c>
      <c r="I1203" s="34" t="s">
        <v>17</v>
      </c>
      <c r="J1203" s="34" t="s">
        <v>13</v>
      </c>
      <c r="K1203" s="9"/>
      <c r="L1203" s="45">
        <v>101.5</v>
      </c>
      <c r="M1203" s="45">
        <v>101.5</v>
      </c>
    </row>
    <row r="1204">
      <c r="A1204" s="34" t="s">
        <v>70</v>
      </c>
      <c r="B1204" s="34" t="s">
        <v>71</v>
      </c>
      <c r="C1204" s="34">
        <v>69.0</v>
      </c>
      <c r="D1204" s="34" t="s">
        <v>1316</v>
      </c>
      <c r="E1204" s="34" t="s">
        <v>3223</v>
      </c>
      <c r="F1204" s="34" t="s">
        <v>3224</v>
      </c>
      <c r="G1204" s="34">
        <v>69386.0</v>
      </c>
      <c r="H1204" s="34" t="s">
        <v>3181</v>
      </c>
      <c r="I1204" s="34" t="s">
        <v>17</v>
      </c>
      <c r="J1204" s="34" t="s">
        <v>13</v>
      </c>
      <c r="K1204" s="9"/>
      <c r="L1204" s="45">
        <v>107.3</v>
      </c>
      <c r="M1204" s="45">
        <v>107.3</v>
      </c>
    </row>
    <row r="1205">
      <c r="A1205" s="34" t="s">
        <v>70</v>
      </c>
      <c r="B1205" s="34" t="s">
        <v>71</v>
      </c>
      <c r="C1205" s="34">
        <v>69.0</v>
      </c>
      <c r="D1205" s="34" t="s">
        <v>1316</v>
      </c>
      <c r="E1205" s="34" t="s">
        <v>3225</v>
      </c>
      <c r="F1205" s="34" t="s">
        <v>3066</v>
      </c>
      <c r="G1205" s="34">
        <v>69044.0</v>
      </c>
      <c r="H1205" s="34" t="s">
        <v>3226</v>
      </c>
      <c r="I1205" s="34" t="s">
        <v>18</v>
      </c>
      <c r="J1205" s="34" t="s">
        <v>15</v>
      </c>
      <c r="K1205" s="45">
        <v>134.6</v>
      </c>
      <c r="L1205" s="9"/>
      <c r="M1205" s="45">
        <v>134.6</v>
      </c>
    </row>
    <row r="1206">
      <c r="A1206" s="34" t="s">
        <v>70</v>
      </c>
      <c r="B1206" s="34" t="s">
        <v>71</v>
      </c>
      <c r="C1206" s="34">
        <v>69.0</v>
      </c>
      <c r="D1206" s="34" t="s">
        <v>1316</v>
      </c>
      <c r="E1206" s="34" t="s">
        <v>3227</v>
      </c>
      <c r="F1206" s="34" t="s">
        <v>3228</v>
      </c>
      <c r="G1206" s="34">
        <v>69388.0</v>
      </c>
      <c r="H1206" s="34" t="s">
        <v>1328</v>
      </c>
      <c r="I1206" s="34" t="s">
        <v>17</v>
      </c>
      <c r="J1206" s="34" t="s">
        <v>15</v>
      </c>
      <c r="K1206" s="45">
        <v>124.3</v>
      </c>
      <c r="L1206" s="9"/>
      <c r="M1206" s="45">
        <v>124.3</v>
      </c>
    </row>
    <row r="1207">
      <c r="A1207" s="34" t="s">
        <v>70</v>
      </c>
      <c r="B1207" s="34" t="s">
        <v>71</v>
      </c>
      <c r="C1207" s="34">
        <v>69.0</v>
      </c>
      <c r="D1207" s="34" t="s">
        <v>1316</v>
      </c>
      <c r="E1207" s="34" t="s">
        <v>3229</v>
      </c>
      <c r="F1207" s="34" t="s">
        <v>3230</v>
      </c>
      <c r="G1207" s="34">
        <v>69389.0</v>
      </c>
      <c r="H1207" s="34" t="s">
        <v>1331</v>
      </c>
      <c r="I1207" s="34" t="s">
        <v>17</v>
      </c>
      <c r="J1207" s="34" t="s">
        <v>14</v>
      </c>
      <c r="K1207" s="45">
        <v>129.6</v>
      </c>
      <c r="L1207" s="45">
        <v>118.8</v>
      </c>
      <c r="M1207" s="45">
        <v>121.2</v>
      </c>
    </row>
    <row r="1208">
      <c r="A1208" s="34" t="s">
        <v>70</v>
      </c>
      <c r="B1208" s="34" t="s">
        <v>71</v>
      </c>
      <c r="C1208" s="34">
        <v>69.0</v>
      </c>
      <c r="D1208" s="34" t="s">
        <v>1316</v>
      </c>
      <c r="E1208" s="34" t="s">
        <v>3231</v>
      </c>
      <c r="F1208" s="34" t="s">
        <v>3232</v>
      </c>
      <c r="G1208" s="34">
        <v>69266.0</v>
      </c>
      <c r="H1208" s="34" t="s">
        <v>1337</v>
      </c>
      <c r="I1208" s="34" t="s">
        <v>17</v>
      </c>
      <c r="J1208" s="34" t="s">
        <v>15</v>
      </c>
      <c r="K1208" s="45">
        <v>119.8</v>
      </c>
      <c r="L1208" s="9"/>
      <c r="M1208" s="45">
        <v>119.8</v>
      </c>
    </row>
    <row r="1209">
      <c r="A1209" s="34" t="s">
        <v>70</v>
      </c>
      <c r="B1209" s="34" t="s">
        <v>71</v>
      </c>
      <c r="C1209" s="34">
        <v>69.0</v>
      </c>
      <c r="D1209" s="34" t="s">
        <v>1316</v>
      </c>
      <c r="E1209" s="34" t="s">
        <v>3233</v>
      </c>
      <c r="F1209" s="34" t="s">
        <v>694</v>
      </c>
      <c r="G1209" s="34">
        <v>69286.0</v>
      </c>
      <c r="H1209" s="34" t="s">
        <v>3214</v>
      </c>
      <c r="I1209" s="34" t="s">
        <v>17</v>
      </c>
      <c r="J1209" s="34" t="s">
        <v>15</v>
      </c>
      <c r="K1209" s="45">
        <v>114.0</v>
      </c>
      <c r="L1209" s="9"/>
      <c r="M1209" s="45">
        <v>114.0</v>
      </c>
    </row>
    <row r="1210">
      <c r="A1210" s="34" t="s">
        <v>70</v>
      </c>
      <c r="B1210" s="34" t="s">
        <v>71</v>
      </c>
      <c r="C1210" s="34">
        <v>69.0</v>
      </c>
      <c r="D1210" s="34" t="s">
        <v>1316</v>
      </c>
      <c r="E1210" s="34" t="s">
        <v>3234</v>
      </c>
      <c r="F1210" s="34" t="s">
        <v>3235</v>
      </c>
      <c r="G1210" s="34">
        <v>69387.0</v>
      </c>
      <c r="H1210" s="34" t="s">
        <v>1353</v>
      </c>
      <c r="I1210" s="34" t="s">
        <v>18</v>
      </c>
      <c r="J1210" s="34" t="s">
        <v>15</v>
      </c>
      <c r="K1210" s="45">
        <v>113.2</v>
      </c>
      <c r="L1210" s="9"/>
      <c r="M1210" s="45">
        <v>113.2</v>
      </c>
    </row>
    <row r="1211">
      <c r="A1211" s="34" t="s">
        <v>70</v>
      </c>
      <c r="B1211" s="34" t="s">
        <v>393</v>
      </c>
      <c r="C1211" s="34">
        <v>70.0</v>
      </c>
      <c r="D1211" s="34" t="s">
        <v>1386</v>
      </c>
      <c r="E1211" s="34" t="s">
        <v>3236</v>
      </c>
      <c r="F1211" s="34" t="s">
        <v>3237</v>
      </c>
      <c r="G1211" s="34">
        <v>70279.0</v>
      </c>
      <c r="H1211" s="34" t="s">
        <v>3238</v>
      </c>
      <c r="I1211" s="34" t="s">
        <v>18</v>
      </c>
      <c r="J1211" s="34" t="s">
        <v>13</v>
      </c>
      <c r="K1211" s="9"/>
      <c r="L1211" s="45">
        <v>90.9</v>
      </c>
      <c r="M1211" s="45">
        <v>90.9</v>
      </c>
    </row>
    <row r="1212">
      <c r="A1212" s="34" t="s">
        <v>70</v>
      </c>
      <c r="B1212" s="34" t="s">
        <v>333</v>
      </c>
      <c r="C1212" s="34">
        <v>71.0</v>
      </c>
      <c r="D1212" s="34" t="s">
        <v>1390</v>
      </c>
      <c r="E1212" s="34" t="s">
        <v>3239</v>
      </c>
      <c r="F1212" s="34" t="s">
        <v>3240</v>
      </c>
      <c r="G1212" s="34">
        <v>71106.0</v>
      </c>
      <c r="H1212" s="34" t="s">
        <v>3241</v>
      </c>
      <c r="I1212" s="34" t="s">
        <v>18</v>
      </c>
      <c r="J1212" s="34" t="s">
        <v>14</v>
      </c>
      <c r="K1212" s="45">
        <v>112.0</v>
      </c>
      <c r="L1212" s="45">
        <v>87.7</v>
      </c>
      <c r="M1212" s="45">
        <v>106.9</v>
      </c>
    </row>
    <row r="1213">
      <c r="A1213" s="34" t="s">
        <v>70</v>
      </c>
      <c r="B1213" s="34" t="s">
        <v>333</v>
      </c>
      <c r="C1213" s="34">
        <v>71.0</v>
      </c>
      <c r="D1213" s="34" t="s">
        <v>1390</v>
      </c>
      <c r="E1213" s="34" t="s">
        <v>3242</v>
      </c>
      <c r="F1213" s="34" t="s">
        <v>3243</v>
      </c>
      <c r="G1213" s="34">
        <v>71153.0</v>
      </c>
      <c r="H1213" s="34" t="s">
        <v>3244</v>
      </c>
      <c r="I1213" s="34" t="s">
        <v>18</v>
      </c>
      <c r="J1213" s="34" t="s">
        <v>14</v>
      </c>
      <c r="K1213" s="45">
        <v>106.6</v>
      </c>
      <c r="L1213" s="45">
        <v>82.1</v>
      </c>
      <c r="M1213" s="45">
        <v>96.6</v>
      </c>
    </row>
    <row r="1214">
      <c r="A1214" s="34" t="s">
        <v>70</v>
      </c>
      <c r="B1214" s="34" t="s">
        <v>333</v>
      </c>
      <c r="C1214" s="34">
        <v>71.0</v>
      </c>
      <c r="D1214" s="34" t="s">
        <v>1390</v>
      </c>
      <c r="E1214" s="34" t="s">
        <v>3245</v>
      </c>
      <c r="F1214" s="34" t="s">
        <v>3246</v>
      </c>
      <c r="G1214" s="34">
        <v>71342.0</v>
      </c>
      <c r="H1214" s="34" t="s">
        <v>3247</v>
      </c>
      <c r="I1214" s="34" t="s">
        <v>18</v>
      </c>
      <c r="J1214" s="34" t="s">
        <v>13</v>
      </c>
      <c r="K1214" s="9"/>
      <c r="L1214" s="45">
        <v>86.6</v>
      </c>
      <c r="M1214" s="45">
        <v>86.6</v>
      </c>
    </row>
    <row r="1215">
      <c r="A1215" s="34" t="s">
        <v>70</v>
      </c>
      <c r="B1215" s="34" t="s">
        <v>333</v>
      </c>
      <c r="C1215" s="34">
        <v>71.0</v>
      </c>
      <c r="D1215" s="34" t="s">
        <v>1390</v>
      </c>
      <c r="E1215" s="34" t="s">
        <v>3248</v>
      </c>
      <c r="F1215" s="34" t="s">
        <v>210</v>
      </c>
      <c r="G1215" s="34">
        <v>71342.0</v>
      </c>
      <c r="H1215" s="34" t="s">
        <v>3247</v>
      </c>
      <c r="I1215" s="34" t="s">
        <v>17</v>
      </c>
      <c r="J1215" s="34" t="s">
        <v>15</v>
      </c>
      <c r="K1215" s="45">
        <v>116.3</v>
      </c>
      <c r="L1215" s="9"/>
      <c r="M1215" s="45">
        <v>116.3</v>
      </c>
    </row>
    <row r="1216">
      <c r="A1216" s="34" t="s">
        <v>70</v>
      </c>
      <c r="B1216" s="34" t="s">
        <v>333</v>
      </c>
      <c r="C1216" s="34">
        <v>71.0</v>
      </c>
      <c r="D1216" s="34" t="s">
        <v>1390</v>
      </c>
      <c r="E1216" s="34" t="s">
        <v>3249</v>
      </c>
      <c r="F1216" s="34" t="s">
        <v>3250</v>
      </c>
      <c r="G1216" s="34">
        <v>71270.0</v>
      </c>
      <c r="H1216" s="34" t="s">
        <v>3251</v>
      </c>
      <c r="I1216" s="34" t="s">
        <v>17</v>
      </c>
      <c r="J1216" s="34" t="s">
        <v>14</v>
      </c>
      <c r="K1216" s="45">
        <v>121.8</v>
      </c>
      <c r="L1216" s="45">
        <v>96.8</v>
      </c>
      <c r="M1216" s="45">
        <v>119.7</v>
      </c>
    </row>
    <row r="1217">
      <c r="A1217" s="34" t="s">
        <v>70</v>
      </c>
      <c r="B1217" s="34" t="s">
        <v>333</v>
      </c>
      <c r="C1217" s="34">
        <v>71.0</v>
      </c>
      <c r="D1217" s="34" t="s">
        <v>1390</v>
      </c>
      <c r="E1217" s="34" t="s">
        <v>3252</v>
      </c>
      <c r="F1217" s="34" t="s">
        <v>3253</v>
      </c>
      <c r="G1217" s="34">
        <v>71076.0</v>
      </c>
      <c r="H1217" s="34" t="s">
        <v>3254</v>
      </c>
      <c r="I1217" s="34" t="s">
        <v>18</v>
      </c>
      <c r="J1217" s="34" t="s">
        <v>13</v>
      </c>
      <c r="K1217" s="9"/>
      <c r="L1217" s="45">
        <v>82.8</v>
      </c>
      <c r="M1217" s="45">
        <v>82.8</v>
      </c>
    </row>
    <row r="1218">
      <c r="A1218" s="34" t="s">
        <v>70</v>
      </c>
      <c r="B1218" s="34" t="s">
        <v>333</v>
      </c>
      <c r="C1218" s="34">
        <v>71.0</v>
      </c>
      <c r="D1218" s="34" t="s">
        <v>1390</v>
      </c>
      <c r="E1218" s="34" t="s">
        <v>3255</v>
      </c>
      <c r="F1218" s="34" t="s">
        <v>3256</v>
      </c>
      <c r="G1218" s="34">
        <v>71342.0</v>
      </c>
      <c r="H1218" s="34" t="s">
        <v>3247</v>
      </c>
      <c r="I1218" s="34" t="s">
        <v>17</v>
      </c>
      <c r="J1218" s="34" t="s">
        <v>13</v>
      </c>
      <c r="K1218" s="9"/>
      <c r="L1218" s="45">
        <v>97.2</v>
      </c>
      <c r="M1218" s="45">
        <v>97.2</v>
      </c>
    </row>
    <row r="1219">
      <c r="A1219" s="34" t="s">
        <v>70</v>
      </c>
      <c r="B1219" s="34" t="s">
        <v>779</v>
      </c>
      <c r="C1219" s="34">
        <v>72.0</v>
      </c>
      <c r="D1219" s="34" t="s">
        <v>1397</v>
      </c>
      <c r="E1219" s="34" t="s">
        <v>3257</v>
      </c>
      <c r="F1219" s="34" t="s">
        <v>3258</v>
      </c>
      <c r="G1219" s="34">
        <v>72071.0</v>
      </c>
      <c r="H1219" s="34" t="s">
        <v>3259</v>
      </c>
      <c r="I1219" s="34" t="s">
        <v>18</v>
      </c>
      <c r="J1219" s="34" t="s">
        <v>13</v>
      </c>
      <c r="K1219" s="9"/>
      <c r="L1219" s="45">
        <v>81.3</v>
      </c>
      <c r="M1219" s="45">
        <v>81.3</v>
      </c>
    </row>
    <row r="1220">
      <c r="A1220" s="34" t="s">
        <v>70</v>
      </c>
      <c r="B1220" s="34" t="s">
        <v>779</v>
      </c>
      <c r="C1220" s="34">
        <v>72.0</v>
      </c>
      <c r="D1220" s="34" t="s">
        <v>1397</v>
      </c>
      <c r="E1220" s="34" t="s">
        <v>3260</v>
      </c>
      <c r="F1220" s="34" t="s">
        <v>3261</v>
      </c>
      <c r="G1220" s="34">
        <v>72154.0</v>
      </c>
      <c r="H1220" s="34" t="s">
        <v>3262</v>
      </c>
      <c r="I1220" s="34" t="s">
        <v>18</v>
      </c>
      <c r="J1220" s="34" t="s">
        <v>14</v>
      </c>
      <c r="K1220" s="45">
        <v>111.7</v>
      </c>
      <c r="L1220" s="45">
        <v>85.3</v>
      </c>
      <c r="M1220" s="45">
        <v>104.3</v>
      </c>
    </row>
    <row r="1221">
      <c r="A1221" s="34" t="s">
        <v>70</v>
      </c>
      <c r="B1221" s="34" t="s">
        <v>779</v>
      </c>
      <c r="C1221" s="34">
        <v>72.0</v>
      </c>
      <c r="D1221" s="34" t="s">
        <v>1397</v>
      </c>
      <c r="E1221" s="34" t="s">
        <v>3263</v>
      </c>
      <c r="F1221" s="34" t="s">
        <v>3264</v>
      </c>
      <c r="G1221" s="34">
        <v>72180.0</v>
      </c>
      <c r="H1221" s="34" t="s">
        <v>3265</v>
      </c>
      <c r="I1221" s="34" t="s">
        <v>18</v>
      </c>
      <c r="J1221" s="34" t="s">
        <v>14</v>
      </c>
      <c r="K1221" s="45">
        <v>103.8</v>
      </c>
      <c r="L1221" s="45">
        <v>82.8</v>
      </c>
      <c r="M1221" s="45">
        <v>93.8</v>
      </c>
    </row>
    <row r="1222">
      <c r="A1222" s="34" t="s">
        <v>70</v>
      </c>
      <c r="B1222" s="34" t="s">
        <v>779</v>
      </c>
      <c r="C1222" s="34">
        <v>72.0</v>
      </c>
      <c r="D1222" s="34" t="s">
        <v>1397</v>
      </c>
      <c r="E1222" s="34" t="s">
        <v>3266</v>
      </c>
      <c r="F1222" s="34" t="s">
        <v>568</v>
      </c>
      <c r="G1222" s="34">
        <v>72181.0</v>
      </c>
      <c r="H1222" s="34" t="s">
        <v>1403</v>
      </c>
      <c r="I1222" s="34" t="s">
        <v>18</v>
      </c>
      <c r="J1222" s="34" t="s">
        <v>15</v>
      </c>
      <c r="K1222" s="45">
        <v>129.0</v>
      </c>
      <c r="L1222" s="9"/>
      <c r="M1222" s="45">
        <v>129.0</v>
      </c>
    </row>
    <row r="1223">
      <c r="A1223" s="34" t="s">
        <v>70</v>
      </c>
      <c r="B1223" s="34" t="s">
        <v>779</v>
      </c>
      <c r="C1223" s="34">
        <v>72.0</v>
      </c>
      <c r="D1223" s="34" t="s">
        <v>1397</v>
      </c>
      <c r="E1223" s="34" t="s">
        <v>3267</v>
      </c>
      <c r="F1223" s="34" t="s">
        <v>3268</v>
      </c>
      <c r="G1223" s="34">
        <v>72264.0</v>
      </c>
      <c r="H1223" s="34" t="s">
        <v>3269</v>
      </c>
      <c r="I1223" s="34" t="s">
        <v>18</v>
      </c>
      <c r="J1223" s="34" t="s">
        <v>14</v>
      </c>
      <c r="K1223" s="45">
        <v>106.2</v>
      </c>
      <c r="L1223" s="45">
        <v>87.5</v>
      </c>
      <c r="M1223" s="45">
        <v>100.5</v>
      </c>
    </row>
    <row r="1224">
      <c r="A1224" s="34" t="s">
        <v>70</v>
      </c>
      <c r="B1224" s="34" t="s">
        <v>779</v>
      </c>
      <c r="C1224" s="34">
        <v>72.0</v>
      </c>
      <c r="D1224" s="34" t="s">
        <v>1397</v>
      </c>
      <c r="E1224" s="34" t="s">
        <v>3270</v>
      </c>
      <c r="F1224" s="34" t="s">
        <v>3271</v>
      </c>
      <c r="G1224" s="34">
        <v>72334.0</v>
      </c>
      <c r="H1224" s="34" t="s">
        <v>3272</v>
      </c>
      <c r="I1224" s="34" t="s">
        <v>18</v>
      </c>
      <c r="J1224" s="34" t="s">
        <v>15</v>
      </c>
      <c r="K1224" s="45">
        <v>112.3</v>
      </c>
      <c r="L1224" s="9"/>
      <c r="M1224" s="45">
        <v>112.3</v>
      </c>
    </row>
    <row r="1225">
      <c r="A1225" s="34" t="s">
        <v>70</v>
      </c>
      <c r="B1225" s="34" t="s">
        <v>779</v>
      </c>
      <c r="C1225" s="34">
        <v>72.0</v>
      </c>
      <c r="D1225" s="34" t="s">
        <v>1397</v>
      </c>
      <c r="E1225" s="34" t="s">
        <v>3273</v>
      </c>
      <c r="F1225" s="34" t="s">
        <v>1617</v>
      </c>
      <c r="G1225" s="34">
        <v>72181.0</v>
      </c>
      <c r="H1225" s="34" t="s">
        <v>1403</v>
      </c>
      <c r="I1225" s="34" t="s">
        <v>17</v>
      </c>
      <c r="J1225" s="34" t="s">
        <v>15</v>
      </c>
      <c r="K1225" s="45">
        <v>123.9</v>
      </c>
      <c r="L1225" s="9"/>
      <c r="M1225" s="45">
        <v>123.9</v>
      </c>
    </row>
    <row r="1226">
      <c r="A1226" s="34" t="s">
        <v>70</v>
      </c>
      <c r="B1226" s="34" t="s">
        <v>779</v>
      </c>
      <c r="C1226" s="34">
        <v>72.0</v>
      </c>
      <c r="D1226" s="34" t="s">
        <v>1397</v>
      </c>
      <c r="E1226" s="34" t="s">
        <v>3274</v>
      </c>
      <c r="F1226" s="34" t="s">
        <v>3275</v>
      </c>
      <c r="G1226" s="34">
        <v>72264.0</v>
      </c>
      <c r="H1226" s="34" t="s">
        <v>3269</v>
      </c>
      <c r="I1226" s="34" t="s">
        <v>17</v>
      </c>
      <c r="J1226" s="34" t="s">
        <v>14</v>
      </c>
      <c r="K1226" s="45">
        <v>112.8</v>
      </c>
      <c r="L1226" s="45">
        <v>89.2</v>
      </c>
      <c r="M1226" s="45">
        <v>105.7</v>
      </c>
    </row>
    <row r="1227">
      <c r="A1227" s="34" t="s">
        <v>70</v>
      </c>
      <c r="B1227" s="34" t="s">
        <v>779</v>
      </c>
      <c r="C1227" s="34">
        <v>72.0</v>
      </c>
      <c r="D1227" s="34" t="s">
        <v>1397</v>
      </c>
      <c r="E1227" s="34" t="s">
        <v>3276</v>
      </c>
      <c r="F1227" s="34" t="s">
        <v>3277</v>
      </c>
      <c r="G1227" s="34">
        <v>72247.0</v>
      </c>
      <c r="H1227" s="34" t="s">
        <v>3278</v>
      </c>
      <c r="I1227" s="34" t="s">
        <v>17</v>
      </c>
      <c r="J1227" s="34" t="s">
        <v>14</v>
      </c>
      <c r="K1227" s="45">
        <v>110.2</v>
      </c>
      <c r="L1227" s="45">
        <v>96.8</v>
      </c>
      <c r="M1227" s="45">
        <v>100.4</v>
      </c>
    </row>
    <row r="1228">
      <c r="A1228" s="34" t="s">
        <v>70</v>
      </c>
      <c r="B1228" s="34" t="s">
        <v>779</v>
      </c>
      <c r="C1228" s="34">
        <v>72.0</v>
      </c>
      <c r="D1228" s="34" t="s">
        <v>1397</v>
      </c>
      <c r="E1228" s="34" t="s">
        <v>3279</v>
      </c>
      <c r="F1228" s="34" t="s">
        <v>3280</v>
      </c>
      <c r="G1228" s="34">
        <v>72181.0</v>
      </c>
      <c r="H1228" s="34" t="s">
        <v>1403</v>
      </c>
      <c r="I1228" s="34" t="s">
        <v>17</v>
      </c>
      <c r="J1228" s="34" t="s">
        <v>14</v>
      </c>
      <c r="K1228" s="45">
        <v>112.1</v>
      </c>
      <c r="L1228" s="45">
        <v>87.3</v>
      </c>
      <c r="M1228" s="45">
        <v>106.9</v>
      </c>
    </row>
    <row r="1229">
      <c r="A1229" s="34" t="s">
        <v>70</v>
      </c>
      <c r="B1229" s="34" t="s">
        <v>161</v>
      </c>
      <c r="C1229" s="34">
        <v>73.0</v>
      </c>
      <c r="D1229" s="34" t="s">
        <v>1404</v>
      </c>
      <c r="E1229" s="34" t="s">
        <v>3281</v>
      </c>
      <c r="F1229" s="34" t="s">
        <v>3282</v>
      </c>
      <c r="G1229" s="34">
        <v>73008.0</v>
      </c>
      <c r="H1229" s="34" t="s">
        <v>1413</v>
      </c>
      <c r="I1229" s="34" t="s">
        <v>18</v>
      </c>
      <c r="J1229" s="34" t="s">
        <v>14</v>
      </c>
      <c r="K1229" s="45">
        <v>122.1</v>
      </c>
      <c r="L1229" s="45">
        <v>87.1</v>
      </c>
      <c r="M1229" s="45">
        <v>117.0</v>
      </c>
    </row>
    <row r="1230">
      <c r="A1230" s="34" t="s">
        <v>70</v>
      </c>
      <c r="B1230" s="34" t="s">
        <v>161</v>
      </c>
      <c r="C1230" s="34">
        <v>73.0</v>
      </c>
      <c r="D1230" s="34" t="s">
        <v>1404</v>
      </c>
      <c r="E1230" s="34" t="s">
        <v>3283</v>
      </c>
      <c r="F1230" s="34" t="s">
        <v>3284</v>
      </c>
      <c r="G1230" s="34">
        <v>73011.0</v>
      </c>
      <c r="H1230" s="34" t="s">
        <v>3285</v>
      </c>
      <c r="I1230" s="34" t="s">
        <v>18</v>
      </c>
      <c r="J1230" s="34" t="s">
        <v>13</v>
      </c>
      <c r="K1230" s="9"/>
      <c r="L1230" s="45">
        <v>87.4</v>
      </c>
      <c r="M1230" s="45">
        <v>87.4</v>
      </c>
    </row>
    <row r="1231">
      <c r="A1231" s="34" t="s">
        <v>70</v>
      </c>
      <c r="B1231" s="34" t="s">
        <v>161</v>
      </c>
      <c r="C1231" s="34">
        <v>73.0</v>
      </c>
      <c r="D1231" s="34" t="s">
        <v>1404</v>
      </c>
      <c r="E1231" s="34" t="s">
        <v>3286</v>
      </c>
      <c r="F1231" s="34" t="s">
        <v>3287</v>
      </c>
      <c r="G1231" s="34">
        <v>73181.0</v>
      </c>
      <c r="H1231" s="34" t="s">
        <v>3288</v>
      </c>
      <c r="I1231" s="34" t="s">
        <v>18</v>
      </c>
      <c r="J1231" s="34" t="s">
        <v>14</v>
      </c>
      <c r="K1231" s="45">
        <v>119.9</v>
      </c>
      <c r="L1231" s="45">
        <v>92.3</v>
      </c>
      <c r="M1231" s="45">
        <v>113.0</v>
      </c>
    </row>
    <row r="1232">
      <c r="A1232" s="34" t="s">
        <v>70</v>
      </c>
      <c r="B1232" s="34" t="s">
        <v>161</v>
      </c>
      <c r="C1232" s="34">
        <v>73.0</v>
      </c>
      <c r="D1232" s="34" t="s">
        <v>1404</v>
      </c>
      <c r="E1232" s="34" t="s">
        <v>3289</v>
      </c>
      <c r="F1232" s="34" t="s">
        <v>3290</v>
      </c>
      <c r="G1232" s="34">
        <v>73213.0</v>
      </c>
      <c r="H1232" s="34" t="s">
        <v>3291</v>
      </c>
      <c r="I1232" s="34" t="s">
        <v>18</v>
      </c>
      <c r="J1232" s="34" t="s">
        <v>13</v>
      </c>
      <c r="K1232" s="9"/>
      <c r="L1232" s="45">
        <v>92.1</v>
      </c>
      <c r="M1232" s="45">
        <v>92.1</v>
      </c>
    </row>
    <row r="1233">
      <c r="A1233" s="34" t="s">
        <v>70</v>
      </c>
      <c r="B1233" s="34" t="s">
        <v>161</v>
      </c>
      <c r="C1233" s="34">
        <v>73.0</v>
      </c>
      <c r="D1233" s="34" t="s">
        <v>1404</v>
      </c>
      <c r="E1233" s="34" t="s">
        <v>3292</v>
      </c>
      <c r="F1233" s="34" t="s">
        <v>3293</v>
      </c>
      <c r="G1233" s="34">
        <v>73213.0</v>
      </c>
      <c r="H1233" s="34" t="s">
        <v>3291</v>
      </c>
      <c r="I1233" s="34" t="s">
        <v>18</v>
      </c>
      <c r="J1233" s="34" t="s">
        <v>15</v>
      </c>
      <c r="K1233" s="45">
        <v>123.8</v>
      </c>
      <c r="L1233" s="9"/>
      <c r="M1233" s="45">
        <v>123.8</v>
      </c>
    </row>
    <row r="1234">
      <c r="A1234" s="34" t="s">
        <v>70</v>
      </c>
      <c r="B1234" s="34" t="s">
        <v>161</v>
      </c>
      <c r="C1234" s="34">
        <v>74.0</v>
      </c>
      <c r="D1234" s="34" t="s">
        <v>1419</v>
      </c>
      <c r="E1234" s="34" t="s">
        <v>3294</v>
      </c>
      <c r="F1234" s="34" t="s">
        <v>3295</v>
      </c>
      <c r="G1234" s="34">
        <v>74012.0</v>
      </c>
      <c r="H1234" s="34" t="s">
        <v>3296</v>
      </c>
      <c r="I1234" s="34" t="s">
        <v>18</v>
      </c>
      <c r="J1234" s="34" t="s">
        <v>14</v>
      </c>
      <c r="K1234" s="45">
        <v>102.6</v>
      </c>
      <c r="L1234" s="45">
        <v>81.3</v>
      </c>
      <c r="M1234" s="45">
        <v>98.3</v>
      </c>
    </row>
    <row r="1235">
      <c r="A1235" s="34" t="s">
        <v>70</v>
      </c>
      <c r="B1235" s="34" t="s">
        <v>161</v>
      </c>
      <c r="C1235" s="34">
        <v>74.0</v>
      </c>
      <c r="D1235" s="34" t="s">
        <v>1419</v>
      </c>
      <c r="E1235" s="34" t="s">
        <v>3297</v>
      </c>
      <c r="F1235" s="34" t="s">
        <v>3298</v>
      </c>
      <c r="G1235" s="34">
        <v>74042.0</v>
      </c>
      <c r="H1235" s="34" t="s">
        <v>1425</v>
      </c>
      <c r="I1235" s="34" t="s">
        <v>18</v>
      </c>
      <c r="J1235" s="34" t="s">
        <v>13</v>
      </c>
      <c r="K1235" s="9"/>
      <c r="L1235" s="45">
        <v>97.3</v>
      </c>
      <c r="M1235" s="45">
        <v>97.3</v>
      </c>
    </row>
    <row r="1236">
      <c r="A1236" s="34" t="s">
        <v>70</v>
      </c>
      <c r="B1236" s="34" t="s">
        <v>161</v>
      </c>
      <c r="C1236" s="34">
        <v>74.0</v>
      </c>
      <c r="D1236" s="34" t="s">
        <v>1419</v>
      </c>
      <c r="E1236" s="34" t="s">
        <v>3299</v>
      </c>
      <c r="F1236" s="34" t="s">
        <v>3300</v>
      </c>
      <c r="G1236" s="34">
        <v>74225.0</v>
      </c>
      <c r="H1236" s="34" t="s">
        <v>3301</v>
      </c>
      <c r="I1236" s="34" t="s">
        <v>18</v>
      </c>
      <c r="J1236" s="34" t="s">
        <v>13</v>
      </c>
      <c r="K1236" s="9"/>
      <c r="L1236" s="45">
        <v>95.2</v>
      </c>
      <c r="M1236" s="45">
        <v>95.2</v>
      </c>
    </row>
    <row r="1237">
      <c r="A1237" s="34" t="s">
        <v>70</v>
      </c>
      <c r="B1237" s="34" t="s">
        <v>161</v>
      </c>
      <c r="C1237" s="34">
        <v>74.0</v>
      </c>
      <c r="D1237" s="34" t="s">
        <v>1419</v>
      </c>
      <c r="E1237" s="34" t="s">
        <v>3302</v>
      </c>
      <c r="F1237" s="34" t="s">
        <v>3303</v>
      </c>
      <c r="G1237" s="34">
        <v>74281.0</v>
      </c>
      <c r="H1237" s="34" t="s">
        <v>1428</v>
      </c>
      <c r="I1237" s="34" t="s">
        <v>18</v>
      </c>
      <c r="J1237" s="34" t="s">
        <v>13</v>
      </c>
      <c r="K1237" s="9"/>
      <c r="L1237" s="45">
        <v>87.0</v>
      </c>
      <c r="M1237" s="45">
        <v>87.0</v>
      </c>
    </row>
    <row r="1238">
      <c r="A1238" s="34" t="s">
        <v>70</v>
      </c>
      <c r="B1238" s="34" t="s">
        <v>161</v>
      </c>
      <c r="C1238" s="34">
        <v>74.0</v>
      </c>
      <c r="D1238" s="34" t="s">
        <v>1419</v>
      </c>
      <c r="E1238" s="34" t="s">
        <v>3304</v>
      </c>
      <c r="F1238" s="34" t="s">
        <v>3305</v>
      </c>
      <c r="G1238" s="34">
        <v>74123.0</v>
      </c>
      <c r="H1238" s="34" t="s">
        <v>3306</v>
      </c>
      <c r="I1238" s="34" t="s">
        <v>17</v>
      </c>
      <c r="J1238" s="34" t="s">
        <v>13</v>
      </c>
      <c r="K1238" s="9"/>
      <c r="L1238" s="45">
        <v>101.4</v>
      </c>
      <c r="M1238" s="45">
        <v>101.4</v>
      </c>
    </row>
    <row r="1239">
      <c r="A1239" s="34" t="s">
        <v>70</v>
      </c>
      <c r="B1239" s="34" t="s">
        <v>161</v>
      </c>
      <c r="C1239" s="34">
        <v>74.0</v>
      </c>
      <c r="D1239" s="34" t="s">
        <v>1419</v>
      </c>
      <c r="E1239" s="34" t="s">
        <v>3307</v>
      </c>
      <c r="F1239" s="34" t="s">
        <v>3308</v>
      </c>
      <c r="G1239" s="34">
        <v>74001.0</v>
      </c>
      <c r="H1239" s="34" t="s">
        <v>3309</v>
      </c>
      <c r="I1239" s="34" t="s">
        <v>17</v>
      </c>
      <c r="J1239" s="34" t="s">
        <v>15</v>
      </c>
      <c r="K1239" s="45">
        <v>137.0</v>
      </c>
      <c r="L1239" s="9"/>
      <c r="M1239" s="45">
        <v>137.0</v>
      </c>
    </row>
    <row r="1240">
      <c r="A1240" s="34" t="s">
        <v>70</v>
      </c>
      <c r="B1240" s="34" t="s">
        <v>161</v>
      </c>
      <c r="C1240" s="34">
        <v>74.0</v>
      </c>
      <c r="D1240" s="34" t="s">
        <v>1419</v>
      </c>
      <c r="E1240" s="34" t="s">
        <v>3310</v>
      </c>
      <c r="F1240" s="34" t="s">
        <v>2316</v>
      </c>
      <c r="G1240" s="34">
        <v>74012.0</v>
      </c>
      <c r="H1240" s="34" t="s">
        <v>3296</v>
      </c>
      <c r="I1240" s="34" t="s">
        <v>18</v>
      </c>
      <c r="J1240" s="34" t="s">
        <v>14</v>
      </c>
      <c r="K1240" s="45">
        <v>108.2</v>
      </c>
      <c r="L1240" s="45">
        <v>76.7</v>
      </c>
      <c r="M1240" s="45">
        <v>102.7</v>
      </c>
    </row>
    <row r="1241">
      <c r="A1241" s="34" t="s">
        <v>70</v>
      </c>
      <c r="B1241" s="34" t="s">
        <v>161</v>
      </c>
      <c r="C1241" s="34">
        <v>74.0</v>
      </c>
      <c r="D1241" s="34" t="s">
        <v>1419</v>
      </c>
      <c r="E1241" s="34" t="s">
        <v>3311</v>
      </c>
      <c r="F1241" s="34" t="s">
        <v>3312</v>
      </c>
      <c r="G1241" s="34">
        <v>74225.0</v>
      </c>
      <c r="H1241" s="34" t="s">
        <v>3301</v>
      </c>
      <c r="I1241" s="34" t="s">
        <v>18</v>
      </c>
      <c r="J1241" s="34" t="s">
        <v>15</v>
      </c>
      <c r="K1241" s="45">
        <v>120.3</v>
      </c>
      <c r="L1241" s="9"/>
      <c r="M1241" s="45">
        <v>120.3</v>
      </c>
    </row>
    <row r="1242">
      <c r="A1242" s="34" t="s">
        <v>70</v>
      </c>
      <c r="B1242" s="34" t="s">
        <v>1441</v>
      </c>
      <c r="C1242" s="34">
        <v>75.0</v>
      </c>
      <c r="D1242" s="34" t="s">
        <v>1441</v>
      </c>
      <c r="E1242" s="34" t="s">
        <v>3313</v>
      </c>
      <c r="F1242" s="34" t="s">
        <v>3314</v>
      </c>
      <c r="G1242" s="34">
        <v>75103.0</v>
      </c>
      <c r="H1242" s="34" t="s">
        <v>1474</v>
      </c>
      <c r="I1242" s="34" t="s">
        <v>18</v>
      </c>
      <c r="J1242" s="34" t="s">
        <v>15</v>
      </c>
      <c r="K1242" s="45">
        <v>125.6</v>
      </c>
      <c r="L1242" s="9"/>
      <c r="M1242" s="45">
        <v>125.6</v>
      </c>
    </row>
    <row r="1243">
      <c r="A1243" s="34" t="s">
        <v>70</v>
      </c>
      <c r="B1243" s="34" t="s">
        <v>1441</v>
      </c>
      <c r="C1243" s="34">
        <v>75.0</v>
      </c>
      <c r="D1243" s="34" t="s">
        <v>1441</v>
      </c>
      <c r="E1243" s="34" t="s">
        <v>3315</v>
      </c>
      <c r="F1243" s="34" t="s">
        <v>3316</v>
      </c>
      <c r="G1243" s="34">
        <v>75103.0</v>
      </c>
      <c r="H1243" s="34" t="s">
        <v>1474</v>
      </c>
      <c r="I1243" s="34" t="s">
        <v>18</v>
      </c>
      <c r="J1243" s="34" t="s">
        <v>14</v>
      </c>
      <c r="K1243" s="45">
        <v>115.8</v>
      </c>
      <c r="L1243" s="45">
        <v>83.3</v>
      </c>
      <c r="M1243" s="45">
        <v>103.0</v>
      </c>
    </row>
    <row r="1244">
      <c r="A1244" s="34" t="s">
        <v>70</v>
      </c>
      <c r="B1244" s="34" t="s">
        <v>1441</v>
      </c>
      <c r="C1244" s="34">
        <v>75.0</v>
      </c>
      <c r="D1244" s="34" t="s">
        <v>1441</v>
      </c>
      <c r="E1244" s="34" t="s">
        <v>3317</v>
      </c>
      <c r="F1244" s="34" t="s">
        <v>3318</v>
      </c>
      <c r="G1244" s="34">
        <v>75104.0</v>
      </c>
      <c r="H1244" s="34" t="s">
        <v>1446</v>
      </c>
      <c r="I1244" s="34" t="s">
        <v>18</v>
      </c>
      <c r="J1244" s="34" t="s">
        <v>15</v>
      </c>
      <c r="K1244" s="45">
        <v>132.7</v>
      </c>
      <c r="L1244" s="9"/>
      <c r="M1244" s="45">
        <v>132.7</v>
      </c>
    </row>
    <row r="1245">
      <c r="A1245" s="34" t="s">
        <v>70</v>
      </c>
      <c r="B1245" s="34" t="s">
        <v>1441</v>
      </c>
      <c r="C1245" s="34">
        <v>75.0</v>
      </c>
      <c r="D1245" s="34" t="s">
        <v>1441</v>
      </c>
      <c r="E1245" s="34" t="s">
        <v>3319</v>
      </c>
      <c r="F1245" s="34" t="s">
        <v>3320</v>
      </c>
      <c r="G1245" s="34">
        <v>75105.0</v>
      </c>
      <c r="H1245" s="34" t="s">
        <v>1444</v>
      </c>
      <c r="I1245" s="34" t="s">
        <v>18</v>
      </c>
      <c r="J1245" s="34" t="s">
        <v>15</v>
      </c>
      <c r="K1245" s="45">
        <v>145.9</v>
      </c>
      <c r="L1245" s="9"/>
      <c r="M1245" s="45">
        <v>145.9</v>
      </c>
    </row>
    <row r="1246">
      <c r="A1246" s="34" t="s">
        <v>70</v>
      </c>
      <c r="B1246" s="34" t="s">
        <v>1441</v>
      </c>
      <c r="C1246" s="34">
        <v>75.0</v>
      </c>
      <c r="D1246" s="34" t="s">
        <v>1441</v>
      </c>
      <c r="E1246" s="34" t="s">
        <v>3321</v>
      </c>
      <c r="F1246" s="34" t="s">
        <v>3322</v>
      </c>
      <c r="G1246" s="34">
        <v>75112.0</v>
      </c>
      <c r="H1246" s="34" t="s">
        <v>1498</v>
      </c>
      <c r="I1246" s="34" t="s">
        <v>18</v>
      </c>
      <c r="J1246" s="34" t="s">
        <v>14</v>
      </c>
      <c r="K1246" s="45">
        <v>101.2</v>
      </c>
      <c r="L1246" s="45">
        <v>82.3</v>
      </c>
      <c r="M1246" s="45">
        <v>91.3</v>
      </c>
    </row>
    <row r="1247">
      <c r="A1247" s="34" t="s">
        <v>70</v>
      </c>
      <c r="B1247" s="34" t="s">
        <v>1441</v>
      </c>
      <c r="C1247" s="34">
        <v>75.0</v>
      </c>
      <c r="D1247" s="34" t="s">
        <v>1441</v>
      </c>
      <c r="E1247" s="34" t="s">
        <v>3323</v>
      </c>
      <c r="F1247" s="34" t="s">
        <v>3324</v>
      </c>
      <c r="G1247" s="34">
        <v>75112.0</v>
      </c>
      <c r="H1247" s="34" t="s">
        <v>1498</v>
      </c>
      <c r="I1247" s="34" t="s">
        <v>18</v>
      </c>
      <c r="J1247" s="34" t="s">
        <v>15</v>
      </c>
      <c r="K1247" s="45">
        <v>105.6</v>
      </c>
      <c r="L1247" s="9"/>
      <c r="M1247" s="45">
        <v>105.6</v>
      </c>
    </row>
    <row r="1248">
      <c r="A1248" s="34" t="s">
        <v>70</v>
      </c>
      <c r="B1248" s="34" t="s">
        <v>1441</v>
      </c>
      <c r="C1248" s="34">
        <v>75.0</v>
      </c>
      <c r="D1248" s="34" t="s">
        <v>1441</v>
      </c>
      <c r="E1248" s="34" t="s">
        <v>3325</v>
      </c>
      <c r="F1248" s="34" t="s">
        <v>3326</v>
      </c>
      <c r="G1248" s="34">
        <v>75112.0</v>
      </c>
      <c r="H1248" s="34" t="s">
        <v>1498</v>
      </c>
      <c r="I1248" s="34" t="s">
        <v>18</v>
      </c>
      <c r="J1248" s="34" t="s">
        <v>14</v>
      </c>
      <c r="K1248" s="45">
        <v>141.3</v>
      </c>
      <c r="L1248" s="45">
        <v>134.9</v>
      </c>
      <c r="M1248" s="45">
        <v>138.5</v>
      </c>
    </row>
    <row r="1249">
      <c r="A1249" s="34" t="s">
        <v>70</v>
      </c>
      <c r="B1249" s="34" t="s">
        <v>1441</v>
      </c>
      <c r="C1249" s="34">
        <v>75.0</v>
      </c>
      <c r="D1249" s="34" t="s">
        <v>1441</v>
      </c>
      <c r="E1249" s="34" t="s">
        <v>3327</v>
      </c>
      <c r="F1249" s="34" t="s">
        <v>3328</v>
      </c>
      <c r="G1249" s="34">
        <v>75113.0</v>
      </c>
      <c r="H1249" s="34" t="s">
        <v>1477</v>
      </c>
      <c r="I1249" s="34" t="s">
        <v>18</v>
      </c>
      <c r="J1249" s="34" t="s">
        <v>15</v>
      </c>
      <c r="K1249" s="45">
        <v>120.2</v>
      </c>
      <c r="L1249" s="9"/>
      <c r="M1249" s="45">
        <v>120.2</v>
      </c>
    </row>
    <row r="1250">
      <c r="A1250" s="34" t="s">
        <v>70</v>
      </c>
      <c r="B1250" s="34" t="s">
        <v>1441</v>
      </c>
      <c r="C1250" s="34">
        <v>75.0</v>
      </c>
      <c r="D1250" s="34" t="s">
        <v>1441</v>
      </c>
      <c r="E1250" s="34" t="s">
        <v>3329</v>
      </c>
      <c r="F1250" s="34" t="s">
        <v>3330</v>
      </c>
      <c r="G1250" s="34">
        <v>75114.0</v>
      </c>
      <c r="H1250" s="34" t="s">
        <v>3331</v>
      </c>
      <c r="I1250" s="34" t="s">
        <v>18</v>
      </c>
      <c r="J1250" s="34" t="s">
        <v>15</v>
      </c>
      <c r="K1250" s="45">
        <v>118.8</v>
      </c>
      <c r="L1250" s="9"/>
      <c r="M1250" s="45">
        <v>118.8</v>
      </c>
    </row>
    <row r="1251">
      <c r="A1251" s="34" t="s">
        <v>70</v>
      </c>
      <c r="B1251" s="34" t="s">
        <v>1441</v>
      </c>
      <c r="C1251" s="34">
        <v>75.0</v>
      </c>
      <c r="D1251" s="34" t="s">
        <v>1441</v>
      </c>
      <c r="E1251" s="34" t="s">
        <v>3332</v>
      </c>
      <c r="F1251" s="34" t="s">
        <v>3333</v>
      </c>
      <c r="G1251" s="34">
        <v>75114.0</v>
      </c>
      <c r="H1251" s="34" t="s">
        <v>3331</v>
      </c>
      <c r="I1251" s="34" t="s">
        <v>18</v>
      </c>
      <c r="J1251" s="34" t="s">
        <v>15</v>
      </c>
      <c r="K1251" s="45">
        <v>90.4</v>
      </c>
      <c r="L1251" s="9"/>
      <c r="M1251" s="45">
        <v>90.4</v>
      </c>
    </row>
    <row r="1252">
      <c r="A1252" s="34" t="s">
        <v>70</v>
      </c>
      <c r="B1252" s="34" t="s">
        <v>1441</v>
      </c>
      <c r="C1252" s="34">
        <v>75.0</v>
      </c>
      <c r="D1252" s="34" t="s">
        <v>1441</v>
      </c>
      <c r="E1252" s="34" t="s">
        <v>3334</v>
      </c>
      <c r="F1252" s="34" t="s">
        <v>3335</v>
      </c>
      <c r="G1252" s="34">
        <v>75115.0</v>
      </c>
      <c r="H1252" s="34" t="s">
        <v>1501</v>
      </c>
      <c r="I1252" s="34" t="s">
        <v>18</v>
      </c>
      <c r="J1252" s="34" t="s">
        <v>15</v>
      </c>
      <c r="K1252" s="45">
        <v>129.8</v>
      </c>
      <c r="L1252" s="9"/>
      <c r="M1252" s="45">
        <v>129.8</v>
      </c>
    </row>
    <row r="1253">
      <c r="A1253" s="34" t="s">
        <v>70</v>
      </c>
      <c r="B1253" s="34" t="s">
        <v>1441</v>
      </c>
      <c r="C1253" s="34">
        <v>75.0</v>
      </c>
      <c r="D1253" s="34" t="s">
        <v>1441</v>
      </c>
      <c r="E1253" s="34" t="s">
        <v>3336</v>
      </c>
      <c r="F1253" s="34" t="s">
        <v>3337</v>
      </c>
      <c r="G1253" s="34">
        <v>75115.0</v>
      </c>
      <c r="H1253" s="34" t="s">
        <v>1501</v>
      </c>
      <c r="I1253" s="34" t="s">
        <v>18</v>
      </c>
      <c r="J1253" s="34" t="s">
        <v>14</v>
      </c>
      <c r="K1253" s="45">
        <v>101.3</v>
      </c>
      <c r="L1253" s="45">
        <v>81.5</v>
      </c>
      <c r="M1253" s="45">
        <v>93.6</v>
      </c>
    </row>
    <row r="1254">
      <c r="A1254" s="34" t="s">
        <v>70</v>
      </c>
      <c r="B1254" s="34" t="s">
        <v>1441</v>
      </c>
      <c r="C1254" s="34">
        <v>75.0</v>
      </c>
      <c r="D1254" s="34" t="s">
        <v>1441</v>
      </c>
      <c r="E1254" s="34" t="s">
        <v>3338</v>
      </c>
      <c r="F1254" s="34" t="s">
        <v>3339</v>
      </c>
      <c r="G1254" s="34">
        <v>75115.0</v>
      </c>
      <c r="H1254" s="34" t="s">
        <v>1501</v>
      </c>
      <c r="I1254" s="34" t="s">
        <v>18</v>
      </c>
      <c r="J1254" s="34" t="s">
        <v>15</v>
      </c>
      <c r="K1254" s="45">
        <v>95.5</v>
      </c>
      <c r="L1254" s="9"/>
      <c r="M1254" s="45">
        <v>95.5</v>
      </c>
    </row>
    <row r="1255">
      <c r="A1255" s="34" t="s">
        <v>70</v>
      </c>
      <c r="B1255" s="34" t="s">
        <v>1441</v>
      </c>
      <c r="C1255" s="34">
        <v>75.0</v>
      </c>
      <c r="D1255" s="34" t="s">
        <v>1441</v>
      </c>
      <c r="E1255" s="34" t="s">
        <v>3340</v>
      </c>
      <c r="F1255" s="34" t="s">
        <v>3341</v>
      </c>
      <c r="G1255" s="34">
        <v>75119.0</v>
      </c>
      <c r="H1255" s="34" t="s">
        <v>1471</v>
      </c>
      <c r="I1255" s="34" t="s">
        <v>18</v>
      </c>
      <c r="J1255" s="34" t="s">
        <v>15</v>
      </c>
      <c r="K1255" s="45">
        <v>98.4</v>
      </c>
      <c r="L1255" s="9"/>
      <c r="M1255" s="45">
        <v>98.4</v>
      </c>
    </row>
    <row r="1256">
      <c r="A1256" s="34" t="s">
        <v>70</v>
      </c>
      <c r="B1256" s="34" t="s">
        <v>1441</v>
      </c>
      <c r="C1256" s="34">
        <v>75.0</v>
      </c>
      <c r="D1256" s="34" t="s">
        <v>1441</v>
      </c>
      <c r="E1256" s="34" t="s">
        <v>3342</v>
      </c>
      <c r="F1256" s="34" t="s">
        <v>3343</v>
      </c>
      <c r="G1256" s="34">
        <v>75116.0</v>
      </c>
      <c r="H1256" s="34" t="s">
        <v>1466</v>
      </c>
      <c r="I1256" s="34" t="s">
        <v>18</v>
      </c>
      <c r="J1256" s="34" t="s">
        <v>15</v>
      </c>
      <c r="K1256" s="45">
        <v>129.8</v>
      </c>
      <c r="L1256" s="9"/>
      <c r="M1256" s="45">
        <v>129.8</v>
      </c>
    </row>
    <row r="1257">
      <c r="A1257" s="34" t="s">
        <v>70</v>
      </c>
      <c r="B1257" s="34" t="s">
        <v>1441</v>
      </c>
      <c r="C1257" s="34">
        <v>75.0</v>
      </c>
      <c r="D1257" s="34" t="s">
        <v>1441</v>
      </c>
      <c r="E1257" s="34" t="s">
        <v>3344</v>
      </c>
      <c r="F1257" s="34" t="s">
        <v>3345</v>
      </c>
      <c r="G1257" s="34">
        <v>75120.0</v>
      </c>
      <c r="H1257" s="34" t="s">
        <v>1488</v>
      </c>
      <c r="I1257" s="34" t="s">
        <v>18</v>
      </c>
      <c r="J1257" s="34" t="s">
        <v>15</v>
      </c>
      <c r="K1257" s="45">
        <v>129.9</v>
      </c>
      <c r="L1257" s="9"/>
      <c r="M1257" s="45">
        <v>129.9</v>
      </c>
    </row>
    <row r="1258">
      <c r="A1258" s="34" t="s">
        <v>70</v>
      </c>
      <c r="B1258" s="34" t="s">
        <v>1441</v>
      </c>
      <c r="C1258" s="34">
        <v>75.0</v>
      </c>
      <c r="D1258" s="34" t="s">
        <v>1441</v>
      </c>
      <c r="E1258" s="34" t="s">
        <v>3346</v>
      </c>
      <c r="F1258" s="34" t="s">
        <v>3347</v>
      </c>
      <c r="G1258" s="34">
        <v>75118.0</v>
      </c>
      <c r="H1258" s="34" t="s">
        <v>1463</v>
      </c>
      <c r="I1258" s="34" t="s">
        <v>18</v>
      </c>
      <c r="J1258" s="34" t="s">
        <v>13</v>
      </c>
      <c r="K1258" s="9"/>
      <c r="L1258" s="45">
        <v>81.2</v>
      </c>
      <c r="M1258" s="45">
        <v>81.2</v>
      </c>
    </row>
    <row r="1259">
      <c r="A1259" s="34" t="s">
        <v>70</v>
      </c>
      <c r="B1259" s="34" t="s">
        <v>1441</v>
      </c>
      <c r="C1259" s="34">
        <v>75.0</v>
      </c>
      <c r="D1259" s="34" t="s">
        <v>1441</v>
      </c>
      <c r="E1259" s="34" t="s">
        <v>3348</v>
      </c>
      <c r="F1259" s="34" t="s">
        <v>3349</v>
      </c>
      <c r="G1259" s="34">
        <v>75101.0</v>
      </c>
      <c r="H1259" s="34" t="s">
        <v>3350</v>
      </c>
      <c r="I1259" s="34" t="s">
        <v>18</v>
      </c>
      <c r="J1259" s="34" t="s">
        <v>13</v>
      </c>
      <c r="K1259" s="9"/>
      <c r="L1259" s="45">
        <v>80.0</v>
      </c>
      <c r="M1259" s="45">
        <v>80.0</v>
      </c>
    </row>
    <row r="1260">
      <c r="A1260" s="34" t="s">
        <v>70</v>
      </c>
      <c r="B1260" s="34" t="s">
        <v>1441</v>
      </c>
      <c r="C1260" s="34">
        <v>75.0</v>
      </c>
      <c r="D1260" s="34" t="s">
        <v>1441</v>
      </c>
      <c r="E1260" s="34" t="s">
        <v>3351</v>
      </c>
      <c r="F1260" s="34" t="s">
        <v>3352</v>
      </c>
      <c r="G1260" s="34">
        <v>75113.0</v>
      </c>
      <c r="H1260" s="34" t="s">
        <v>1477</v>
      </c>
      <c r="I1260" s="34" t="s">
        <v>18</v>
      </c>
      <c r="J1260" s="34" t="s">
        <v>14</v>
      </c>
      <c r="K1260" s="45">
        <v>93.1</v>
      </c>
      <c r="L1260" s="45">
        <v>83.9</v>
      </c>
      <c r="M1260" s="45">
        <v>89.3</v>
      </c>
    </row>
    <row r="1261">
      <c r="A1261" s="34" t="s">
        <v>70</v>
      </c>
      <c r="B1261" s="34" t="s">
        <v>1441</v>
      </c>
      <c r="C1261" s="34">
        <v>75.0</v>
      </c>
      <c r="D1261" s="34" t="s">
        <v>1441</v>
      </c>
      <c r="E1261" s="34" t="s">
        <v>3353</v>
      </c>
      <c r="F1261" s="34" t="s">
        <v>3354</v>
      </c>
      <c r="G1261" s="34">
        <v>75106.0</v>
      </c>
      <c r="H1261" s="34" t="s">
        <v>1495</v>
      </c>
      <c r="I1261" s="34" t="s">
        <v>17</v>
      </c>
      <c r="J1261" s="34" t="s">
        <v>15</v>
      </c>
      <c r="K1261" s="45">
        <v>145.8</v>
      </c>
      <c r="L1261" s="9"/>
      <c r="M1261" s="45">
        <v>145.8</v>
      </c>
    </row>
    <row r="1262">
      <c r="A1262" s="34" t="s">
        <v>70</v>
      </c>
      <c r="B1262" s="34" t="s">
        <v>1441</v>
      </c>
      <c r="C1262" s="34">
        <v>75.0</v>
      </c>
      <c r="D1262" s="34" t="s">
        <v>1441</v>
      </c>
      <c r="E1262" s="34" t="s">
        <v>3355</v>
      </c>
      <c r="F1262" s="34" t="s">
        <v>3356</v>
      </c>
      <c r="G1262" s="34">
        <v>75104.0</v>
      </c>
      <c r="H1262" s="34" t="s">
        <v>1446</v>
      </c>
      <c r="I1262" s="34" t="s">
        <v>17</v>
      </c>
      <c r="J1262" s="34" t="s">
        <v>15</v>
      </c>
      <c r="K1262" s="45">
        <v>140.4</v>
      </c>
      <c r="L1262" s="9"/>
      <c r="M1262" s="45">
        <v>140.4</v>
      </c>
    </row>
    <row r="1263">
      <c r="A1263" s="34" t="s">
        <v>70</v>
      </c>
      <c r="B1263" s="34" t="s">
        <v>1441</v>
      </c>
      <c r="C1263" s="34">
        <v>75.0</v>
      </c>
      <c r="D1263" s="34" t="s">
        <v>1441</v>
      </c>
      <c r="E1263" s="34" t="s">
        <v>3357</v>
      </c>
      <c r="F1263" s="34" t="s">
        <v>3358</v>
      </c>
      <c r="G1263" s="34">
        <v>75107.0</v>
      </c>
      <c r="H1263" s="34" t="s">
        <v>1449</v>
      </c>
      <c r="I1263" s="34" t="s">
        <v>17</v>
      </c>
      <c r="J1263" s="34" t="s">
        <v>15</v>
      </c>
      <c r="K1263" s="45">
        <v>153.2</v>
      </c>
      <c r="L1263" s="9"/>
      <c r="M1263" s="45">
        <v>153.2</v>
      </c>
    </row>
    <row r="1264">
      <c r="A1264" s="34" t="s">
        <v>70</v>
      </c>
      <c r="B1264" s="34" t="s">
        <v>1441</v>
      </c>
      <c r="C1264" s="34">
        <v>75.0</v>
      </c>
      <c r="D1264" s="34" t="s">
        <v>1441</v>
      </c>
      <c r="E1264" s="34" t="s">
        <v>3359</v>
      </c>
      <c r="F1264" s="34" t="s">
        <v>3360</v>
      </c>
      <c r="G1264" s="34">
        <v>75107.0</v>
      </c>
      <c r="H1264" s="34" t="s">
        <v>1449</v>
      </c>
      <c r="I1264" s="34" t="s">
        <v>17</v>
      </c>
      <c r="J1264" s="34" t="s">
        <v>15</v>
      </c>
      <c r="K1264" s="45">
        <v>147.8</v>
      </c>
      <c r="L1264" s="9"/>
      <c r="M1264" s="45">
        <v>147.8</v>
      </c>
    </row>
    <row r="1265">
      <c r="A1265" s="34" t="s">
        <v>70</v>
      </c>
      <c r="B1265" s="34" t="s">
        <v>1441</v>
      </c>
      <c r="C1265" s="34">
        <v>75.0</v>
      </c>
      <c r="D1265" s="34" t="s">
        <v>1441</v>
      </c>
      <c r="E1265" s="34" t="s">
        <v>3361</v>
      </c>
      <c r="F1265" s="34" t="s">
        <v>2726</v>
      </c>
      <c r="G1265" s="34">
        <v>75111.0</v>
      </c>
      <c r="H1265" s="34" t="s">
        <v>3362</v>
      </c>
      <c r="I1265" s="34" t="s">
        <v>17</v>
      </c>
      <c r="J1265" s="34" t="s">
        <v>15</v>
      </c>
      <c r="K1265" s="45">
        <v>138.7</v>
      </c>
      <c r="L1265" s="9"/>
      <c r="M1265" s="45">
        <v>138.7</v>
      </c>
    </row>
    <row r="1266">
      <c r="A1266" s="34" t="s">
        <v>70</v>
      </c>
      <c r="B1266" s="34" t="s">
        <v>1441</v>
      </c>
      <c r="C1266" s="34">
        <v>75.0</v>
      </c>
      <c r="D1266" s="34" t="s">
        <v>1441</v>
      </c>
      <c r="E1266" s="34" t="s">
        <v>3363</v>
      </c>
      <c r="F1266" s="34" t="s">
        <v>3364</v>
      </c>
      <c r="G1266" s="34">
        <v>75115.0</v>
      </c>
      <c r="H1266" s="34" t="s">
        <v>1501</v>
      </c>
      <c r="I1266" s="34" t="s">
        <v>17</v>
      </c>
      <c r="J1266" s="34" t="s">
        <v>15</v>
      </c>
      <c r="K1266" s="45">
        <v>138.4</v>
      </c>
      <c r="L1266" s="9"/>
      <c r="M1266" s="45">
        <v>138.4</v>
      </c>
    </row>
    <row r="1267">
      <c r="A1267" s="34" t="s">
        <v>70</v>
      </c>
      <c r="B1267" s="34" t="s">
        <v>1441</v>
      </c>
      <c r="C1267" s="34">
        <v>75.0</v>
      </c>
      <c r="D1267" s="34" t="s">
        <v>1441</v>
      </c>
      <c r="E1267" s="34" t="s">
        <v>3365</v>
      </c>
      <c r="F1267" s="34" t="s">
        <v>3366</v>
      </c>
      <c r="G1267" s="34">
        <v>75116.0</v>
      </c>
      <c r="H1267" s="34" t="s">
        <v>1466</v>
      </c>
      <c r="I1267" s="34" t="s">
        <v>17</v>
      </c>
      <c r="J1267" s="34" t="s">
        <v>15</v>
      </c>
      <c r="K1267" s="45">
        <v>149.5</v>
      </c>
      <c r="L1267" s="9"/>
      <c r="M1267" s="45">
        <v>149.5</v>
      </c>
    </row>
    <row r="1268">
      <c r="A1268" s="34" t="s">
        <v>70</v>
      </c>
      <c r="B1268" s="34" t="s">
        <v>1441</v>
      </c>
      <c r="C1268" s="34">
        <v>75.0</v>
      </c>
      <c r="D1268" s="34" t="s">
        <v>1441</v>
      </c>
      <c r="E1268" s="34" t="s">
        <v>3367</v>
      </c>
      <c r="F1268" s="34" t="s">
        <v>3368</v>
      </c>
      <c r="G1268" s="34">
        <v>75116.0</v>
      </c>
      <c r="H1268" s="34" t="s">
        <v>1466</v>
      </c>
      <c r="I1268" s="34" t="s">
        <v>17</v>
      </c>
      <c r="J1268" s="34" t="s">
        <v>15</v>
      </c>
      <c r="K1268" s="45">
        <v>145.9</v>
      </c>
      <c r="L1268" s="9"/>
      <c r="M1268" s="45">
        <v>145.9</v>
      </c>
    </row>
    <row r="1269">
      <c r="A1269" s="34" t="s">
        <v>70</v>
      </c>
      <c r="B1269" s="34" t="s">
        <v>1441</v>
      </c>
      <c r="C1269" s="34">
        <v>75.0</v>
      </c>
      <c r="D1269" s="34" t="s">
        <v>1441</v>
      </c>
      <c r="E1269" s="34" t="s">
        <v>3369</v>
      </c>
      <c r="F1269" s="34" t="s">
        <v>3370</v>
      </c>
      <c r="G1269" s="34">
        <v>75106.0</v>
      </c>
      <c r="H1269" s="34" t="s">
        <v>1495</v>
      </c>
      <c r="I1269" s="34" t="s">
        <v>17</v>
      </c>
      <c r="J1269" s="34" t="s">
        <v>14</v>
      </c>
      <c r="K1269" s="45">
        <v>125.8</v>
      </c>
      <c r="L1269" s="45">
        <v>119.9</v>
      </c>
      <c r="M1269" s="45">
        <v>123.0</v>
      </c>
    </row>
    <row r="1270">
      <c r="A1270" s="34" t="s">
        <v>70</v>
      </c>
      <c r="B1270" s="34" t="s">
        <v>1441</v>
      </c>
      <c r="C1270" s="34">
        <v>75.0</v>
      </c>
      <c r="D1270" s="34" t="s">
        <v>1441</v>
      </c>
      <c r="E1270" s="34" t="s">
        <v>3371</v>
      </c>
      <c r="F1270" s="34" t="s">
        <v>3372</v>
      </c>
      <c r="G1270" s="34">
        <v>75107.0</v>
      </c>
      <c r="H1270" s="34" t="s">
        <v>1449</v>
      </c>
      <c r="I1270" s="34" t="s">
        <v>17</v>
      </c>
      <c r="J1270" s="34" t="s">
        <v>14</v>
      </c>
      <c r="K1270" s="45">
        <v>126.4</v>
      </c>
      <c r="L1270" s="45">
        <v>112.0</v>
      </c>
      <c r="M1270" s="45">
        <v>120.0</v>
      </c>
    </row>
    <row r="1271">
      <c r="A1271" s="34" t="s">
        <v>70</v>
      </c>
      <c r="B1271" s="34" t="s">
        <v>1441</v>
      </c>
      <c r="C1271" s="34">
        <v>75.0</v>
      </c>
      <c r="D1271" s="34" t="s">
        <v>1441</v>
      </c>
      <c r="E1271" s="34" t="s">
        <v>3373</v>
      </c>
      <c r="F1271" s="34" t="s">
        <v>3374</v>
      </c>
      <c r="G1271" s="34">
        <v>75111.0</v>
      </c>
      <c r="H1271" s="34" t="s">
        <v>3362</v>
      </c>
      <c r="I1271" s="34" t="s">
        <v>17</v>
      </c>
      <c r="J1271" s="34" t="s">
        <v>15</v>
      </c>
      <c r="K1271" s="45">
        <v>102.8</v>
      </c>
      <c r="L1271" s="9"/>
      <c r="M1271" s="45">
        <v>102.8</v>
      </c>
    </row>
    <row r="1272">
      <c r="A1272" s="34" t="s">
        <v>70</v>
      </c>
      <c r="B1272" s="34" t="s">
        <v>1441</v>
      </c>
      <c r="C1272" s="34">
        <v>75.0</v>
      </c>
      <c r="D1272" s="34" t="s">
        <v>1441</v>
      </c>
      <c r="E1272" s="34" t="s">
        <v>3375</v>
      </c>
      <c r="F1272" s="34" t="s">
        <v>3376</v>
      </c>
      <c r="G1272" s="34">
        <v>75119.0</v>
      </c>
      <c r="H1272" s="34" t="s">
        <v>1471</v>
      </c>
      <c r="I1272" s="34" t="s">
        <v>18</v>
      </c>
      <c r="J1272" s="34" t="s">
        <v>15</v>
      </c>
      <c r="K1272" s="45">
        <v>146.0</v>
      </c>
      <c r="L1272" s="9"/>
      <c r="M1272" s="45">
        <v>146.0</v>
      </c>
    </row>
    <row r="1273">
      <c r="A1273" s="34" t="s">
        <v>70</v>
      </c>
      <c r="B1273" s="34" t="s">
        <v>1441</v>
      </c>
      <c r="C1273" s="34">
        <v>75.0</v>
      </c>
      <c r="D1273" s="34" t="s">
        <v>1441</v>
      </c>
      <c r="E1273" s="34" t="s">
        <v>3377</v>
      </c>
      <c r="F1273" s="34" t="s">
        <v>3378</v>
      </c>
      <c r="G1273" s="34">
        <v>75113.0</v>
      </c>
      <c r="H1273" s="34" t="s">
        <v>1477</v>
      </c>
      <c r="I1273" s="34" t="s">
        <v>17</v>
      </c>
      <c r="J1273" s="34" t="s">
        <v>14</v>
      </c>
      <c r="K1273" s="45">
        <v>130.1</v>
      </c>
      <c r="L1273" s="45">
        <v>111.2</v>
      </c>
      <c r="M1273" s="45">
        <v>122.5</v>
      </c>
    </row>
    <row r="1274">
      <c r="A1274" s="34" t="s">
        <v>70</v>
      </c>
      <c r="B1274" s="34" t="s">
        <v>1441</v>
      </c>
      <c r="C1274" s="34">
        <v>75.0</v>
      </c>
      <c r="D1274" s="34" t="s">
        <v>1441</v>
      </c>
      <c r="E1274" s="34" t="s">
        <v>3379</v>
      </c>
      <c r="F1274" s="34" t="s">
        <v>3380</v>
      </c>
      <c r="G1274" s="34">
        <v>75119.0</v>
      </c>
      <c r="H1274" s="34" t="s">
        <v>1471</v>
      </c>
      <c r="I1274" s="34" t="s">
        <v>17</v>
      </c>
      <c r="J1274" s="34" t="s">
        <v>15</v>
      </c>
      <c r="K1274" s="45">
        <v>130.0</v>
      </c>
      <c r="L1274" s="9"/>
      <c r="M1274" s="45">
        <v>130.0</v>
      </c>
    </row>
    <row r="1275">
      <c r="A1275" s="34" t="s">
        <v>70</v>
      </c>
      <c r="B1275" s="34" t="s">
        <v>269</v>
      </c>
      <c r="C1275" s="34">
        <v>76.0</v>
      </c>
      <c r="D1275" s="34" t="s">
        <v>1506</v>
      </c>
      <c r="E1275" s="34" t="s">
        <v>3381</v>
      </c>
      <c r="F1275" s="34" t="s">
        <v>985</v>
      </c>
      <c r="G1275" s="34">
        <v>76114.0</v>
      </c>
      <c r="H1275" s="34" t="s">
        <v>3382</v>
      </c>
      <c r="I1275" s="34" t="s">
        <v>18</v>
      </c>
      <c r="J1275" s="34" t="s">
        <v>13</v>
      </c>
      <c r="K1275" s="9"/>
      <c r="L1275" s="45">
        <v>84.7</v>
      </c>
      <c r="M1275" s="45">
        <v>84.7</v>
      </c>
    </row>
    <row r="1276">
      <c r="A1276" s="34" t="s">
        <v>70</v>
      </c>
      <c r="B1276" s="34" t="s">
        <v>269</v>
      </c>
      <c r="C1276" s="34">
        <v>76.0</v>
      </c>
      <c r="D1276" s="34" t="s">
        <v>1506</v>
      </c>
      <c r="E1276" s="34" t="s">
        <v>3383</v>
      </c>
      <c r="F1276" s="34" t="s">
        <v>3384</v>
      </c>
      <c r="G1276" s="34">
        <v>76217.0</v>
      </c>
      <c r="H1276" s="34" t="s">
        <v>1529</v>
      </c>
      <c r="I1276" s="34" t="s">
        <v>18</v>
      </c>
      <c r="J1276" s="34" t="s">
        <v>13</v>
      </c>
      <c r="K1276" s="9"/>
      <c r="L1276" s="45">
        <v>83.2</v>
      </c>
      <c r="M1276" s="45">
        <v>83.2</v>
      </c>
    </row>
    <row r="1277">
      <c r="A1277" s="34" t="s">
        <v>70</v>
      </c>
      <c r="B1277" s="34" t="s">
        <v>269</v>
      </c>
      <c r="C1277" s="34">
        <v>76.0</v>
      </c>
      <c r="D1277" s="34" t="s">
        <v>1506</v>
      </c>
      <c r="E1277" s="34" t="s">
        <v>3385</v>
      </c>
      <c r="F1277" s="34" t="s">
        <v>3386</v>
      </c>
      <c r="G1277" s="34">
        <v>76351.0</v>
      </c>
      <c r="H1277" s="34" t="s">
        <v>1515</v>
      </c>
      <c r="I1277" s="34" t="s">
        <v>18</v>
      </c>
      <c r="J1277" s="34" t="s">
        <v>15</v>
      </c>
      <c r="K1277" s="45">
        <v>117.7</v>
      </c>
      <c r="L1277" s="9"/>
      <c r="M1277" s="45">
        <v>117.7</v>
      </c>
    </row>
    <row r="1278">
      <c r="A1278" s="34" t="s">
        <v>70</v>
      </c>
      <c r="B1278" s="34" t="s">
        <v>269</v>
      </c>
      <c r="C1278" s="34">
        <v>76.0</v>
      </c>
      <c r="D1278" s="34" t="s">
        <v>1506</v>
      </c>
      <c r="E1278" s="34" t="s">
        <v>3387</v>
      </c>
      <c r="F1278" s="34" t="s">
        <v>3388</v>
      </c>
      <c r="G1278" s="34">
        <v>76351.0</v>
      </c>
      <c r="H1278" s="34" t="s">
        <v>1515</v>
      </c>
      <c r="I1278" s="34" t="s">
        <v>18</v>
      </c>
      <c r="J1278" s="34" t="s">
        <v>14</v>
      </c>
      <c r="K1278" s="45">
        <v>86.3</v>
      </c>
      <c r="L1278" s="45">
        <v>79.5</v>
      </c>
      <c r="M1278" s="45">
        <v>82.0</v>
      </c>
    </row>
    <row r="1279">
      <c r="A1279" s="34" t="s">
        <v>70</v>
      </c>
      <c r="B1279" s="34" t="s">
        <v>269</v>
      </c>
      <c r="C1279" s="34">
        <v>76.0</v>
      </c>
      <c r="D1279" s="34" t="s">
        <v>1506</v>
      </c>
      <c r="E1279" s="34" t="s">
        <v>3389</v>
      </c>
      <c r="F1279" s="34" t="s">
        <v>3390</v>
      </c>
      <c r="G1279" s="34">
        <v>76540.0</v>
      </c>
      <c r="H1279" s="34" t="s">
        <v>1534</v>
      </c>
      <c r="I1279" s="34" t="s">
        <v>18</v>
      </c>
      <c r="J1279" s="34" t="s">
        <v>15</v>
      </c>
      <c r="K1279" s="45">
        <v>119.2</v>
      </c>
      <c r="L1279" s="9"/>
      <c r="M1279" s="45">
        <v>119.2</v>
      </c>
    </row>
    <row r="1280">
      <c r="A1280" s="34" t="s">
        <v>70</v>
      </c>
      <c r="B1280" s="34" t="s">
        <v>269</v>
      </c>
      <c r="C1280" s="34">
        <v>76.0</v>
      </c>
      <c r="D1280" s="34" t="s">
        <v>1506</v>
      </c>
      <c r="E1280" s="34" t="s">
        <v>3391</v>
      </c>
      <c r="F1280" s="34" t="s">
        <v>3392</v>
      </c>
      <c r="G1280" s="34">
        <v>76681.0</v>
      </c>
      <c r="H1280" s="34" t="s">
        <v>3393</v>
      </c>
      <c r="I1280" s="34" t="s">
        <v>18</v>
      </c>
      <c r="J1280" s="34" t="s">
        <v>15</v>
      </c>
      <c r="K1280" s="45">
        <v>106.5</v>
      </c>
      <c r="L1280" s="9"/>
      <c r="M1280" s="45">
        <v>106.5</v>
      </c>
    </row>
    <row r="1281">
      <c r="A1281" s="34" t="s">
        <v>70</v>
      </c>
      <c r="B1281" s="34" t="s">
        <v>269</v>
      </c>
      <c r="C1281" s="34">
        <v>76.0</v>
      </c>
      <c r="D1281" s="34" t="s">
        <v>1506</v>
      </c>
      <c r="E1281" s="34" t="s">
        <v>3394</v>
      </c>
      <c r="F1281" s="34" t="s">
        <v>3395</v>
      </c>
      <c r="G1281" s="34">
        <v>76351.0</v>
      </c>
      <c r="H1281" s="34" t="s">
        <v>1515</v>
      </c>
      <c r="I1281" s="34" t="s">
        <v>18</v>
      </c>
      <c r="J1281" s="34" t="s">
        <v>15</v>
      </c>
      <c r="K1281" s="45">
        <v>92.9</v>
      </c>
      <c r="L1281" s="9"/>
      <c r="M1281" s="45">
        <v>92.9</v>
      </c>
    </row>
    <row r="1282">
      <c r="A1282" s="34" t="s">
        <v>70</v>
      </c>
      <c r="B1282" s="34" t="s">
        <v>269</v>
      </c>
      <c r="C1282" s="34">
        <v>76.0</v>
      </c>
      <c r="D1282" s="34" t="s">
        <v>1506</v>
      </c>
      <c r="E1282" s="34" t="s">
        <v>3396</v>
      </c>
      <c r="F1282" s="34" t="s">
        <v>3397</v>
      </c>
      <c r="G1282" s="34">
        <v>76540.0</v>
      </c>
      <c r="H1282" s="34" t="s">
        <v>1534</v>
      </c>
      <c r="I1282" s="34" t="s">
        <v>17</v>
      </c>
      <c r="J1282" s="34" t="s">
        <v>14</v>
      </c>
      <c r="K1282" s="45">
        <v>112.2</v>
      </c>
      <c r="L1282" s="45">
        <v>88.7</v>
      </c>
      <c r="M1282" s="45">
        <v>100.2</v>
      </c>
    </row>
    <row r="1283">
      <c r="A1283" s="34" t="s">
        <v>70</v>
      </c>
      <c r="B1283" s="34" t="s">
        <v>269</v>
      </c>
      <c r="C1283" s="34">
        <v>76.0</v>
      </c>
      <c r="D1283" s="34" t="s">
        <v>1506</v>
      </c>
      <c r="E1283" s="34" t="s">
        <v>3398</v>
      </c>
      <c r="F1283" s="34" t="s">
        <v>3399</v>
      </c>
      <c r="G1283" s="34">
        <v>76498.0</v>
      </c>
      <c r="H1283" s="34" t="s">
        <v>1521</v>
      </c>
      <c r="I1283" s="34" t="s">
        <v>17</v>
      </c>
      <c r="J1283" s="34" t="s">
        <v>13</v>
      </c>
      <c r="K1283" s="9"/>
      <c r="L1283" s="45">
        <v>96.5</v>
      </c>
      <c r="M1283" s="45">
        <v>96.5</v>
      </c>
    </row>
    <row r="1284">
      <c r="A1284" s="34" t="s">
        <v>70</v>
      </c>
      <c r="B1284" s="34" t="s">
        <v>269</v>
      </c>
      <c r="C1284" s="34">
        <v>76.0</v>
      </c>
      <c r="D1284" s="34" t="s">
        <v>1506</v>
      </c>
      <c r="E1284" s="34" t="s">
        <v>3400</v>
      </c>
      <c r="F1284" s="34" t="s">
        <v>3401</v>
      </c>
      <c r="G1284" s="34">
        <v>76231.0</v>
      </c>
      <c r="H1284" s="34" t="s">
        <v>1509</v>
      </c>
      <c r="I1284" s="34" t="s">
        <v>17</v>
      </c>
      <c r="J1284" s="34" t="s">
        <v>15</v>
      </c>
      <c r="K1284" s="45">
        <v>122.5</v>
      </c>
      <c r="L1284" s="9"/>
      <c r="M1284" s="45">
        <v>122.5</v>
      </c>
    </row>
    <row r="1285">
      <c r="A1285" s="34" t="s">
        <v>70</v>
      </c>
      <c r="B1285" s="34" t="s">
        <v>269</v>
      </c>
      <c r="C1285" s="34">
        <v>76.0</v>
      </c>
      <c r="D1285" s="34" t="s">
        <v>1506</v>
      </c>
      <c r="E1285" s="34" t="s">
        <v>3402</v>
      </c>
      <c r="F1285" s="34" t="s">
        <v>848</v>
      </c>
      <c r="G1285" s="34">
        <v>76552.0</v>
      </c>
      <c r="H1285" s="34" t="s">
        <v>3403</v>
      </c>
      <c r="I1285" s="34" t="s">
        <v>17</v>
      </c>
      <c r="J1285" s="34" t="s">
        <v>14</v>
      </c>
      <c r="K1285" s="45">
        <v>109.0</v>
      </c>
      <c r="L1285" s="45">
        <v>91.0</v>
      </c>
      <c r="M1285" s="45">
        <v>98.0</v>
      </c>
    </row>
    <row r="1286">
      <c r="A1286" s="34" t="s">
        <v>70</v>
      </c>
      <c r="B1286" s="34" t="s">
        <v>269</v>
      </c>
      <c r="C1286" s="34">
        <v>76.0</v>
      </c>
      <c r="D1286" s="34" t="s">
        <v>1506</v>
      </c>
      <c r="E1286" s="34" t="s">
        <v>3404</v>
      </c>
      <c r="F1286" s="34" t="s">
        <v>3405</v>
      </c>
      <c r="G1286" s="34">
        <v>76276.0</v>
      </c>
      <c r="H1286" s="34" t="s">
        <v>3406</v>
      </c>
      <c r="I1286" s="34" t="s">
        <v>18</v>
      </c>
      <c r="J1286" s="34" t="s">
        <v>14</v>
      </c>
      <c r="K1286" s="45">
        <v>110.4</v>
      </c>
      <c r="L1286" s="45">
        <v>89.6</v>
      </c>
      <c r="M1286" s="45">
        <v>106.6</v>
      </c>
    </row>
    <row r="1287">
      <c r="A1287" s="34" t="s">
        <v>70</v>
      </c>
      <c r="B1287" s="34" t="s">
        <v>269</v>
      </c>
      <c r="C1287" s="34">
        <v>76.0</v>
      </c>
      <c r="D1287" s="34" t="s">
        <v>1506</v>
      </c>
      <c r="E1287" s="34" t="s">
        <v>3407</v>
      </c>
      <c r="F1287" s="34" t="s">
        <v>3408</v>
      </c>
      <c r="G1287" s="34">
        <v>76540.0</v>
      </c>
      <c r="H1287" s="34" t="s">
        <v>1534</v>
      </c>
      <c r="I1287" s="34" t="s">
        <v>18</v>
      </c>
      <c r="J1287" s="34" t="s">
        <v>13</v>
      </c>
      <c r="K1287" s="9"/>
      <c r="L1287" s="45">
        <v>77.9</v>
      </c>
      <c r="M1287" s="45">
        <v>77.9</v>
      </c>
    </row>
    <row r="1288">
      <c r="A1288" s="34" t="s">
        <v>70</v>
      </c>
      <c r="B1288" s="34" t="s">
        <v>269</v>
      </c>
      <c r="C1288" s="34">
        <v>76.0</v>
      </c>
      <c r="D1288" s="34" t="s">
        <v>1506</v>
      </c>
      <c r="E1288" s="34" t="s">
        <v>3409</v>
      </c>
      <c r="F1288" s="34" t="s">
        <v>3410</v>
      </c>
      <c r="G1288" s="34">
        <v>76655.0</v>
      </c>
      <c r="H1288" s="34" t="s">
        <v>3411</v>
      </c>
      <c r="I1288" s="34" t="s">
        <v>18</v>
      </c>
      <c r="J1288" s="34" t="s">
        <v>15</v>
      </c>
      <c r="K1288" s="45">
        <v>109.7</v>
      </c>
      <c r="L1288" s="9"/>
      <c r="M1288" s="45">
        <v>109.7</v>
      </c>
    </row>
    <row r="1289">
      <c r="A1289" s="34" t="s">
        <v>70</v>
      </c>
      <c r="B1289" s="34" t="s">
        <v>1545</v>
      </c>
      <c r="C1289" s="34">
        <v>77.0</v>
      </c>
      <c r="D1289" s="34" t="s">
        <v>1546</v>
      </c>
      <c r="E1289" s="34" t="s">
        <v>3412</v>
      </c>
      <c r="F1289" s="34" t="s">
        <v>3413</v>
      </c>
      <c r="G1289" s="34">
        <v>77131.0</v>
      </c>
      <c r="H1289" s="34" t="s">
        <v>3414</v>
      </c>
      <c r="I1289" s="34" t="s">
        <v>18</v>
      </c>
      <c r="J1289" s="34" t="s">
        <v>14</v>
      </c>
      <c r="K1289" s="45">
        <v>109.5</v>
      </c>
      <c r="L1289" s="45">
        <v>90.2</v>
      </c>
      <c r="M1289" s="45">
        <v>102.2</v>
      </c>
    </row>
    <row r="1290">
      <c r="A1290" s="34" t="s">
        <v>70</v>
      </c>
      <c r="B1290" s="34" t="s">
        <v>1545</v>
      </c>
      <c r="C1290" s="34">
        <v>77.0</v>
      </c>
      <c r="D1290" s="34" t="s">
        <v>1546</v>
      </c>
      <c r="E1290" s="34" t="s">
        <v>3415</v>
      </c>
      <c r="F1290" s="34" t="s">
        <v>3416</v>
      </c>
      <c r="G1290" s="34">
        <v>77186.0</v>
      </c>
      <c r="H1290" s="34" t="s">
        <v>1555</v>
      </c>
      <c r="I1290" s="34" t="s">
        <v>18</v>
      </c>
      <c r="J1290" s="34" t="s">
        <v>15</v>
      </c>
      <c r="K1290" s="45">
        <v>129.8</v>
      </c>
      <c r="L1290" s="9"/>
      <c r="M1290" s="45">
        <v>129.8</v>
      </c>
    </row>
    <row r="1291">
      <c r="A1291" s="34" t="s">
        <v>70</v>
      </c>
      <c r="B1291" s="34" t="s">
        <v>1545</v>
      </c>
      <c r="C1291" s="34">
        <v>77.0</v>
      </c>
      <c r="D1291" s="34" t="s">
        <v>1546</v>
      </c>
      <c r="E1291" s="34" t="s">
        <v>3417</v>
      </c>
      <c r="F1291" s="34" t="s">
        <v>3418</v>
      </c>
      <c r="G1291" s="34">
        <v>77186.0</v>
      </c>
      <c r="H1291" s="34" t="s">
        <v>1555</v>
      </c>
      <c r="I1291" s="34" t="s">
        <v>18</v>
      </c>
      <c r="J1291" s="34" t="s">
        <v>15</v>
      </c>
      <c r="K1291" s="45">
        <v>137.8</v>
      </c>
      <c r="L1291" s="9"/>
      <c r="M1291" s="45">
        <v>137.8</v>
      </c>
    </row>
    <row r="1292">
      <c r="A1292" s="34" t="s">
        <v>70</v>
      </c>
      <c r="B1292" s="34" t="s">
        <v>1545</v>
      </c>
      <c r="C1292" s="34">
        <v>77.0</v>
      </c>
      <c r="D1292" s="34" t="s">
        <v>1546</v>
      </c>
      <c r="E1292" s="34" t="s">
        <v>3419</v>
      </c>
      <c r="F1292" s="34" t="s">
        <v>3420</v>
      </c>
      <c r="G1292" s="34">
        <v>77389.0</v>
      </c>
      <c r="H1292" s="34" t="s">
        <v>3421</v>
      </c>
      <c r="I1292" s="34" t="s">
        <v>18</v>
      </c>
      <c r="J1292" s="34" t="s">
        <v>14</v>
      </c>
      <c r="K1292" s="45">
        <v>119.4</v>
      </c>
      <c r="L1292" s="45">
        <v>92.1</v>
      </c>
      <c r="M1292" s="45">
        <v>94.2</v>
      </c>
    </row>
    <row r="1293">
      <c r="A1293" s="34" t="s">
        <v>70</v>
      </c>
      <c r="B1293" s="34" t="s">
        <v>1545</v>
      </c>
      <c r="C1293" s="34">
        <v>77.0</v>
      </c>
      <c r="D1293" s="34" t="s">
        <v>1546</v>
      </c>
      <c r="E1293" s="34" t="s">
        <v>3422</v>
      </c>
      <c r="F1293" s="34" t="s">
        <v>3423</v>
      </c>
      <c r="G1293" s="34">
        <v>77482.0</v>
      </c>
      <c r="H1293" s="34" t="s">
        <v>3424</v>
      </c>
      <c r="I1293" s="34" t="s">
        <v>18</v>
      </c>
      <c r="J1293" s="34" t="s">
        <v>13</v>
      </c>
      <c r="K1293" s="9"/>
      <c r="L1293" s="45">
        <v>91.2</v>
      </c>
      <c r="M1293" s="45">
        <v>91.2</v>
      </c>
    </row>
    <row r="1294">
      <c r="A1294" s="34" t="s">
        <v>70</v>
      </c>
      <c r="B1294" s="34" t="s">
        <v>1545</v>
      </c>
      <c r="C1294" s="34">
        <v>77.0</v>
      </c>
      <c r="D1294" s="34" t="s">
        <v>1546</v>
      </c>
      <c r="E1294" s="34" t="s">
        <v>3425</v>
      </c>
      <c r="F1294" s="34" t="s">
        <v>3426</v>
      </c>
      <c r="G1294" s="34">
        <v>77126.0</v>
      </c>
      <c r="H1294" s="34" t="s">
        <v>3427</v>
      </c>
      <c r="I1294" s="34" t="s">
        <v>18</v>
      </c>
      <c r="J1294" s="34" t="s">
        <v>14</v>
      </c>
      <c r="K1294" s="45">
        <v>116.6</v>
      </c>
      <c r="L1294" s="45">
        <v>95.0</v>
      </c>
      <c r="M1294" s="45">
        <v>101.1</v>
      </c>
    </row>
    <row r="1295">
      <c r="A1295" s="34" t="s">
        <v>70</v>
      </c>
      <c r="B1295" s="34" t="s">
        <v>1545</v>
      </c>
      <c r="C1295" s="34">
        <v>77.0</v>
      </c>
      <c r="D1295" s="34" t="s">
        <v>1546</v>
      </c>
      <c r="E1295" s="34" t="s">
        <v>3428</v>
      </c>
      <c r="F1295" s="34" t="s">
        <v>3429</v>
      </c>
      <c r="G1295" s="34">
        <v>77390.0</v>
      </c>
      <c r="H1295" s="34" t="s">
        <v>1558</v>
      </c>
      <c r="I1295" s="34" t="s">
        <v>17</v>
      </c>
      <c r="J1295" s="34" t="s">
        <v>13</v>
      </c>
      <c r="K1295" s="9"/>
      <c r="L1295" s="45">
        <v>104.0</v>
      </c>
      <c r="M1295" s="45">
        <v>104.0</v>
      </c>
    </row>
    <row r="1296">
      <c r="A1296" s="34" t="s">
        <v>70</v>
      </c>
      <c r="B1296" s="34" t="s">
        <v>1545</v>
      </c>
      <c r="C1296" s="34">
        <v>77.0</v>
      </c>
      <c r="D1296" s="34" t="s">
        <v>1546</v>
      </c>
      <c r="E1296" s="34" t="s">
        <v>3430</v>
      </c>
      <c r="F1296" s="34" t="s">
        <v>3431</v>
      </c>
      <c r="G1296" s="34">
        <v>77259.0</v>
      </c>
      <c r="H1296" s="34" t="s">
        <v>3432</v>
      </c>
      <c r="I1296" s="34" t="s">
        <v>18</v>
      </c>
      <c r="J1296" s="34" t="s">
        <v>14</v>
      </c>
      <c r="K1296" s="45">
        <v>112.4</v>
      </c>
      <c r="L1296" s="45">
        <v>92.4</v>
      </c>
      <c r="M1296" s="45">
        <v>107.8</v>
      </c>
    </row>
    <row r="1297">
      <c r="A1297" s="34" t="s">
        <v>70</v>
      </c>
      <c r="B1297" s="34" t="s">
        <v>1545</v>
      </c>
      <c r="C1297" s="34">
        <v>77.0</v>
      </c>
      <c r="D1297" s="34" t="s">
        <v>1546</v>
      </c>
      <c r="E1297" s="34" t="s">
        <v>3433</v>
      </c>
      <c r="F1297" s="34" t="s">
        <v>814</v>
      </c>
      <c r="G1297" s="34">
        <v>77373.0</v>
      </c>
      <c r="H1297" s="34" t="s">
        <v>3434</v>
      </c>
      <c r="I1297" s="34" t="s">
        <v>18</v>
      </c>
      <c r="J1297" s="34" t="s">
        <v>15</v>
      </c>
      <c r="K1297" s="45">
        <v>114.1</v>
      </c>
      <c r="L1297" s="9"/>
      <c r="M1297" s="45">
        <v>114.1</v>
      </c>
    </row>
    <row r="1298">
      <c r="A1298" s="34" t="s">
        <v>70</v>
      </c>
      <c r="B1298" s="34" t="s">
        <v>1545</v>
      </c>
      <c r="C1298" s="34">
        <v>77.0</v>
      </c>
      <c r="D1298" s="34" t="s">
        <v>1546</v>
      </c>
      <c r="E1298" s="34" t="s">
        <v>3435</v>
      </c>
      <c r="F1298" s="34" t="s">
        <v>3436</v>
      </c>
      <c r="G1298" s="34">
        <v>77445.0</v>
      </c>
      <c r="H1298" s="34" t="s">
        <v>3437</v>
      </c>
      <c r="I1298" s="34" t="s">
        <v>18</v>
      </c>
      <c r="J1298" s="34" t="s">
        <v>14</v>
      </c>
      <c r="K1298" s="45">
        <v>115.8</v>
      </c>
      <c r="L1298" s="45">
        <v>87.8</v>
      </c>
      <c r="M1298" s="45">
        <v>89.2</v>
      </c>
    </row>
    <row r="1299">
      <c r="A1299" s="34" t="s">
        <v>70</v>
      </c>
      <c r="B1299" s="34" t="s">
        <v>1545</v>
      </c>
      <c r="C1299" s="34">
        <v>77.0</v>
      </c>
      <c r="D1299" s="34" t="s">
        <v>1546</v>
      </c>
      <c r="E1299" s="34" t="s">
        <v>3438</v>
      </c>
      <c r="F1299" s="34" t="s">
        <v>3439</v>
      </c>
      <c r="G1299" s="34">
        <v>77305.0</v>
      </c>
      <c r="H1299" s="34" t="s">
        <v>3440</v>
      </c>
      <c r="I1299" s="34" t="s">
        <v>18</v>
      </c>
      <c r="J1299" s="34" t="s">
        <v>14</v>
      </c>
      <c r="K1299" s="45">
        <v>81.7</v>
      </c>
      <c r="L1299" s="45">
        <v>80.7</v>
      </c>
      <c r="M1299" s="45">
        <v>80.9</v>
      </c>
    </row>
    <row r="1300">
      <c r="A1300" s="34" t="s">
        <v>70</v>
      </c>
      <c r="B1300" s="34" t="s">
        <v>1545</v>
      </c>
      <c r="C1300" s="34">
        <v>77.0</v>
      </c>
      <c r="D1300" s="34" t="s">
        <v>1546</v>
      </c>
      <c r="E1300" s="34" t="s">
        <v>3441</v>
      </c>
      <c r="F1300" s="34" t="s">
        <v>3442</v>
      </c>
      <c r="G1300" s="34">
        <v>77470.0</v>
      </c>
      <c r="H1300" s="34" t="s">
        <v>3443</v>
      </c>
      <c r="I1300" s="34" t="s">
        <v>18</v>
      </c>
      <c r="J1300" s="34" t="s">
        <v>14</v>
      </c>
      <c r="K1300" s="45">
        <v>121.2</v>
      </c>
      <c r="L1300" s="45">
        <v>92.2</v>
      </c>
      <c r="M1300" s="45">
        <v>109.4</v>
      </c>
    </row>
    <row r="1301">
      <c r="A1301" s="34" t="s">
        <v>70</v>
      </c>
      <c r="B1301" s="34" t="s">
        <v>1545</v>
      </c>
      <c r="C1301" s="34">
        <v>77.0</v>
      </c>
      <c r="D1301" s="34" t="s">
        <v>1546</v>
      </c>
      <c r="E1301" s="34" t="s">
        <v>3444</v>
      </c>
      <c r="F1301" s="34" t="s">
        <v>3445</v>
      </c>
      <c r="G1301" s="34">
        <v>77183.0</v>
      </c>
      <c r="H1301" s="34" t="s">
        <v>3446</v>
      </c>
      <c r="I1301" s="34" t="s">
        <v>17</v>
      </c>
      <c r="J1301" s="34" t="s">
        <v>15</v>
      </c>
      <c r="K1301" s="45">
        <v>125.5</v>
      </c>
      <c r="L1301" s="9"/>
      <c r="M1301" s="45">
        <v>125.5</v>
      </c>
    </row>
    <row r="1302">
      <c r="A1302" s="34" t="s">
        <v>70</v>
      </c>
      <c r="B1302" s="34" t="s">
        <v>1545</v>
      </c>
      <c r="C1302" s="34">
        <v>77.0</v>
      </c>
      <c r="D1302" s="34" t="s">
        <v>1546</v>
      </c>
      <c r="E1302" s="34" t="s">
        <v>3447</v>
      </c>
      <c r="F1302" s="34" t="s">
        <v>3448</v>
      </c>
      <c r="G1302" s="34">
        <v>77431.0</v>
      </c>
      <c r="H1302" s="34" t="s">
        <v>3449</v>
      </c>
      <c r="I1302" s="34" t="s">
        <v>17</v>
      </c>
      <c r="J1302" s="34" t="s">
        <v>15</v>
      </c>
      <c r="K1302" s="45">
        <v>118.4</v>
      </c>
      <c r="L1302" s="9"/>
      <c r="M1302" s="45">
        <v>118.4</v>
      </c>
    </row>
    <row r="1303">
      <c r="A1303" s="34" t="s">
        <v>70</v>
      </c>
      <c r="B1303" s="34" t="s">
        <v>1579</v>
      </c>
      <c r="C1303" s="34">
        <v>78.0</v>
      </c>
      <c r="D1303" s="34" t="s">
        <v>1580</v>
      </c>
      <c r="E1303" s="34" t="s">
        <v>3450</v>
      </c>
      <c r="F1303" s="34" t="s">
        <v>3451</v>
      </c>
      <c r="G1303" s="34">
        <v>78440.0</v>
      </c>
      <c r="H1303" s="34" t="s">
        <v>3452</v>
      </c>
      <c r="I1303" s="34" t="s">
        <v>18</v>
      </c>
      <c r="J1303" s="34" t="s">
        <v>15</v>
      </c>
      <c r="K1303" s="45">
        <v>103.6</v>
      </c>
      <c r="L1303" s="9"/>
      <c r="M1303" s="45">
        <v>103.6</v>
      </c>
    </row>
    <row r="1304">
      <c r="A1304" s="34" t="s">
        <v>70</v>
      </c>
      <c r="B1304" s="34" t="s">
        <v>1579</v>
      </c>
      <c r="C1304" s="34">
        <v>78.0</v>
      </c>
      <c r="D1304" s="34" t="s">
        <v>1580</v>
      </c>
      <c r="E1304" s="34" t="s">
        <v>3453</v>
      </c>
      <c r="F1304" s="34" t="s">
        <v>3454</v>
      </c>
      <c r="G1304" s="34">
        <v>78490.0</v>
      </c>
      <c r="H1304" s="34" t="s">
        <v>3455</v>
      </c>
      <c r="I1304" s="34" t="s">
        <v>18</v>
      </c>
      <c r="J1304" s="34" t="s">
        <v>15</v>
      </c>
      <c r="K1304" s="45">
        <v>121.0</v>
      </c>
      <c r="L1304" s="9"/>
      <c r="M1304" s="45">
        <v>121.0</v>
      </c>
    </row>
    <row r="1305">
      <c r="A1305" s="34" t="s">
        <v>70</v>
      </c>
      <c r="B1305" s="34" t="s">
        <v>1579</v>
      </c>
      <c r="C1305" s="34">
        <v>78.0</v>
      </c>
      <c r="D1305" s="34" t="s">
        <v>1580</v>
      </c>
      <c r="E1305" s="34" t="s">
        <v>3456</v>
      </c>
      <c r="F1305" s="34" t="s">
        <v>473</v>
      </c>
      <c r="G1305" s="34">
        <v>78517.0</v>
      </c>
      <c r="H1305" s="34" t="s">
        <v>3457</v>
      </c>
      <c r="I1305" s="34" t="s">
        <v>17</v>
      </c>
      <c r="J1305" s="34" t="s">
        <v>15</v>
      </c>
      <c r="K1305" s="45">
        <v>142.1</v>
      </c>
      <c r="L1305" s="9"/>
      <c r="M1305" s="45">
        <v>142.1</v>
      </c>
    </row>
    <row r="1306">
      <c r="A1306" s="34" t="s">
        <v>70</v>
      </c>
      <c r="B1306" s="34" t="s">
        <v>1579</v>
      </c>
      <c r="C1306" s="34">
        <v>78.0</v>
      </c>
      <c r="D1306" s="34" t="s">
        <v>1580</v>
      </c>
      <c r="E1306" s="34" t="s">
        <v>3458</v>
      </c>
      <c r="F1306" s="34" t="s">
        <v>3459</v>
      </c>
      <c r="G1306" s="34">
        <v>78124.0</v>
      </c>
      <c r="H1306" s="34" t="s">
        <v>3460</v>
      </c>
      <c r="I1306" s="34" t="s">
        <v>18</v>
      </c>
      <c r="J1306" s="34" t="s">
        <v>15</v>
      </c>
      <c r="K1306" s="45">
        <v>138.3</v>
      </c>
      <c r="L1306" s="9"/>
      <c r="M1306" s="45">
        <v>138.3</v>
      </c>
    </row>
    <row r="1307">
      <c r="A1307" s="34" t="s">
        <v>70</v>
      </c>
      <c r="B1307" s="34" t="s">
        <v>1579</v>
      </c>
      <c r="C1307" s="34">
        <v>78.0</v>
      </c>
      <c r="D1307" s="34" t="s">
        <v>1580</v>
      </c>
      <c r="E1307" s="34" t="s">
        <v>3461</v>
      </c>
      <c r="F1307" s="34" t="s">
        <v>3462</v>
      </c>
      <c r="G1307" s="34">
        <v>78646.0</v>
      </c>
      <c r="H1307" s="34" t="s">
        <v>1579</v>
      </c>
      <c r="I1307" s="34" t="s">
        <v>18</v>
      </c>
      <c r="J1307" s="34" t="s">
        <v>15</v>
      </c>
      <c r="K1307" s="45">
        <v>143.1</v>
      </c>
      <c r="L1307" s="9"/>
      <c r="M1307" s="45">
        <v>143.1</v>
      </c>
    </row>
    <row r="1308">
      <c r="A1308" s="34" t="s">
        <v>70</v>
      </c>
      <c r="B1308" s="34" t="s">
        <v>1579</v>
      </c>
      <c r="C1308" s="34">
        <v>78.0</v>
      </c>
      <c r="D1308" s="34" t="s">
        <v>1580</v>
      </c>
      <c r="E1308" s="34" t="s">
        <v>3463</v>
      </c>
      <c r="F1308" s="34" t="s">
        <v>3464</v>
      </c>
      <c r="G1308" s="34">
        <v>78545.0</v>
      </c>
      <c r="H1308" s="34" t="s">
        <v>1615</v>
      </c>
      <c r="I1308" s="34" t="s">
        <v>18</v>
      </c>
      <c r="J1308" s="34" t="s">
        <v>13</v>
      </c>
      <c r="K1308" s="9"/>
      <c r="L1308" s="45">
        <v>92.1</v>
      </c>
      <c r="M1308" s="45">
        <v>92.1</v>
      </c>
    </row>
    <row r="1309">
      <c r="A1309" s="34" t="s">
        <v>70</v>
      </c>
      <c r="B1309" s="34" t="s">
        <v>1579</v>
      </c>
      <c r="C1309" s="34">
        <v>78.0</v>
      </c>
      <c r="D1309" s="34" t="s">
        <v>1580</v>
      </c>
      <c r="E1309" s="34" t="s">
        <v>3465</v>
      </c>
      <c r="F1309" s="34" t="s">
        <v>3466</v>
      </c>
      <c r="G1309" s="34">
        <v>78586.0</v>
      </c>
      <c r="H1309" s="34" t="s">
        <v>3467</v>
      </c>
      <c r="I1309" s="34" t="s">
        <v>18</v>
      </c>
      <c r="J1309" s="34" t="s">
        <v>15</v>
      </c>
      <c r="K1309" s="45">
        <v>120.2</v>
      </c>
      <c r="L1309" s="9"/>
      <c r="M1309" s="45">
        <v>120.2</v>
      </c>
    </row>
    <row r="1310">
      <c r="A1310" s="34" t="s">
        <v>70</v>
      </c>
      <c r="B1310" s="34" t="s">
        <v>1579</v>
      </c>
      <c r="C1310" s="34">
        <v>78.0</v>
      </c>
      <c r="D1310" s="34" t="s">
        <v>1580</v>
      </c>
      <c r="E1310" s="34" t="s">
        <v>3468</v>
      </c>
      <c r="F1310" s="34" t="s">
        <v>3469</v>
      </c>
      <c r="G1310" s="34">
        <v>78358.0</v>
      </c>
      <c r="H1310" s="34" t="s">
        <v>3470</v>
      </c>
      <c r="I1310" s="34" t="s">
        <v>17</v>
      </c>
      <c r="J1310" s="34" t="s">
        <v>15</v>
      </c>
      <c r="K1310" s="45">
        <v>145.7</v>
      </c>
      <c r="L1310" s="9"/>
      <c r="M1310" s="45">
        <v>145.7</v>
      </c>
    </row>
    <row r="1311">
      <c r="A1311" s="34" t="s">
        <v>70</v>
      </c>
      <c r="B1311" s="34" t="s">
        <v>1579</v>
      </c>
      <c r="C1311" s="34">
        <v>78.0</v>
      </c>
      <c r="D1311" s="34" t="s">
        <v>1580</v>
      </c>
      <c r="E1311" s="34" t="s">
        <v>3471</v>
      </c>
      <c r="F1311" s="34" t="s">
        <v>3472</v>
      </c>
      <c r="G1311" s="34">
        <v>78551.0</v>
      </c>
      <c r="H1311" s="34" t="s">
        <v>1592</v>
      </c>
      <c r="I1311" s="34" t="s">
        <v>17</v>
      </c>
      <c r="J1311" s="34" t="s">
        <v>15</v>
      </c>
      <c r="K1311" s="45">
        <v>141.2</v>
      </c>
      <c r="L1311" s="9"/>
      <c r="M1311" s="45">
        <v>141.2</v>
      </c>
    </row>
    <row r="1312">
      <c r="A1312" s="34" t="s">
        <v>70</v>
      </c>
      <c r="B1312" s="34" t="s">
        <v>1579</v>
      </c>
      <c r="C1312" s="34">
        <v>78.0</v>
      </c>
      <c r="D1312" s="34" t="s">
        <v>1580</v>
      </c>
      <c r="E1312" s="34" t="s">
        <v>3473</v>
      </c>
      <c r="F1312" s="34" t="s">
        <v>3474</v>
      </c>
      <c r="G1312" s="34">
        <v>78646.0</v>
      </c>
      <c r="H1312" s="34" t="s">
        <v>1579</v>
      </c>
      <c r="I1312" s="34" t="s">
        <v>17</v>
      </c>
      <c r="J1312" s="34" t="s">
        <v>15</v>
      </c>
      <c r="K1312" s="45">
        <v>146.3</v>
      </c>
      <c r="L1312" s="9"/>
      <c r="M1312" s="45">
        <v>146.3</v>
      </c>
    </row>
    <row r="1313">
      <c r="A1313" s="34" t="s">
        <v>70</v>
      </c>
      <c r="B1313" s="34" t="s">
        <v>1579</v>
      </c>
      <c r="C1313" s="34">
        <v>78.0</v>
      </c>
      <c r="D1313" s="34" t="s">
        <v>1580</v>
      </c>
      <c r="E1313" s="34" t="s">
        <v>3475</v>
      </c>
      <c r="F1313" s="34" t="s">
        <v>3476</v>
      </c>
      <c r="G1313" s="34">
        <v>78586.0</v>
      </c>
      <c r="H1313" s="34" t="s">
        <v>3467</v>
      </c>
      <c r="I1313" s="34" t="s">
        <v>18</v>
      </c>
      <c r="J1313" s="34" t="s">
        <v>14</v>
      </c>
      <c r="K1313" s="45">
        <v>103.6</v>
      </c>
      <c r="L1313" s="45">
        <v>86.5</v>
      </c>
      <c r="M1313" s="45">
        <v>87.3</v>
      </c>
    </row>
    <row r="1314">
      <c r="A1314" s="34" t="s">
        <v>70</v>
      </c>
      <c r="B1314" s="34" t="s">
        <v>1579</v>
      </c>
      <c r="C1314" s="34">
        <v>78.0</v>
      </c>
      <c r="D1314" s="34" t="s">
        <v>1580</v>
      </c>
      <c r="E1314" s="34" t="s">
        <v>3477</v>
      </c>
      <c r="F1314" s="34" t="s">
        <v>1526</v>
      </c>
      <c r="G1314" s="34">
        <v>78361.0</v>
      </c>
      <c r="H1314" s="34" t="s">
        <v>3478</v>
      </c>
      <c r="I1314" s="34" t="s">
        <v>17</v>
      </c>
      <c r="J1314" s="34" t="s">
        <v>13</v>
      </c>
      <c r="K1314" s="9"/>
      <c r="L1314" s="45">
        <v>108.0</v>
      </c>
      <c r="M1314" s="45">
        <v>108.0</v>
      </c>
    </row>
    <row r="1315">
      <c r="A1315" s="34" t="s">
        <v>70</v>
      </c>
      <c r="B1315" s="34" t="s">
        <v>1579</v>
      </c>
      <c r="C1315" s="34">
        <v>78.0</v>
      </c>
      <c r="D1315" s="34" t="s">
        <v>1580</v>
      </c>
      <c r="E1315" s="34" t="s">
        <v>3479</v>
      </c>
      <c r="F1315" s="34" t="s">
        <v>3480</v>
      </c>
      <c r="G1315" s="34">
        <v>78551.0</v>
      </c>
      <c r="H1315" s="34" t="s">
        <v>1592</v>
      </c>
      <c r="I1315" s="34" t="s">
        <v>17</v>
      </c>
      <c r="J1315" s="34" t="s">
        <v>15</v>
      </c>
      <c r="K1315" s="45">
        <v>149.3</v>
      </c>
      <c r="L1315" s="9"/>
      <c r="M1315" s="45">
        <v>149.3</v>
      </c>
    </row>
    <row r="1316">
      <c r="A1316" s="34" t="s">
        <v>70</v>
      </c>
      <c r="B1316" s="34" t="s">
        <v>284</v>
      </c>
      <c r="C1316" s="34">
        <v>79.0</v>
      </c>
      <c r="D1316" s="34" t="s">
        <v>1622</v>
      </c>
      <c r="E1316" s="34" t="s">
        <v>3481</v>
      </c>
      <c r="F1316" s="34" t="s">
        <v>3482</v>
      </c>
      <c r="G1316" s="34">
        <v>79329.0</v>
      </c>
      <c r="H1316" s="34" t="s">
        <v>1627</v>
      </c>
      <c r="I1316" s="34" t="s">
        <v>18</v>
      </c>
      <c r="J1316" s="34" t="s">
        <v>15</v>
      </c>
      <c r="K1316" s="45">
        <v>107.3</v>
      </c>
      <c r="L1316" s="9"/>
      <c r="M1316" s="45">
        <v>107.3</v>
      </c>
    </row>
    <row r="1317">
      <c r="A1317" s="34" t="s">
        <v>70</v>
      </c>
      <c r="B1317" s="34" t="s">
        <v>284</v>
      </c>
      <c r="C1317" s="34">
        <v>79.0</v>
      </c>
      <c r="D1317" s="34" t="s">
        <v>1622</v>
      </c>
      <c r="E1317" s="34" t="s">
        <v>3483</v>
      </c>
      <c r="F1317" s="34" t="s">
        <v>3484</v>
      </c>
      <c r="G1317" s="34">
        <v>79329.0</v>
      </c>
      <c r="H1317" s="34" t="s">
        <v>1627</v>
      </c>
      <c r="I1317" s="34" t="s">
        <v>18</v>
      </c>
      <c r="J1317" s="34" t="s">
        <v>13</v>
      </c>
      <c r="K1317" s="9"/>
      <c r="L1317" s="45">
        <v>80.4</v>
      </c>
      <c r="M1317" s="45">
        <v>80.4</v>
      </c>
    </row>
    <row r="1318">
      <c r="A1318" s="34" t="s">
        <v>70</v>
      </c>
      <c r="B1318" s="34" t="s">
        <v>284</v>
      </c>
      <c r="C1318" s="34">
        <v>79.0</v>
      </c>
      <c r="D1318" s="34" t="s">
        <v>1622</v>
      </c>
      <c r="E1318" s="34" t="s">
        <v>3485</v>
      </c>
      <c r="F1318" s="34" t="s">
        <v>2149</v>
      </c>
      <c r="G1318" s="34">
        <v>79049.0</v>
      </c>
      <c r="H1318" s="34" t="s">
        <v>1632</v>
      </c>
      <c r="I1318" s="34" t="s">
        <v>17</v>
      </c>
      <c r="J1318" s="34" t="s">
        <v>14</v>
      </c>
      <c r="K1318" s="45">
        <v>112.3</v>
      </c>
      <c r="L1318" s="45">
        <v>91.1</v>
      </c>
      <c r="M1318" s="45">
        <v>101.6</v>
      </c>
    </row>
    <row r="1319">
      <c r="A1319" s="34" t="s">
        <v>70</v>
      </c>
      <c r="B1319" s="34" t="s">
        <v>88</v>
      </c>
      <c r="C1319" s="34">
        <v>80.0</v>
      </c>
      <c r="D1319" s="34" t="s">
        <v>1635</v>
      </c>
      <c r="E1319" s="34" t="s">
        <v>3486</v>
      </c>
      <c r="F1319" s="34" t="s">
        <v>3487</v>
      </c>
      <c r="G1319" s="34">
        <v>80001.0</v>
      </c>
      <c r="H1319" s="34" t="s">
        <v>3488</v>
      </c>
      <c r="I1319" s="34" t="s">
        <v>18</v>
      </c>
      <c r="J1319" s="34" t="s">
        <v>15</v>
      </c>
      <c r="K1319" s="45">
        <v>103.6</v>
      </c>
      <c r="L1319" s="9"/>
      <c r="M1319" s="45">
        <v>103.6</v>
      </c>
    </row>
    <row r="1320">
      <c r="A1320" s="34" t="s">
        <v>70</v>
      </c>
      <c r="B1320" s="34" t="s">
        <v>88</v>
      </c>
      <c r="C1320" s="34">
        <v>80.0</v>
      </c>
      <c r="D1320" s="34" t="s">
        <v>1635</v>
      </c>
      <c r="E1320" s="34" t="s">
        <v>3489</v>
      </c>
      <c r="F1320" s="34" t="s">
        <v>3490</v>
      </c>
      <c r="G1320" s="34">
        <v>80016.0</v>
      </c>
      <c r="H1320" s="34" t="s">
        <v>3491</v>
      </c>
      <c r="I1320" s="34" t="s">
        <v>18</v>
      </c>
      <c r="J1320" s="34" t="s">
        <v>14</v>
      </c>
      <c r="K1320" s="45">
        <v>106.9</v>
      </c>
      <c r="L1320" s="45">
        <v>80.0</v>
      </c>
      <c r="M1320" s="45">
        <v>97.7</v>
      </c>
    </row>
    <row r="1321">
      <c r="A1321" s="34" t="s">
        <v>70</v>
      </c>
      <c r="B1321" s="34" t="s">
        <v>88</v>
      </c>
      <c r="C1321" s="34">
        <v>80.0</v>
      </c>
      <c r="D1321" s="34" t="s">
        <v>1635</v>
      </c>
      <c r="E1321" s="34" t="s">
        <v>3492</v>
      </c>
      <c r="F1321" s="34" t="s">
        <v>3493</v>
      </c>
      <c r="G1321" s="34">
        <v>80620.0</v>
      </c>
      <c r="H1321" s="34" t="s">
        <v>1640</v>
      </c>
      <c r="I1321" s="34" t="s">
        <v>18</v>
      </c>
      <c r="J1321" s="34" t="s">
        <v>15</v>
      </c>
      <c r="K1321" s="45">
        <v>93.6</v>
      </c>
      <c r="L1321" s="9"/>
      <c r="M1321" s="45">
        <v>93.6</v>
      </c>
    </row>
    <row r="1322">
      <c r="A1322" s="34" t="s">
        <v>70</v>
      </c>
      <c r="B1322" s="34" t="s">
        <v>88</v>
      </c>
      <c r="C1322" s="34">
        <v>80.0</v>
      </c>
      <c r="D1322" s="34" t="s">
        <v>1635</v>
      </c>
      <c r="E1322" s="34" t="s">
        <v>3494</v>
      </c>
      <c r="F1322" s="34" t="s">
        <v>3495</v>
      </c>
      <c r="G1322" s="34">
        <v>80021.0</v>
      </c>
      <c r="H1322" s="34" t="s">
        <v>88</v>
      </c>
      <c r="I1322" s="34" t="s">
        <v>18</v>
      </c>
      <c r="J1322" s="34" t="s">
        <v>13</v>
      </c>
      <c r="K1322" s="9"/>
      <c r="L1322" s="45">
        <v>78.0</v>
      </c>
      <c r="M1322" s="45">
        <v>78.0</v>
      </c>
    </row>
    <row r="1323">
      <c r="A1323" s="34" t="s">
        <v>70</v>
      </c>
      <c r="B1323" s="34" t="s">
        <v>88</v>
      </c>
      <c r="C1323" s="34">
        <v>80.0</v>
      </c>
      <c r="D1323" s="34" t="s">
        <v>1635</v>
      </c>
      <c r="E1323" s="34" t="s">
        <v>3496</v>
      </c>
      <c r="F1323" s="34" t="s">
        <v>3497</v>
      </c>
      <c r="G1323" s="34">
        <v>80620.0</v>
      </c>
      <c r="H1323" s="34" t="s">
        <v>1640</v>
      </c>
      <c r="I1323" s="34" t="s">
        <v>18</v>
      </c>
      <c r="J1323" s="34" t="s">
        <v>13</v>
      </c>
      <c r="K1323" s="9"/>
      <c r="L1323" s="45">
        <v>75.6</v>
      </c>
      <c r="M1323" s="45">
        <v>75.6</v>
      </c>
    </row>
    <row r="1324">
      <c r="A1324" s="34" t="s">
        <v>70</v>
      </c>
      <c r="B1324" s="34" t="s">
        <v>88</v>
      </c>
      <c r="C1324" s="34">
        <v>80.0</v>
      </c>
      <c r="D1324" s="34" t="s">
        <v>1635</v>
      </c>
      <c r="E1324" s="34" t="s">
        <v>3498</v>
      </c>
      <c r="F1324" s="34" t="s">
        <v>3499</v>
      </c>
      <c r="G1324" s="34">
        <v>80021.0</v>
      </c>
      <c r="H1324" s="34" t="s">
        <v>88</v>
      </c>
      <c r="I1324" s="34" t="s">
        <v>18</v>
      </c>
      <c r="J1324" s="34" t="s">
        <v>13</v>
      </c>
      <c r="K1324" s="9"/>
      <c r="L1324" s="45">
        <v>74.0</v>
      </c>
      <c r="M1324" s="45">
        <v>74.0</v>
      </c>
    </row>
    <row r="1325">
      <c r="A1325" s="34" t="s">
        <v>70</v>
      </c>
      <c r="B1325" s="34" t="s">
        <v>88</v>
      </c>
      <c r="C1325" s="34">
        <v>80.0</v>
      </c>
      <c r="D1325" s="34" t="s">
        <v>1635</v>
      </c>
      <c r="E1325" s="34" t="s">
        <v>3500</v>
      </c>
      <c r="F1325" s="34" t="s">
        <v>3501</v>
      </c>
      <c r="G1325" s="34">
        <v>80021.0</v>
      </c>
      <c r="H1325" s="34" t="s">
        <v>88</v>
      </c>
      <c r="I1325" s="34" t="s">
        <v>18</v>
      </c>
      <c r="J1325" s="34" t="s">
        <v>15</v>
      </c>
      <c r="K1325" s="45">
        <v>118.1</v>
      </c>
      <c r="L1325" s="9"/>
      <c r="M1325" s="45">
        <v>118.1</v>
      </c>
    </row>
    <row r="1326">
      <c r="A1326" s="34" t="s">
        <v>70</v>
      </c>
      <c r="B1326" s="34" t="s">
        <v>88</v>
      </c>
      <c r="C1326" s="34">
        <v>80.0</v>
      </c>
      <c r="D1326" s="34" t="s">
        <v>1635</v>
      </c>
      <c r="E1326" s="34" t="s">
        <v>3502</v>
      </c>
      <c r="F1326" s="34" t="s">
        <v>3503</v>
      </c>
      <c r="G1326" s="34">
        <v>80021.0</v>
      </c>
      <c r="H1326" s="34" t="s">
        <v>88</v>
      </c>
      <c r="I1326" s="34" t="s">
        <v>17</v>
      </c>
      <c r="J1326" s="34" t="s">
        <v>15</v>
      </c>
      <c r="K1326" s="45">
        <v>108.1</v>
      </c>
      <c r="L1326" s="9"/>
      <c r="M1326" s="45">
        <v>108.1</v>
      </c>
    </row>
    <row r="1327">
      <c r="A1327" s="34" t="s">
        <v>70</v>
      </c>
      <c r="B1327" s="34" t="s">
        <v>88</v>
      </c>
      <c r="C1327" s="34">
        <v>80.0</v>
      </c>
      <c r="D1327" s="34" t="s">
        <v>1635</v>
      </c>
      <c r="E1327" s="34" t="s">
        <v>3504</v>
      </c>
      <c r="F1327" s="34" t="s">
        <v>3505</v>
      </c>
      <c r="G1327" s="34">
        <v>80021.0</v>
      </c>
      <c r="H1327" s="34" t="s">
        <v>88</v>
      </c>
      <c r="I1327" s="34" t="s">
        <v>17</v>
      </c>
      <c r="J1327" s="34" t="s">
        <v>13</v>
      </c>
      <c r="K1327" s="9"/>
      <c r="L1327" s="45">
        <v>96.9</v>
      </c>
      <c r="M1327" s="45">
        <v>96.9</v>
      </c>
    </row>
    <row r="1328">
      <c r="A1328" s="34" t="s">
        <v>70</v>
      </c>
      <c r="B1328" s="34" t="s">
        <v>182</v>
      </c>
      <c r="C1328" s="34">
        <v>81.0</v>
      </c>
      <c r="D1328" s="34" t="s">
        <v>1650</v>
      </c>
      <c r="E1328" s="34" t="s">
        <v>3506</v>
      </c>
      <c r="F1328" s="34" t="s">
        <v>3507</v>
      </c>
      <c r="G1328" s="34">
        <v>81065.0</v>
      </c>
      <c r="H1328" s="34" t="s">
        <v>1659</v>
      </c>
      <c r="I1328" s="34" t="s">
        <v>18</v>
      </c>
      <c r="J1328" s="34" t="s">
        <v>13</v>
      </c>
      <c r="K1328" s="9"/>
      <c r="L1328" s="45">
        <v>79.2</v>
      </c>
      <c r="M1328" s="45">
        <v>79.2</v>
      </c>
    </row>
    <row r="1329">
      <c r="A1329" s="34" t="s">
        <v>70</v>
      </c>
      <c r="B1329" s="34" t="s">
        <v>182</v>
      </c>
      <c r="C1329" s="34">
        <v>81.0</v>
      </c>
      <c r="D1329" s="34" t="s">
        <v>1650</v>
      </c>
      <c r="E1329" s="34" t="s">
        <v>3508</v>
      </c>
      <c r="F1329" s="34" t="s">
        <v>3509</v>
      </c>
      <c r="G1329" s="34">
        <v>81065.0</v>
      </c>
      <c r="H1329" s="34" t="s">
        <v>1659</v>
      </c>
      <c r="I1329" s="34" t="s">
        <v>18</v>
      </c>
      <c r="J1329" s="34" t="s">
        <v>14</v>
      </c>
      <c r="K1329" s="45">
        <v>97.3</v>
      </c>
      <c r="L1329" s="45">
        <v>88.3</v>
      </c>
      <c r="M1329" s="45">
        <v>88.5</v>
      </c>
    </row>
    <row r="1330">
      <c r="A1330" s="34" t="s">
        <v>70</v>
      </c>
      <c r="B1330" s="34" t="s">
        <v>182</v>
      </c>
      <c r="C1330" s="34">
        <v>81.0</v>
      </c>
      <c r="D1330" s="34" t="s">
        <v>1650</v>
      </c>
      <c r="E1330" s="34" t="s">
        <v>3510</v>
      </c>
      <c r="F1330" s="34" t="s">
        <v>3511</v>
      </c>
      <c r="G1330" s="34">
        <v>81140.0</v>
      </c>
      <c r="H1330" s="34" t="s">
        <v>3512</v>
      </c>
      <c r="I1330" s="34" t="s">
        <v>18</v>
      </c>
      <c r="J1330" s="34" t="s">
        <v>15</v>
      </c>
      <c r="K1330" s="45">
        <v>128.3</v>
      </c>
      <c r="L1330" s="9"/>
      <c r="M1330" s="45">
        <v>128.3</v>
      </c>
    </row>
    <row r="1331">
      <c r="A1331" s="34" t="s">
        <v>70</v>
      </c>
      <c r="B1331" s="34" t="s">
        <v>182</v>
      </c>
      <c r="C1331" s="34">
        <v>81.0</v>
      </c>
      <c r="D1331" s="34" t="s">
        <v>1650</v>
      </c>
      <c r="E1331" s="34" t="s">
        <v>3513</v>
      </c>
      <c r="F1331" s="34" t="s">
        <v>3514</v>
      </c>
      <c r="G1331" s="34">
        <v>81065.0</v>
      </c>
      <c r="H1331" s="34" t="s">
        <v>1659</v>
      </c>
      <c r="I1331" s="34" t="s">
        <v>17</v>
      </c>
      <c r="J1331" s="34" t="s">
        <v>15</v>
      </c>
      <c r="K1331" s="45">
        <v>123.0</v>
      </c>
      <c r="L1331" s="9"/>
      <c r="M1331" s="45">
        <v>123.0</v>
      </c>
    </row>
    <row r="1332">
      <c r="A1332" s="34" t="s">
        <v>70</v>
      </c>
      <c r="B1332" s="34" t="s">
        <v>182</v>
      </c>
      <c r="C1332" s="34">
        <v>82.0</v>
      </c>
      <c r="D1332" s="34" t="s">
        <v>1665</v>
      </c>
      <c r="E1332" s="34" t="s">
        <v>3515</v>
      </c>
      <c r="F1332" s="34" t="s">
        <v>3516</v>
      </c>
      <c r="G1332" s="34">
        <v>82033.0</v>
      </c>
      <c r="H1332" s="34" t="s">
        <v>3517</v>
      </c>
      <c r="I1332" s="34" t="s">
        <v>18</v>
      </c>
      <c r="J1332" s="34" t="s">
        <v>14</v>
      </c>
      <c r="K1332" s="45">
        <v>103.9</v>
      </c>
      <c r="L1332" s="45">
        <v>79.1</v>
      </c>
      <c r="M1332" s="45">
        <v>92.2</v>
      </c>
    </row>
    <row r="1333">
      <c r="A1333" s="34" t="s">
        <v>70</v>
      </c>
      <c r="B1333" s="34" t="s">
        <v>182</v>
      </c>
      <c r="C1333" s="34">
        <v>82.0</v>
      </c>
      <c r="D1333" s="34" t="s">
        <v>1665</v>
      </c>
      <c r="E1333" s="34" t="s">
        <v>3518</v>
      </c>
      <c r="F1333" s="34" t="s">
        <v>3519</v>
      </c>
      <c r="G1333" s="34">
        <v>82121.0</v>
      </c>
      <c r="H1333" s="34" t="s">
        <v>1674</v>
      </c>
      <c r="I1333" s="34" t="s">
        <v>17</v>
      </c>
      <c r="J1333" s="34" t="s">
        <v>13</v>
      </c>
      <c r="K1333" s="9"/>
      <c r="L1333" s="45">
        <v>100.5</v>
      </c>
      <c r="M1333" s="45">
        <v>100.5</v>
      </c>
    </row>
    <row r="1334">
      <c r="A1334" s="34" t="s">
        <v>70</v>
      </c>
      <c r="B1334" s="34" t="s">
        <v>134</v>
      </c>
      <c r="C1334" s="34">
        <v>83.0</v>
      </c>
      <c r="D1334" s="34" t="s">
        <v>1678</v>
      </c>
      <c r="E1334" s="34" t="s">
        <v>3520</v>
      </c>
      <c r="F1334" s="34" t="s">
        <v>3521</v>
      </c>
      <c r="G1334" s="34">
        <v>83072.0</v>
      </c>
      <c r="H1334" s="34" t="s">
        <v>3522</v>
      </c>
      <c r="I1334" s="34" t="s">
        <v>18</v>
      </c>
      <c r="J1334" s="34" t="s">
        <v>14</v>
      </c>
      <c r="K1334" s="45">
        <v>111.3</v>
      </c>
      <c r="L1334" s="45">
        <v>98.6</v>
      </c>
      <c r="M1334" s="45">
        <v>110.3</v>
      </c>
    </row>
    <row r="1335">
      <c r="A1335" s="34" t="s">
        <v>70</v>
      </c>
      <c r="B1335" s="34" t="s">
        <v>134</v>
      </c>
      <c r="C1335" s="34">
        <v>83.0</v>
      </c>
      <c r="D1335" s="34" t="s">
        <v>1678</v>
      </c>
      <c r="E1335" s="34" t="s">
        <v>3523</v>
      </c>
      <c r="F1335" s="34" t="s">
        <v>3524</v>
      </c>
      <c r="G1335" s="34">
        <v>83137.0</v>
      </c>
      <c r="H1335" s="34" t="s">
        <v>1688</v>
      </c>
      <c r="I1335" s="34" t="s">
        <v>18</v>
      </c>
      <c r="J1335" s="34" t="s">
        <v>15</v>
      </c>
      <c r="K1335" s="45">
        <v>109.1</v>
      </c>
      <c r="L1335" s="9"/>
      <c r="M1335" s="45">
        <v>109.1</v>
      </c>
    </row>
    <row r="1336">
      <c r="A1336" s="34" t="s">
        <v>70</v>
      </c>
      <c r="B1336" s="34" t="s">
        <v>134</v>
      </c>
      <c r="C1336" s="34">
        <v>83.0</v>
      </c>
      <c r="D1336" s="34" t="s">
        <v>1678</v>
      </c>
      <c r="E1336" s="34" t="s">
        <v>3525</v>
      </c>
      <c r="F1336" s="34" t="s">
        <v>3526</v>
      </c>
      <c r="G1336" s="34">
        <v>83049.0</v>
      </c>
      <c r="H1336" s="34" t="s">
        <v>3527</v>
      </c>
      <c r="I1336" s="34" t="s">
        <v>17</v>
      </c>
      <c r="J1336" s="34" t="s">
        <v>13</v>
      </c>
      <c r="K1336" s="9"/>
      <c r="L1336" s="45">
        <v>97.9</v>
      </c>
      <c r="M1336" s="45">
        <v>97.9</v>
      </c>
    </row>
    <row r="1337">
      <c r="A1337" s="34" t="s">
        <v>70</v>
      </c>
      <c r="B1337" s="34" t="s">
        <v>134</v>
      </c>
      <c r="C1337" s="34">
        <v>83.0</v>
      </c>
      <c r="D1337" s="34" t="s">
        <v>1678</v>
      </c>
      <c r="E1337" s="34" t="s">
        <v>3528</v>
      </c>
      <c r="F1337" s="34" t="s">
        <v>3529</v>
      </c>
      <c r="G1337" s="34">
        <v>83137.0</v>
      </c>
      <c r="H1337" s="34" t="s">
        <v>1688</v>
      </c>
      <c r="I1337" s="34" t="s">
        <v>17</v>
      </c>
      <c r="J1337" s="34" t="s">
        <v>13</v>
      </c>
      <c r="K1337" s="9"/>
      <c r="L1337" s="45">
        <v>106.2</v>
      </c>
      <c r="M1337" s="45">
        <v>106.2</v>
      </c>
    </row>
    <row r="1338">
      <c r="A1338" s="34" t="s">
        <v>70</v>
      </c>
      <c r="B1338" s="34" t="s">
        <v>134</v>
      </c>
      <c r="C1338" s="34">
        <v>83.0</v>
      </c>
      <c r="D1338" s="34" t="s">
        <v>1678</v>
      </c>
      <c r="E1338" s="34" t="s">
        <v>3530</v>
      </c>
      <c r="F1338" s="34" t="s">
        <v>218</v>
      </c>
      <c r="G1338" s="34">
        <v>83090.0</v>
      </c>
      <c r="H1338" s="34" t="s">
        <v>3531</v>
      </c>
      <c r="I1338" s="34" t="s">
        <v>17</v>
      </c>
      <c r="J1338" s="34" t="s">
        <v>13</v>
      </c>
      <c r="K1338" s="9"/>
      <c r="L1338" s="45">
        <v>101.1</v>
      </c>
      <c r="M1338" s="45">
        <v>101.1</v>
      </c>
    </row>
    <row r="1339">
      <c r="A1339" s="34" t="s">
        <v>70</v>
      </c>
      <c r="B1339" s="34" t="s">
        <v>134</v>
      </c>
      <c r="C1339" s="34">
        <v>83.0</v>
      </c>
      <c r="D1339" s="34" t="s">
        <v>1678</v>
      </c>
      <c r="E1339" s="34" t="s">
        <v>3532</v>
      </c>
      <c r="F1339" s="34" t="s">
        <v>3533</v>
      </c>
      <c r="G1339" s="34">
        <v>83065.0</v>
      </c>
      <c r="H1339" s="34" t="s">
        <v>3534</v>
      </c>
      <c r="I1339" s="34" t="s">
        <v>18</v>
      </c>
      <c r="J1339" s="34" t="s">
        <v>14</v>
      </c>
      <c r="K1339" s="45">
        <v>105.7</v>
      </c>
      <c r="L1339" s="45">
        <v>91.9</v>
      </c>
      <c r="M1339" s="45">
        <v>103.2</v>
      </c>
    </row>
    <row r="1340">
      <c r="A1340" s="34" t="s">
        <v>70</v>
      </c>
      <c r="B1340" s="34" t="s">
        <v>134</v>
      </c>
      <c r="C1340" s="34">
        <v>83.0</v>
      </c>
      <c r="D1340" s="34" t="s">
        <v>1678</v>
      </c>
      <c r="E1340" s="34" t="s">
        <v>3535</v>
      </c>
      <c r="F1340" s="34" t="s">
        <v>3536</v>
      </c>
      <c r="G1340" s="34">
        <v>83062.0</v>
      </c>
      <c r="H1340" s="34" t="s">
        <v>3537</v>
      </c>
      <c r="I1340" s="34" t="s">
        <v>18</v>
      </c>
      <c r="J1340" s="34" t="s">
        <v>15</v>
      </c>
      <c r="K1340" s="45">
        <v>115.9</v>
      </c>
      <c r="L1340" s="9"/>
      <c r="M1340" s="45">
        <v>115.9</v>
      </c>
    </row>
    <row r="1341">
      <c r="A1341" s="34" t="s">
        <v>70</v>
      </c>
      <c r="B1341" s="34" t="s">
        <v>134</v>
      </c>
      <c r="C1341" s="34">
        <v>83.0</v>
      </c>
      <c r="D1341" s="34" t="s">
        <v>1678</v>
      </c>
      <c r="E1341" s="34" t="s">
        <v>3538</v>
      </c>
      <c r="F1341" s="34" t="s">
        <v>3539</v>
      </c>
      <c r="G1341" s="34">
        <v>83086.0</v>
      </c>
      <c r="H1341" s="34" t="s">
        <v>3540</v>
      </c>
      <c r="I1341" s="34" t="s">
        <v>18</v>
      </c>
      <c r="J1341" s="34" t="s">
        <v>14</v>
      </c>
      <c r="K1341" s="45">
        <v>114.2</v>
      </c>
      <c r="L1341" s="45">
        <v>92.3</v>
      </c>
      <c r="M1341" s="45">
        <v>110.5</v>
      </c>
    </row>
    <row r="1342">
      <c r="A1342" s="34" t="s">
        <v>70</v>
      </c>
      <c r="B1342" s="34" t="s">
        <v>129</v>
      </c>
      <c r="C1342" s="34">
        <v>84.0</v>
      </c>
      <c r="D1342" s="34" t="s">
        <v>1704</v>
      </c>
      <c r="E1342" s="34" t="s">
        <v>3541</v>
      </c>
      <c r="F1342" s="34" t="s">
        <v>3542</v>
      </c>
      <c r="G1342" s="34">
        <v>84035.0</v>
      </c>
      <c r="H1342" s="34" t="s">
        <v>3543</v>
      </c>
      <c r="I1342" s="34" t="s">
        <v>18</v>
      </c>
      <c r="J1342" s="34" t="s">
        <v>15</v>
      </c>
      <c r="K1342" s="45">
        <v>107.6</v>
      </c>
      <c r="L1342" s="9"/>
      <c r="M1342" s="45">
        <v>107.6</v>
      </c>
    </row>
    <row r="1343">
      <c r="A1343" s="34" t="s">
        <v>70</v>
      </c>
      <c r="B1343" s="34" t="s">
        <v>129</v>
      </c>
      <c r="C1343" s="34">
        <v>84.0</v>
      </c>
      <c r="D1343" s="34" t="s">
        <v>1704</v>
      </c>
      <c r="E1343" s="34" t="s">
        <v>3544</v>
      </c>
      <c r="F1343" s="34" t="s">
        <v>3545</v>
      </c>
      <c r="G1343" s="34">
        <v>84087.0</v>
      </c>
      <c r="H1343" s="34" t="s">
        <v>3546</v>
      </c>
      <c r="I1343" s="34" t="s">
        <v>18</v>
      </c>
      <c r="J1343" s="34" t="s">
        <v>15</v>
      </c>
      <c r="K1343" s="45">
        <v>104.8</v>
      </c>
      <c r="L1343" s="9"/>
      <c r="M1343" s="45">
        <v>104.8</v>
      </c>
    </row>
    <row r="1344">
      <c r="A1344" s="34" t="s">
        <v>70</v>
      </c>
      <c r="B1344" s="34" t="s">
        <v>129</v>
      </c>
      <c r="C1344" s="34">
        <v>84.0</v>
      </c>
      <c r="D1344" s="34" t="s">
        <v>1704</v>
      </c>
      <c r="E1344" s="34" t="s">
        <v>3547</v>
      </c>
      <c r="F1344" s="34" t="s">
        <v>3548</v>
      </c>
      <c r="G1344" s="34">
        <v>84007.0</v>
      </c>
      <c r="H1344" s="34" t="s">
        <v>1707</v>
      </c>
      <c r="I1344" s="34" t="s">
        <v>18</v>
      </c>
      <c r="J1344" s="34" t="s">
        <v>13</v>
      </c>
      <c r="K1344" s="9"/>
      <c r="L1344" s="45">
        <v>74.2</v>
      </c>
      <c r="M1344" s="45">
        <v>74.2</v>
      </c>
    </row>
    <row r="1345">
      <c r="A1345" s="34" t="s">
        <v>70</v>
      </c>
      <c r="B1345" s="34" t="s">
        <v>129</v>
      </c>
      <c r="C1345" s="34">
        <v>84.0</v>
      </c>
      <c r="D1345" s="34" t="s">
        <v>1704</v>
      </c>
      <c r="E1345" s="34" t="s">
        <v>3549</v>
      </c>
      <c r="F1345" s="34" t="s">
        <v>3550</v>
      </c>
      <c r="G1345" s="34">
        <v>84087.0</v>
      </c>
      <c r="H1345" s="34" t="s">
        <v>3546</v>
      </c>
      <c r="I1345" s="34" t="s">
        <v>17</v>
      </c>
      <c r="J1345" s="34" t="s">
        <v>15</v>
      </c>
      <c r="K1345" s="45">
        <v>120.4</v>
      </c>
      <c r="L1345" s="9"/>
      <c r="M1345" s="45">
        <v>120.4</v>
      </c>
    </row>
    <row r="1346">
      <c r="A1346" s="34" t="s">
        <v>70</v>
      </c>
      <c r="B1346" s="34" t="s">
        <v>129</v>
      </c>
      <c r="C1346" s="34">
        <v>84.0</v>
      </c>
      <c r="D1346" s="34" t="s">
        <v>1704</v>
      </c>
      <c r="E1346" s="34" t="s">
        <v>3551</v>
      </c>
      <c r="F1346" s="34" t="s">
        <v>3552</v>
      </c>
      <c r="G1346" s="34">
        <v>84089.0</v>
      </c>
      <c r="H1346" s="34" t="s">
        <v>3553</v>
      </c>
      <c r="I1346" s="34" t="s">
        <v>18</v>
      </c>
      <c r="J1346" s="34" t="s">
        <v>14</v>
      </c>
      <c r="K1346" s="45">
        <v>123.4</v>
      </c>
      <c r="L1346" s="45">
        <v>93.2</v>
      </c>
      <c r="M1346" s="45">
        <v>121.1</v>
      </c>
    </row>
    <row r="1347">
      <c r="A1347" s="34" t="s">
        <v>70</v>
      </c>
      <c r="B1347" s="34" t="s">
        <v>129</v>
      </c>
      <c r="C1347" s="34">
        <v>84.0</v>
      </c>
      <c r="D1347" s="34" t="s">
        <v>1704</v>
      </c>
      <c r="E1347" s="34" t="s">
        <v>3554</v>
      </c>
      <c r="F1347" s="34" t="s">
        <v>3555</v>
      </c>
      <c r="G1347" s="34">
        <v>84137.0</v>
      </c>
      <c r="H1347" s="34" t="s">
        <v>3556</v>
      </c>
      <c r="I1347" s="34" t="s">
        <v>18</v>
      </c>
      <c r="J1347" s="34" t="s">
        <v>15</v>
      </c>
      <c r="K1347" s="45">
        <v>113.9</v>
      </c>
      <c r="L1347" s="9"/>
      <c r="M1347" s="45">
        <v>113.9</v>
      </c>
    </row>
    <row r="1348">
      <c r="A1348" s="34" t="s">
        <v>70</v>
      </c>
      <c r="B1348" s="34" t="s">
        <v>779</v>
      </c>
      <c r="C1348" s="34">
        <v>85.0</v>
      </c>
      <c r="D1348" s="34" t="s">
        <v>1708</v>
      </c>
      <c r="E1348" s="34" t="s">
        <v>3557</v>
      </c>
      <c r="F1348" s="34" t="s">
        <v>3558</v>
      </c>
      <c r="G1348" s="34">
        <v>85051.0</v>
      </c>
      <c r="H1348" s="34" t="s">
        <v>3559</v>
      </c>
      <c r="I1348" s="34" t="s">
        <v>18</v>
      </c>
      <c r="J1348" s="34" t="s">
        <v>15</v>
      </c>
      <c r="K1348" s="45">
        <v>96.7</v>
      </c>
      <c r="L1348" s="9"/>
      <c r="M1348" s="45">
        <v>96.7</v>
      </c>
    </row>
    <row r="1349">
      <c r="A1349" s="34" t="s">
        <v>70</v>
      </c>
      <c r="B1349" s="34" t="s">
        <v>779</v>
      </c>
      <c r="C1349" s="34">
        <v>85.0</v>
      </c>
      <c r="D1349" s="34" t="s">
        <v>1708</v>
      </c>
      <c r="E1349" s="34" t="s">
        <v>3560</v>
      </c>
      <c r="F1349" s="34" t="s">
        <v>3561</v>
      </c>
      <c r="G1349" s="34">
        <v>85194.0</v>
      </c>
      <c r="H1349" s="34" t="s">
        <v>1714</v>
      </c>
      <c r="I1349" s="34" t="s">
        <v>18</v>
      </c>
      <c r="J1349" s="34" t="s">
        <v>15</v>
      </c>
      <c r="K1349" s="45">
        <v>113.1</v>
      </c>
      <c r="L1349" s="9"/>
      <c r="M1349" s="45">
        <v>113.1</v>
      </c>
    </row>
    <row r="1350">
      <c r="A1350" s="34" t="s">
        <v>70</v>
      </c>
      <c r="B1350" s="34" t="s">
        <v>779</v>
      </c>
      <c r="C1350" s="34">
        <v>85.0</v>
      </c>
      <c r="D1350" s="34" t="s">
        <v>1708</v>
      </c>
      <c r="E1350" s="34" t="s">
        <v>3562</v>
      </c>
      <c r="F1350" s="34" t="s">
        <v>3563</v>
      </c>
      <c r="G1350" s="34">
        <v>85202.0</v>
      </c>
      <c r="H1350" s="34" t="s">
        <v>3564</v>
      </c>
      <c r="I1350" s="34" t="s">
        <v>17</v>
      </c>
      <c r="J1350" s="34" t="s">
        <v>15</v>
      </c>
      <c r="K1350" s="45">
        <v>125.1</v>
      </c>
      <c r="L1350" s="9"/>
      <c r="M1350" s="45">
        <v>125.1</v>
      </c>
    </row>
    <row r="1351">
      <c r="A1351" s="34" t="s">
        <v>70</v>
      </c>
      <c r="B1351" s="34" t="s">
        <v>779</v>
      </c>
      <c r="C1351" s="34">
        <v>85.0</v>
      </c>
      <c r="D1351" s="34" t="s">
        <v>1708</v>
      </c>
      <c r="E1351" s="34" t="s">
        <v>3565</v>
      </c>
      <c r="F1351" s="34" t="s">
        <v>3566</v>
      </c>
      <c r="G1351" s="34">
        <v>85092.0</v>
      </c>
      <c r="H1351" s="34" t="s">
        <v>3567</v>
      </c>
      <c r="I1351" s="34" t="s">
        <v>17</v>
      </c>
      <c r="J1351" s="34" t="s">
        <v>14</v>
      </c>
      <c r="K1351" s="45">
        <v>110.0</v>
      </c>
      <c r="L1351" s="45">
        <v>100.3</v>
      </c>
      <c r="M1351" s="45">
        <v>108.6</v>
      </c>
    </row>
    <row r="1352">
      <c r="A1352" s="34" t="s">
        <v>70</v>
      </c>
      <c r="B1352" s="34" t="s">
        <v>779</v>
      </c>
      <c r="C1352" s="34">
        <v>85.0</v>
      </c>
      <c r="D1352" s="34" t="s">
        <v>1708</v>
      </c>
      <c r="E1352" s="34" t="s">
        <v>3568</v>
      </c>
      <c r="F1352" s="34" t="s">
        <v>3569</v>
      </c>
      <c r="G1352" s="34">
        <v>85146.0</v>
      </c>
      <c r="H1352" s="34" t="s">
        <v>3570</v>
      </c>
      <c r="I1352" s="34" t="s">
        <v>18</v>
      </c>
      <c r="J1352" s="34" t="s">
        <v>14</v>
      </c>
      <c r="K1352" s="45">
        <v>119.4</v>
      </c>
      <c r="L1352" s="45">
        <v>105.7</v>
      </c>
      <c r="M1352" s="45">
        <v>119.2</v>
      </c>
    </row>
    <row r="1353">
      <c r="A1353" s="34" t="s">
        <v>70</v>
      </c>
      <c r="B1353" s="34" t="s">
        <v>779</v>
      </c>
      <c r="C1353" s="34">
        <v>85.0</v>
      </c>
      <c r="D1353" s="34" t="s">
        <v>1708</v>
      </c>
      <c r="E1353" s="34" t="s">
        <v>3571</v>
      </c>
      <c r="F1353" s="34" t="s">
        <v>3572</v>
      </c>
      <c r="G1353" s="34">
        <v>85191.0</v>
      </c>
      <c r="H1353" s="34" t="s">
        <v>1725</v>
      </c>
      <c r="I1353" s="34" t="s">
        <v>18</v>
      </c>
      <c r="J1353" s="34" t="s">
        <v>15</v>
      </c>
      <c r="K1353" s="45">
        <v>117.1</v>
      </c>
      <c r="L1353" s="9"/>
      <c r="M1353" s="45">
        <v>117.1</v>
      </c>
    </row>
    <row r="1354">
      <c r="A1354" s="34" t="s">
        <v>70</v>
      </c>
      <c r="B1354" s="34" t="s">
        <v>284</v>
      </c>
      <c r="C1354" s="34">
        <v>86.0</v>
      </c>
      <c r="D1354" s="34" t="s">
        <v>695</v>
      </c>
      <c r="E1354" s="34" t="s">
        <v>3573</v>
      </c>
      <c r="F1354" s="34" t="s">
        <v>3574</v>
      </c>
      <c r="G1354" s="34">
        <v>86078.0</v>
      </c>
      <c r="H1354" s="34" t="s">
        <v>3575</v>
      </c>
      <c r="I1354" s="34" t="s">
        <v>18</v>
      </c>
      <c r="J1354" s="34" t="s">
        <v>15</v>
      </c>
      <c r="K1354" s="45">
        <v>109.3</v>
      </c>
      <c r="L1354" s="9"/>
      <c r="M1354" s="45">
        <v>109.3</v>
      </c>
    </row>
    <row r="1355">
      <c r="A1355" s="34" t="s">
        <v>70</v>
      </c>
      <c r="B1355" s="34" t="s">
        <v>284</v>
      </c>
      <c r="C1355" s="34">
        <v>86.0</v>
      </c>
      <c r="D1355" s="34" t="s">
        <v>695</v>
      </c>
      <c r="E1355" s="34" t="s">
        <v>3576</v>
      </c>
      <c r="F1355" s="34" t="s">
        <v>3577</v>
      </c>
      <c r="G1355" s="34">
        <v>86165.0</v>
      </c>
      <c r="H1355" s="34" t="s">
        <v>1731</v>
      </c>
      <c r="I1355" s="34" t="s">
        <v>18</v>
      </c>
      <c r="J1355" s="34" t="s">
        <v>13</v>
      </c>
      <c r="K1355" s="9"/>
      <c r="L1355" s="45">
        <v>86.7</v>
      </c>
      <c r="M1355" s="45">
        <v>86.7</v>
      </c>
    </row>
    <row r="1356">
      <c r="A1356" s="34" t="s">
        <v>70</v>
      </c>
      <c r="B1356" s="34" t="s">
        <v>284</v>
      </c>
      <c r="C1356" s="34">
        <v>86.0</v>
      </c>
      <c r="D1356" s="34" t="s">
        <v>695</v>
      </c>
      <c r="E1356" s="34" t="s">
        <v>3578</v>
      </c>
      <c r="F1356" s="34" t="s">
        <v>2729</v>
      </c>
      <c r="G1356" s="34">
        <v>86194.0</v>
      </c>
      <c r="H1356" s="34" t="s">
        <v>284</v>
      </c>
      <c r="I1356" s="34" t="s">
        <v>18</v>
      </c>
      <c r="J1356" s="34" t="s">
        <v>14</v>
      </c>
      <c r="K1356" s="45">
        <v>116.1</v>
      </c>
      <c r="L1356" s="45">
        <v>90.5</v>
      </c>
      <c r="M1356" s="45">
        <v>105.9</v>
      </c>
    </row>
    <row r="1357">
      <c r="A1357" s="34" t="s">
        <v>70</v>
      </c>
      <c r="B1357" s="34" t="s">
        <v>284</v>
      </c>
      <c r="C1357" s="34">
        <v>86.0</v>
      </c>
      <c r="D1357" s="34" t="s">
        <v>695</v>
      </c>
      <c r="E1357" s="34" t="s">
        <v>3579</v>
      </c>
      <c r="F1357" s="34" t="s">
        <v>3580</v>
      </c>
      <c r="G1357" s="34">
        <v>86194.0</v>
      </c>
      <c r="H1357" s="34" t="s">
        <v>284</v>
      </c>
      <c r="I1357" s="34" t="s">
        <v>18</v>
      </c>
      <c r="J1357" s="34" t="s">
        <v>15</v>
      </c>
      <c r="K1357" s="45">
        <v>103.0</v>
      </c>
      <c r="L1357" s="9"/>
      <c r="M1357" s="45">
        <v>103.0</v>
      </c>
    </row>
    <row r="1358">
      <c r="A1358" s="34" t="s">
        <v>70</v>
      </c>
      <c r="B1358" s="34" t="s">
        <v>284</v>
      </c>
      <c r="C1358" s="34">
        <v>86.0</v>
      </c>
      <c r="D1358" s="34" t="s">
        <v>695</v>
      </c>
      <c r="E1358" s="34" t="s">
        <v>3581</v>
      </c>
      <c r="F1358" s="34" t="s">
        <v>3582</v>
      </c>
      <c r="G1358" s="34">
        <v>86066.0</v>
      </c>
      <c r="H1358" s="34" t="s">
        <v>3583</v>
      </c>
      <c r="I1358" s="34" t="s">
        <v>18</v>
      </c>
      <c r="J1358" s="34" t="s">
        <v>13</v>
      </c>
      <c r="K1358" s="9"/>
      <c r="L1358" s="45">
        <v>86.1</v>
      </c>
      <c r="M1358" s="45">
        <v>86.1</v>
      </c>
    </row>
    <row r="1359">
      <c r="A1359" s="34" t="s">
        <v>70</v>
      </c>
      <c r="B1359" s="34" t="s">
        <v>322</v>
      </c>
      <c r="C1359" s="34">
        <v>87.0</v>
      </c>
      <c r="D1359" s="34" t="s">
        <v>1736</v>
      </c>
      <c r="E1359" s="34" t="s">
        <v>3584</v>
      </c>
      <c r="F1359" s="34" t="s">
        <v>3585</v>
      </c>
      <c r="G1359" s="34">
        <v>87085.0</v>
      </c>
      <c r="H1359" s="34" t="s">
        <v>322</v>
      </c>
      <c r="I1359" s="34" t="s">
        <v>18</v>
      </c>
      <c r="J1359" s="34" t="s">
        <v>15</v>
      </c>
      <c r="K1359" s="45">
        <v>117.4</v>
      </c>
      <c r="L1359" s="9"/>
      <c r="M1359" s="45">
        <v>117.4</v>
      </c>
    </row>
    <row r="1360">
      <c r="A1360" s="34" t="s">
        <v>70</v>
      </c>
      <c r="B1360" s="34" t="s">
        <v>322</v>
      </c>
      <c r="C1360" s="34">
        <v>87.0</v>
      </c>
      <c r="D1360" s="34" t="s">
        <v>1736</v>
      </c>
      <c r="E1360" s="34" t="s">
        <v>3586</v>
      </c>
      <c r="F1360" s="34" t="s">
        <v>3587</v>
      </c>
      <c r="G1360" s="34">
        <v>87154.0</v>
      </c>
      <c r="H1360" s="34" t="s">
        <v>3588</v>
      </c>
      <c r="I1360" s="34" t="s">
        <v>18</v>
      </c>
      <c r="J1360" s="34" t="s">
        <v>13</v>
      </c>
      <c r="K1360" s="9"/>
      <c r="L1360" s="45">
        <v>84.6</v>
      </c>
      <c r="M1360" s="45">
        <v>84.6</v>
      </c>
    </row>
    <row r="1361">
      <c r="A1361" s="34" t="s">
        <v>70</v>
      </c>
      <c r="B1361" s="34" t="s">
        <v>930</v>
      </c>
      <c r="C1361" s="34">
        <v>88.0</v>
      </c>
      <c r="D1361" s="34" t="s">
        <v>1745</v>
      </c>
      <c r="E1361" s="34" t="s">
        <v>3589</v>
      </c>
      <c r="F1361" s="34" t="s">
        <v>3590</v>
      </c>
      <c r="G1361" s="34">
        <v>88114.0</v>
      </c>
      <c r="H1361" s="34" t="s">
        <v>3591</v>
      </c>
      <c r="I1361" s="34" t="s">
        <v>18</v>
      </c>
      <c r="J1361" s="34" t="s">
        <v>13</v>
      </c>
      <c r="K1361" s="9"/>
      <c r="L1361" s="45">
        <v>82.7</v>
      </c>
      <c r="M1361" s="45">
        <v>82.7</v>
      </c>
    </row>
    <row r="1362">
      <c r="A1362" s="34" t="s">
        <v>70</v>
      </c>
      <c r="B1362" s="34" t="s">
        <v>930</v>
      </c>
      <c r="C1362" s="34">
        <v>88.0</v>
      </c>
      <c r="D1362" s="34" t="s">
        <v>1745</v>
      </c>
      <c r="E1362" s="34" t="s">
        <v>3592</v>
      </c>
      <c r="F1362" s="34" t="s">
        <v>3593</v>
      </c>
      <c r="G1362" s="34">
        <v>88413.0</v>
      </c>
      <c r="H1362" s="34" t="s">
        <v>3594</v>
      </c>
      <c r="I1362" s="34" t="s">
        <v>17</v>
      </c>
      <c r="J1362" s="34" t="s">
        <v>15</v>
      </c>
      <c r="K1362" s="45">
        <v>115.3</v>
      </c>
      <c r="L1362" s="9"/>
      <c r="M1362" s="45">
        <v>115.3</v>
      </c>
    </row>
    <row r="1363">
      <c r="A1363" s="34" t="s">
        <v>70</v>
      </c>
      <c r="B1363" s="34" t="s">
        <v>930</v>
      </c>
      <c r="C1363" s="34">
        <v>88.0</v>
      </c>
      <c r="D1363" s="34" t="s">
        <v>1745</v>
      </c>
      <c r="E1363" s="34" t="s">
        <v>3595</v>
      </c>
      <c r="F1363" s="34" t="s">
        <v>3596</v>
      </c>
      <c r="G1363" s="34">
        <v>88160.0</v>
      </c>
      <c r="H1363" s="34" t="s">
        <v>1748</v>
      </c>
      <c r="I1363" s="34" t="s">
        <v>17</v>
      </c>
      <c r="J1363" s="34" t="s">
        <v>15</v>
      </c>
      <c r="K1363" s="45">
        <v>124.3</v>
      </c>
      <c r="L1363" s="9"/>
      <c r="M1363" s="45">
        <v>124.3</v>
      </c>
    </row>
    <row r="1364">
      <c r="A1364" s="34" t="s">
        <v>70</v>
      </c>
      <c r="B1364" s="34" t="s">
        <v>930</v>
      </c>
      <c r="C1364" s="34">
        <v>88.0</v>
      </c>
      <c r="D1364" s="34" t="s">
        <v>1745</v>
      </c>
      <c r="E1364" s="34" t="s">
        <v>3597</v>
      </c>
      <c r="F1364" s="34" t="s">
        <v>3598</v>
      </c>
      <c r="G1364" s="34">
        <v>88413.0</v>
      </c>
      <c r="H1364" s="34" t="s">
        <v>3594</v>
      </c>
      <c r="I1364" s="34" t="s">
        <v>18</v>
      </c>
      <c r="J1364" s="34" t="s">
        <v>14</v>
      </c>
      <c r="K1364" s="45">
        <v>114.4</v>
      </c>
      <c r="L1364" s="45">
        <v>85.9</v>
      </c>
      <c r="M1364" s="45">
        <v>104.3</v>
      </c>
    </row>
    <row r="1365">
      <c r="A1365" s="34" t="s">
        <v>70</v>
      </c>
      <c r="B1365" s="34" t="s">
        <v>930</v>
      </c>
      <c r="C1365" s="34">
        <v>88.0</v>
      </c>
      <c r="D1365" s="34" t="s">
        <v>1745</v>
      </c>
      <c r="E1365" s="34" t="s">
        <v>3599</v>
      </c>
      <c r="F1365" s="34" t="s">
        <v>3600</v>
      </c>
      <c r="G1365" s="34">
        <v>88383.0</v>
      </c>
      <c r="H1365" s="34" t="s">
        <v>3601</v>
      </c>
      <c r="I1365" s="34" t="s">
        <v>18</v>
      </c>
      <c r="J1365" s="34" t="s">
        <v>14</v>
      </c>
      <c r="K1365" s="45">
        <v>111.8</v>
      </c>
      <c r="L1365" s="45">
        <v>101.5</v>
      </c>
      <c r="M1365" s="45">
        <v>111.2</v>
      </c>
    </row>
    <row r="1366">
      <c r="A1366" s="34" t="s">
        <v>70</v>
      </c>
      <c r="B1366" s="34" t="s">
        <v>930</v>
      </c>
      <c r="C1366" s="34">
        <v>88.0</v>
      </c>
      <c r="D1366" s="34" t="s">
        <v>1745</v>
      </c>
      <c r="E1366" s="34" t="s">
        <v>3602</v>
      </c>
      <c r="F1366" s="34" t="s">
        <v>595</v>
      </c>
      <c r="G1366" s="34">
        <v>88321.0</v>
      </c>
      <c r="H1366" s="34" t="s">
        <v>1751</v>
      </c>
      <c r="I1366" s="34" t="s">
        <v>17</v>
      </c>
      <c r="J1366" s="34" t="s">
        <v>13</v>
      </c>
      <c r="K1366" s="9"/>
      <c r="L1366" s="45">
        <v>76.2</v>
      </c>
      <c r="M1366" s="45">
        <v>76.2</v>
      </c>
    </row>
    <row r="1367">
      <c r="A1367" s="34" t="s">
        <v>70</v>
      </c>
      <c r="B1367" s="34" t="s">
        <v>333</v>
      </c>
      <c r="C1367" s="34">
        <v>89.0</v>
      </c>
      <c r="D1367" s="34" t="s">
        <v>1763</v>
      </c>
      <c r="E1367" s="34" t="s">
        <v>3603</v>
      </c>
      <c r="F1367" s="34" t="s">
        <v>3604</v>
      </c>
      <c r="G1367" s="34">
        <v>89387.0</v>
      </c>
      <c r="H1367" s="34" t="s">
        <v>3605</v>
      </c>
      <c r="I1367" s="34" t="s">
        <v>17</v>
      </c>
      <c r="J1367" s="34" t="s">
        <v>14</v>
      </c>
      <c r="K1367" s="45">
        <v>120.1</v>
      </c>
      <c r="L1367" s="45">
        <v>82.8</v>
      </c>
      <c r="M1367" s="45">
        <v>115.0</v>
      </c>
    </row>
    <row r="1368">
      <c r="A1368" s="34" t="s">
        <v>70</v>
      </c>
      <c r="B1368" s="34" t="s">
        <v>333</v>
      </c>
      <c r="C1368" s="34">
        <v>89.0</v>
      </c>
      <c r="D1368" s="34" t="s">
        <v>1763</v>
      </c>
      <c r="E1368" s="34" t="s">
        <v>3606</v>
      </c>
      <c r="F1368" s="34" t="s">
        <v>3607</v>
      </c>
      <c r="G1368" s="34">
        <v>89024.0</v>
      </c>
      <c r="H1368" s="34" t="s">
        <v>1766</v>
      </c>
      <c r="I1368" s="34" t="s">
        <v>18</v>
      </c>
      <c r="J1368" s="34" t="s">
        <v>14</v>
      </c>
      <c r="K1368" s="45">
        <v>103.2</v>
      </c>
      <c r="L1368" s="45">
        <v>83.7</v>
      </c>
      <c r="M1368" s="45">
        <v>86.4</v>
      </c>
    </row>
    <row r="1369">
      <c r="A1369" s="34" t="s">
        <v>70</v>
      </c>
      <c r="B1369" s="34" t="s">
        <v>333</v>
      </c>
      <c r="C1369" s="34">
        <v>89.0</v>
      </c>
      <c r="D1369" s="34" t="s">
        <v>1763</v>
      </c>
      <c r="E1369" s="34" t="s">
        <v>3608</v>
      </c>
      <c r="F1369" s="34" t="s">
        <v>3609</v>
      </c>
      <c r="G1369" s="34">
        <v>89024.0</v>
      </c>
      <c r="H1369" s="34" t="s">
        <v>1766</v>
      </c>
      <c r="I1369" s="34" t="s">
        <v>18</v>
      </c>
      <c r="J1369" s="34" t="s">
        <v>13</v>
      </c>
      <c r="K1369" s="9"/>
      <c r="L1369" s="45">
        <v>86.3</v>
      </c>
      <c r="M1369" s="45">
        <v>86.3</v>
      </c>
    </row>
    <row r="1370">
      <c r="A1370" s="34" t="s">
        <v>70</v>
      </c>
      <c r="B1370" s="34" t="s">
        <v>1579</v>
      </c>
      <c r="C1370" s="34">
        <v>91.0</v>
      </c>
      <c r="D1370" s="34" t="s">
        <v>1784</v>
      </c>
      <c r="E1370" s="34" t="s">
        <v>3610</v>
      </c>
      <c r="F1370" s="34" t="s">
        <v>3611</v>
      </c>
      <c r="G1370" s="34">
        <v>91174.0</v>
      </c>
      <c r="H1370" s="34" t="s">
        <v>3612</v>
      </c>
      <c r="I1370" s="34" t="s">
        <v>18</v>
      </c>
      <c r="J1370" s="34" t="s">
        <v>14</v>
      </c>
      <c r="K1370" s="45">
        <v>103.3</v>
      </c>
      <c r="L1370" s="45">
        <v>82.8</v>
      </c>
      <c r="M1370" s="45">
        <v>98.5</v>
      </c>
    </row>
    <row r="1371">
      <c r="A1371" s="34" t="s">
        <v>70</v>
      </c>
      <c r="B1371" s="34" t="s">
        <v>1579</v>
      </c>
      <c r="C1371" s="34">
        <v>91.0</v>
      </c>
      <c r="D1371" s="34" t="s">
        <v>1784</v>
      </c>
      <c r="E1371" s="34" t="s">
        <v>3613</v>
      </c>
      <c r="F1371" s="34" t="s">
        <v>3614</v>
      </c>
      <c r="G1371" s="34">
        <v>91223.0</v>
      </c>
      <c r="H1371" s="34" t="s">
        <v>3615</v>
      </c>
      <c r="I1371" s="34" t="s">
        <v>18</v>
      </c>
      <c r="J1371" s="34" t="s">
        <v>14</v>
      </c>
      <c r="K1371" s="45">
        <v>114.8</v>
      </c>
      <c r="L1371" s="45">
        <v>86.2</v>
      </c>
      <c r="M1371" s="45">
        <v>112.4</v>
      </c>
    </row>
    <row r="1372">
      <c r="A1372" s="34" t="s">
        <v>70</v>
      </c>
      <c r="B1372" s="34" t="s">
        <v>1579</v>
      </c>
      <c r="C1372" s="34">
        <v>91.0</v>
      </c>
      <c r="D1372" s="34" t="s">
        <v>1784</v>
      </c>
      <c r="E1372" s="34" t="s">
        <v>3616</v>
      </c>
      <c r="F1372" s="34" t="s">
        <v>3617</v>
      </c>
      <c r="G1372" s="34">
        <v>91589.0</v>
      </c>
      <c r="H1372" s="34" t="s">
        <v>1812</v>
      </c>
      <c r="I1372" s="34" t="s">
        <v>18</v>
      </c>
      <c r="J1372" s="34" t="s">
        <v>15</v>
      </c>
      <c r="K1372" s="45">
        <v>115.6</v>
      </c>
      <c r="L1372" s="9"/>
      <c r="M1372" s="45">
        <v>115.6</v>
      </c>
    </row>
    <row r="1373">
      <c r="A1373" s="34" t="s">
        <v>70</v>
      </c>
      <c r="B1373" s="34" t="s">
        <v>1579</v>
      </c>
      <c r="C1373" s="34">
        <v>91.0</v>
      </c>
      <c r="D1373" s="34" t="s">
        <v>1784</v>
      </c>
      <c r="E1373" s="34" t="s">
        <v>3618</v>
      </c>
      <c r="F1373" s="34" t="s">
        <v>3619</v>
      </c>
      <c r="G1373" s="34">
        <v>91687.0</v>
      </c>
      <c r="H1373" s="34" t="s">
        <v>3620</v>
      </c>
      <c r="I1373" s="34" t="s">
        <v>17</v>
      </c>
      <c r="J1373" s="34" t="s">
        <v>15</v>
      </c>
      <c r="K1373" s="45">
        <v>133.2</v>
      </c>
      <c r="L1373" s="9"/>
      <c r="M1373" s="45">
        <v>133.2</v>
      </c>
    </row>
    <row r="1374">
      <c r="A1374" s="34" t="s">
        <v>70</v>
      </c>
      <c r="B1374" s="34" t="s">
        <v>1579</v>
      </c>
      <c r="C1374" s="34">
        <v>91.0</v>
      </c>
      <c r="D1374" s="34" t="s">
        <v>1784</v>
      </c>
      <c r="E1374" s="34" t="s">
        <v>3621</v>
      </c>
      <c r="F1374" s="34" t="s">
        <v>3622</v>
      </c>
      <c r="G1374" s="34">
        <v>91114.0</v>
      </c>
      <c r="H1374" s="34" t="s">
        <v>3623</v>
      </c>
      <c r="I1374" s="34" t="s">
        <v>17</v>
      </c>
      <c r="J1374" s="34" t="s">
        <v>14</v>
      </c>
      <c r="K1374" s="45">
        <v>129.0</v>
      </c>
      <c r="L1374" s="45">
        <v>112.3</v>
      </c>
      <c r="M1374" s="45">
        <v>127.1</v>
      </c>
    </row>
    <row r="1375">
      <c r="A1375" s="34" t="s">
        <v>70</v>
      </c>
      <c r="B1375" s="34" t="s">
        <v>1579</v>
      </c>
      <c r="C1375" s="34">
        <v>91.0</v>
      </c>
      <c r="D1375" s="34" t="s">
        <v>1784</v>
      </c>
      <c r="E1375" s="34" t="s">
        <v>3624</v>
      </c>
      <c r="F1375" s="34" t="s">
        <v>3625</v>
      </c>
      <c r="G1375" s="34">
        <v>91645.0</v>
      </c>
      <c r="H1375" s="34" t="s">
        <v>3626</v>
      </c>
      <c r="I1375" s="34" t="s">
        <v>17</v>
      </c>
      <c r="J1375" s="34" t="s">
        <v>15</v>
      </c>
      <c r="K1375" s="45">
        <v>146.2</v>
      </c>
      <c r="L1375" s="9"/>
      <c r="M1375" s="45">
        <v>146.2</v>
      </c>
    </row>
    <row r="1376">
      <c r="A1376" s="34" t="s">
        <v>70</v>
      </c>
      <c r="B1376" s="34" t="s">
        <v>1579</v>
      </c>
      <c r="C1376" s="34">
        <v>91.0</v>
      </c>
      <c r="D1376" s="34" t="s">
        <v>1784</v>
      </c>
      <c r="E1376" s="34" t="s">
        <v>3627</v>
      </c>
      <c r="F1376" s="34" t="s">
        <v>3628</v>
      </c>
      <c r="G1376" s="34">
        <v>91386.0</v>
      </c>
      <c r="H1376" s="34" t="s">
        <v>3629</v>
      </c>
      <c r="I1376" s="34" t="s">
        <v>18</v>
      </c>
      <c r="J1376" s="34" t="s">
        <v>14</v>
      </c>
      <c r="K1376" s="45">
        <v>118.0</v>
      </c>
      <c r="L1376" s="45">
        <v>87.7</v>
      </c>
      <c r="M1376" s="45">
        <v>113.9</v>
      </c>
    </row>
    <row r="1377">
      <c r="A1377" s="34" t="s">
        <v>70</v>
      </c>
      <c r="B1377" s="34" t="s">
        <v>1579</v>
      </c>
      <c r="C1377" s="34">
        <v>91.0</v>
      </c>
      <c r="D1377" s="34" t="s">
        <v>1784</v>
      </c>
      <c r="E1377" s="34" t="s">
        <v>3630</v>
      </c>
      <c r="F1377" s="34" t="s">
        <v>3631</v>
      </c>
      <c r="G1377" s="34">
        <v>91228.0</v>
      </c>
      <c r="H1377" s="34" t="s">
        <v>1804</v>
      </c>
      <c r="I1377" s="34" t="s">
        <v>17</v>
      </c>
      <c r="J1377" s="34" t="s">
        <v>15</v>
      </c>
      <c r="K1377" s="45">
        <v>134.1</v>
      </c>
      <c r="L1377" s="9"/>
      <c r="M1377" s="45">
        <v>134.1</v>
      </c>
    </row>
    <row r="1378">
      <c r="A1378" s="34" t="s">
        <v>70</v>
      </c>
      <c r="B1378" s="34" t="s">
        <v>1579</v>
      </c>
      <c r="C1378" s="34">
        <v>91.0</v>
      </c>
      <c r="D1378" s="34" t="s">
        <v>1784</v>
      </c>
      <c r="E1378" s="34" t="s">
        <v>3632</v>
      </c>
      <c r="F1378" s="34" t="s">
        <v>3633</v>
      </c>
      <c r="G1378" s="34">
        <v>91174.0</v>
      </c>
      <c r="H1378" s="34" t="s">
        <v>3612</v>
      </c>
      <c r="I1378" s="34" t="s">
        <v>17</v>
      </c>
      <c r="J1378" s="34" t="s">
        <v>14</v>
      </c>
      <c r="K1378" s="45">
        <v>125.7</v>
      </c>
      <c r="L1378" s="45">
        <v>109.2</v>
      </c>
      <c r="M1378" s="45">
        <v>122.6</v>
      </c>
    </row>
    <row r="1379">
      <c r="A1379" s="34" t="s">
        <v>70</v>
      </c>
      <c r="B1379" s="34" t="s">
        <v>1579</v>
      </c>
      <c r="C1379" s="34">
        <v>91.0</v>
      </c>
      <c r="D1379" s="34" t="s">
        <v>1784</v>
      </c>
      <c r="E1379" s="34" t="s">
        <v>3634</v>
      </c>
      <c r="F1379" s="34" t="s">
        <v>3635</v>
      </c>
      <c r="G1379" s="34">
        <v>91477.0</v>
      </c>
      <c r="H1379" s="34" t="s">
        <v>3636</v>
      </c>
      <c r="I1379" s="34" t="s">
        <v>18</v>
      </c>
      <c r="J1379" s="34" t="s">
        <v>14</v>
      </c>
      <c r="K1379" s="45">
        <v>121.7</v>
      </c>
      <c r="L1379" s="45">
        <v>89.7</v>
      </c>
      <c r="M1379" s="45">
        <v>106.2</v>
      </c>
    </row>
    <row r="1380">
      <c r="A1380" s="34" t="s">
        <v>70</v>
      </c>
      <c r="B1380" s="34" t="s">
        <v>1579</v>
      </c>
      <c r="C1380" s="34">
        <v>92.0</v>
      </c>
      <c r="D1380" s="34" t="s">
        <v>1815</v>
      </c>
      <c r="E1380" s="34" t="s">
        <v>3637</v>
      </c>
      <c r="F1380" s="34" t="s">
        <v>1588</v>
      </c>
      <c r="G1380" s="34">
        <v>92002.0</v>
      </c>
      <c r="H1380" s="34" t="s">
        <v>3638</v>
      </c>
      <c r="I1380" s="34" t="s">
        <v>18</v>
      </c>
      <c r="J1380" s="34" t="s">
        <v>15</v>
      </c>
      <c r="K1380" s="45">
        <v>129.9</v>
      </c>
      <c r="L1380" s="9"/>
      <c r="M1380" s="45">
        <v>129.9</v>
      </c>
    </row>
    <row r="1381">
      <c r="A1381" s="34" t="s">
        <v>70</v>
      </c>
      <c r="B1381" s="34" t="s">
        <v>1579</v>
      </c>
      <c r="C1381" s="34">
        <v>92.0</v>
      </c>
      <c r="D1381" s="34" t="s">
        <v>1815</v>
      </c>
      <c r="E1381" s="34" t="s">
        <v>3639</v>
      </c>
      <c r="F1381" s="34" t="s">
        <v>3640</v>
      </c>
      <c r="G1381" s="34">
        <v>92049.0</v>
      </c>
      <c r="H1381" s="34" t="s">
        <v>3641</v>
      </c>
      <c r="I1381" s="34" t="s">
        <v>18</v>
      </c>
      <c r="J1381" s="34" t="s">
        <v>13</v>
      </c>
      <c r="K1381" s="9"/>
      <c r="L1381" s="45">
        <v>87.0</v>
      </c>
      <c r="M1381" s="45">
        <v>87.0</v>
      </c>
    </row>
    <row r="1382">
      <c r="A1382" s="34" t="s">
        <v>70</v>
      </c>
      <c r="B1382" s="34" t="s">
        <v>1579</v>
      </c>
      <c r="C1382" s="34">
        <v>92.0</v>
      </c>
      <c r="D1382" s="34" t="s">
        <v>1815</v>
      </c>
      <c r="E1382" s="34" t="s">
        <v>3642</v>
      </c>
      <c r="F1382" s="34" t="s">
        <v>3643</v>
      </c>
      <c r="G1382" s="34">
        <v>92071.0</v>
      </c>
      <c r="H1382" s="34" t="s">
        <v>1827</v>
      </c>
      <c r="I1382" s="34" t="s">
        <v>18</v>
      </c>
      <c r="J1382" s="34" t="s">
        <v>13</v>
      </c>
      <c r="K1382" s="9"/>
      <c r="L1382" s="45">
        <v>98.1</v>
      </c>
      <c r="M1382" s="45">
        <v>98.1</v>
      </c>
    </row>
    <row r="1383">
      <c r="A1383" s="34" t="s">
        <v>70</v>
      </c>
      <c r="B1383" s="34" t="s">
        <v>1579</v>
      </c>
      <c r="C1383" s="34">
        <v>92.0</v>
      </c>
      <c r="D1383" s="34" t="s">
        <v>1815</v>
      </c>
      <c r="E1383" s="34" t="s">
        <v>3644</v>
      </c>
      <c r="F1383" s="34" t="s">
        <v>3645</v>
      </c>
      <c r="G1383" s="34">
        <v>92072.0</v>
      </c>
      <c r="H1383" s="34" t="s">
        <v>3646</v>
      </c>
      <c r="I1383" s="34" t="s">
        <v>18</v>
      </c>
      <c r="J1383" s="34" t="s">
        <v>15</v>
      </c>
      <c r="K1383" s="45">
        <v>137.4</v>
      </c>
      <c r="L1383" s="9"/>
      <c r="M1383" s="45">
        <v>137.4</v>
      </c>
    </row>
    <row r="1384">
      <c r="A1384" s="34" t="s">
        <v>70</v>
      </c>
      <c r="B1384" s="34" t="s">
        <v>1579</v>
      </c>
      <c r="C1384" s="34">
        <v>92.0</v>
      </c>
      <c r="D1384" s="34" t="s">
        <v>1815</v>
      </c>
      <c r="E1384" s="34" t="s">
        <v>3647</v>
      </c>
      <c r="F1384" s="34" t="s">
        <v>212</v>
      </c>
      <c r="G1384" s="34">
        <v>92007.0</v>
      </c>
      <c r="H1384" s="34" t="s">
        <v>3648</v>
      </c>
      <c r="I1384" s="34" t="s">
        <v>17</v>
      </c>
      <c r="J1384" s="34" t="s">
        <v>15</v>
      </c>
      <c r="K1384" s="45">
        <v>108.2</v>
      </c>
      <c r="L1384" s="9"/>
      <c r="M1384" s="45">
        <v>108.2</v>
      </c>
    </row>
    <row r="1385">
      <c r="A1385" s="34" t="s">
        <v>70</v>
      </c>
      <c r="B1385" s="34" t="s">
        <v>1579</v>
      </c>
      <c r="C1385" s="34">
        <v>92.0</v>
      </c>
      <c r="D1385" s="34" t="s">
        <v>1815</v>
      </c>
      <c r="E1385" s="34" t="s">
        <v>3649</v>
      </c>
      <c r="F1385" s="34" t="s">
        <v>3650</v>
      </c>
      <c r="G1385" s="34">
        <v>92012.0</v>
      </c>
      <c r="H1385" s="34" t="s">
        <v>3651</v>
      </c>
      <c r="I1385" s="34" t="s">
        <v>17</v>
      </c>
      <c r="J1385" s="34" t="s">
        <v>15</v>
      </c>
      <c r="K1385" s="45">
        <v>145.2</v>
      </c>
      <c r="L1385" s="9"/>
      <c r="M1385" s="45">
        <v>145.2</v>
      </c>
    </row>
    <row r="1386">
      <c r="A1386" s="34" t="s">
        <v>70</v>
      </c>
      <c r="B1386" s="34" t="s">
        <v>1579</v>
      </c>
      <c r="C1386" s="34">
        <v>92.0</v>
      </c>
      <c r="D1386" s="34" t="s">
        <v>1815</v>
      </c>
      <c r="E1386" s="34" t="s">
        <v>3652</v>
      </c>
      <c r="F1386" s="34" t="s">
        <v>3653</v>
      </c>
      <c r="G1386" s="34">
        <v>92063.0</v>
      </c>
      <c r="H1386" s="34" t="s">
        <v>1842</v>
      </c>
      <c r="I1386" s="34" t="s">
        <v>17</v>
      </c>
      <c r="J1386" s="34" t="s">
        <v>15</v>
      </c>
      <c r="K1386" s="45">
        <v>154.0</v>
      </c>
      <c r="L1386" s="9"/>
      <c r="M1386" s="45">
        <v>154.0</v>
      </c>
    </row>
    <row r="1387">
      <c r="A1387" s="34" t="s">
        <v>70</v>
      </c>
      <c r="B1387" s="34" t="s">
        <v>1579</v>
      </c>
      <c r="C1387" s="34">
        <v>92.0</v>
      </c>
      <c r="D1387" s="34" t="s">
        <v>1815</v>
      </c>
      <c r="E1387" s="34" t="s">
        <v>3654</v>
      </c>
      <c r="F1387" s="34" t="s">
        <v>3655</v>
      </c>
      <c r="G1387" s="34">
        <v>92049.0</v>
      </c>
      <c r="H1387" s="34" t="s">
        <v>3641</v>
      </c>
      <c r="I1387" s="34" t="s">
        <v>18</v>
      </c>
      <c r="J1387" s="34" t="s">
        <v>15</v>
      </c>
      <c r="K1387" s="45">
        <v>108.4</v>
      </c>
      <c r="L1387" s="9"/>
      <c r="M1387" s="45">
        <v>108.4</v>
      </c>
    </row>
    <row r="1388">
      <c r="A1388" s="34" t="s">
        <v>70</v>
      </c>
      <c r="B1388" s="34" t="s">
        <v>1579</v>
      </c>
      <c r="C1388" s="34">
        <v>92.0</v>
      </c>
      <c r="D1388" s="34" t="s">
        <v>1815</v>
      </c>
      <c r="E1388" s="34" t="s">
        <v>3656</v>
      </c>
      <c r="F1388" s="34" t="s">
        <v>3657</v>
      </c>
      <c r="G1388" s="34">
        <v>92078.0</v>
      </c>
      <c r="H1388" s="34" t="s">
        <v>3658</v>
      </c>
      <c r="I1388" s="34" t="s">
        <v>18</v>
      </c>
      <c r="J1388" s="34" t="s">
        <v>13</v>
      </c>
      <c r="K1388" s="9"/>
      <c r="L1388" s="45">
        <v>74.2</v>
      </c>
      <c r="M1388" s="45">
        <v>74.2</v>
      </c>
    </row>
    <row r="1389">
      <c r="A1389" s="34" t="s">
        <v>70</v>
      </c>
      <c r="B1389" s="34" t="s">
        <v>1579</v>
      </c>
      <c r="C1389" s="34">
        <v>92.0</v>
      </c>
      <c r="D1389" s="34" t="s">
        <v>1815</v>
      </c>
      <c r="E1389" s="34" t="s">
        <v>3659</v>
      </c>
      <c r="F1389" s="34" t="s">
        <v>3660</v>
      </c>
      <c r="G1389" s="34">
        <v>92063.0</v>
      </c>
      <c r="H1389" s="34" t="s">
        <v>1842</v>
      </c>
      <c r="I1389" s="34" t="s">
        <v>18</v>
      </c>
      <c r="J1389" s="34" t="s">
        <v>14</v>
      </c>
      <c r="K1389" s="45">
        <v>127.1</v>
      </c>
      <c r="L1389" s="45">
        <v>94.7</v>
      </c>
      <c r="M1389" s="45">
        <v>112.1</v>
      </c>
    </row>
    <row r="1390">
      <c r="A1390" s="34" t="s">
        <v>70</v>
      </c>
      <c r="B1390" s="34" t="s">
        <v>1579</v>
      </c>
      <c r="C1390" s="34">
        <v>92.0</v>
      </c>
      <c r="D1390" s="34" t="s">
        <v>1815</v>
      </c>
      <c r="E1390" s="34" t="s">
        <v>3661</v>
      </c>
      <c r="F1390" s="34" t="s">
        <v>3662</v>
      </c>
      <c r="G1390" s="34">
        <v>92025.0</v>
      </c>
      <c r="H1390" s="34" t="s">
        <v>1839</v>
      </c>
      <c r="I1390" s="34" t="s">
        <v>18</v>
      </c>
      <c r="J1390" s="34" t="s">
        <v>13</v>
      </c>
      <c r="K1390" s="9"/>
      <c r="L1390" s="45">
        <v>108.9</v>
      </c>
      <c r="M1390" s="45">
        <v>108.9</v>
      </c>
    </row>
    <row r="1391">
      <c r="A1391" s="34" t="s">
        <v>70</v>
      </c>
      <c r="B1391" s="34" t="s">
        <v>1579</v>
      </c>
      <c r="C1391" s="34">
        <v>92.0</v>
      </c>
      <c r="D1391" s="34" t="s">
        <v>1815</v>
      </c>
      <c r="E1391" s="34" t="s">
        <v>3663</v>
      </c>
      <c r="F1391" s="34" t="s">
        <v>2429</v>
      </c>
      <c r="G1391" s="34">
        <v>92050.0</v>
      </c>
      <c r="H1391" s="34" t="s">
        <v>3664</v>
      </c>
      <c r="I1391" s="34" t="s">
        <v>18</v>
      </c>
      <c r="J1391" s="34" t="s">
        <v>13</v>
      </c>
      <c r="K1391" s="9"/>
      <c r="L1391" s="45">
        <v>86.6</v>
      </c>
      <c r="M1391" s="45">
        <v>86.6</v>
      </c>
    </row>
    <row r="1392">
      <c r="A1392" s="34" t="s">
        <v>70</v>
      </c>
      <c r="B1392" s="34" t="s">
        <v>1579</v>
      </c>
      <c r="C1392" s="34">
        <v>92.0</v>
      </c>
      <c r="D1392" s="34" t="s">
        <v>1815</v>
      </c>
      <c r="E1392" s="34" t="s">
        <v>3665</v>
      </c>
      <c r="F1392" s="34" t="s">
        <v>3666</v>
      </c>
      <c r="G1392" s="34">
        <v>92040.0</v>
      </c>
      <c r="H1392" s="34" t="s">
        <v>3667</v>
      </c>
      <c r="I1392" s="34" t="s">
        <v>17</v>
      </c>
      <c r="J1392" s="34" t="s">
        <v>14</v>
      </c>
      <c r="K1392" s="45">
        <v>122.8</v>
      </c>
      <c r="L1392" s="45">
        <v>112.2</v>
      </c>
      <c r="M1392" s="45">
        <v>117.3</v>
      </c>
    </row>
    <row r="1393">
      <c r="A1393" s="34" t="s">
        <v>70</v>
      </c>
      <c r="B1393" s="34" t="s">
        <v>1545</v>
      </c>
      <c r="C1393" s="34">
        <v>93.0</v>
      </c>
      <c r="D1393" s="34" t="s">
        <v>1852</v>
      </c>
      <c r="E1393" s="34" t="s">
        <v>3668</v>
      </c>
      <c r="F1393" s="34" t="s">
        <v>3669</v>
      </c>
      <c r="G1393" s="34">
        <v>93010.0</v>
      </c>
      <c r="H1393" s="34" t="s">
        <v>3670</v>
      </c>
      <c r="I1393" s="34" t="s">
        <v>18</v>
      </c>
      <c r="J1393" s="34" t="s">
        <v>15</v>
      </c>
      <c r="K1393" s="45">
        <v>87.1</v>
      </c>
      <c r="L1393" s="9"/>
      <c r="M1393" s="45">
        <v>87.1</v>
      </c>
    </row>
    <row r="1394">
      <c r="A1394" s="34" t="s">
        <v>70</v>
      </c>
      <c r="B1394" s="34" t="s">
        <v>1545</v>
      </c>
      <c r="C1394" s="34">
        <v>93.0</v>
      </c>
      <c r="D1394" s="34" t="s">
        <v>1852</v>
      </c>
      <c r="E1394" s="34" t="s">
        <v>3671</v>
      </c>
      <c r="F1394" s="34" t="s">
        <v>3672</v>
      </c>
      <c r="G1394" s="34">
        <v>93048.0</v>
      </c>
      <c r="H1394" s="34" t="s">
        <v>1855</v>
      </c>
      <c r="I1394" s="34" t="s">
        <v>18</v>
      </c>
      <c r="J1394" s="34" t="s">
        <v>15</v>
      </c>
      <c r="K1394" s="45">
        <v>99.5</v>
      </c>
      <c r="L1394" s="9"/>
      <c r="M1394" s="45">
        <v>99.5</v>
      </c>
    </row>
    <row r="1395">
      <c r="A1395" s="34" t="s">
        <v>70</v>
      </c>
      <c r="B1395" s="34" t="s">
        <v>1545</v>
      </c>
      <c r="C1395" s="34">
        <v>93.0</v>
      </c>
      <c r="D1395" s="34" t="s">
        <v>1852</v>
      </c>
      <c r="E1395" s="34" t="s">
        <v>3673</v>
      </c>
      <c r="F1395" s="34" t="s">
        <v>3674</v>
      </c>
      <c r="G1395" s="34">
        <v>93066.0</v>
      </c>
      <c r="H1395" s="34" t="s">
        <v>1858</v>
      </c>
      <c r="I1395" s="34" t="s">
        <v>18</v>
      </c>
      <c r="J1395" s="34" t="s">
        <v>15</v>
      </c>
      <c r="K1395" s="45">
        <v>81.3</v>
      </c>
      <c r="L1395" s="9"/>
      <c r="M1395" s="45">
        <v>81.3</v>
      </c>
    </row>
    <row r="1396">
      <c r="A1396" s="34" t="s">
        <v>70</v>
      </c>
      <c r="B1396" s="34" t="s">
        <v>1545</v>
      </c>
      <c r="C1396" s="34">
        <v>93.0</v>
      </c>
      <c r="D1396" s="34" t="s">
        <v>1852</v>
      </c>
      <c r="E1396" s="34" t="s">
        <v>3675</v>
      </c>
      <c r="F1396" s="34" t="s">
        <v>3676</v>
      </c>
      <c r="G1396" s="34">
        <v>93048.0</v>
      </c>
      <c r="H1396" s="34" t="s">
        <v>1855</v>
      </c>
      <c r="I1396" s="34" t="s">
        <v>18</v>
      </c>
      <c r="J1396" s="34" t="s">
        <v>13</v>
      </c>
      <c r="K1396" s="9"/>
      <c r="L1396" s="45">
        <v>83.7</v>
      </c>
      <c r="M1396" s="45">
        <v>83.7</v>
      </c>
    </row>
    <row r="1397">
      <c r="A1397" s="34" t="s">
        <v>70</v>
      </c>
      <c r="B1397" s="34" t="s">
        <v>1545</v>
      </c>
      <c r="C1397" s="34">
        <v>93.0</v>
      </c>
      <c r="D1397" s="34" t="s">
        <v>1852</v>
      </c>
      <c r="E1397" s="34" t="s">
        <v>3677</v>
      </c>
      <c r="F1397" s="34" t="s">
        <v>3166</v>
      </c>
      <c r="G1397" s="34">
        <v>93062.0</v>
      </c>
      <c r="H1397" s="34" t="s">
        <v>3678</v>
      </c>
      <c r="I1397" s="34" t="s">
        <v>18</v>
      </c>
      <c r="J1397" s="34" t="s">
        <v>15</v>
      </c>
      <c r="K1397" s="45">
        <v>113.1</v>
      </c>
      <c r="L1397" s="9"/>
      <c r="M1397" s="45">
        <v>113.1</v>
      </c>
    </row>
    <row r="1398">
      <c r="A1398" s="34" t="s">
        <v>70</v>
      </c>
      <c r="B1398" s="34" t="s">
        <v>1545</v>
      </c>
      <c r="C1398" s="34">
        <v>93.0</v>
      </c>
      <c r="D1398" s="34" t="s">
        <v>1852</v>
      </c>
      <c r="E1398" s="34" t="s">
        <v>3679</v>
      </c>
      <c r="F1398" s="34" t="s">
        <v>3680</v>
      </c>
      <c r="G1398" s="34">
        <v>93005.0</v>
      </c>
      <c r="H1398" s="34" t="s">
        <v>1861</v>
      </c>
      <c r="I1398" s="34" t="s">
        <v>18</v>
      </c>
      <c r="J1398" s="34" t="s">
        <v>14</v>
      </c>
      <c r="K1398" s="45">
        <v>52.5</v>
      </c>
      <c r="L1398" s="45">
        <v>79.5</v>
      </c>
      <c r="M1398" s="45">
        <v>79.2</v>
      </c>
    </row>
    <row r="1399">
      <c r="A1399" s="34" t="s">
        <v>70</v>
      </c>
      <c r="B1399" s="34" t="s">
        <v>1545</v>
      </c>
      <c r="C1399" s="34">
        <v>93.0</v>
      </c>
      <c r="D1399" s="34" t="s">
        <v>1852</v>
      </c>
      <c r="E1399" s="34" t="s">
        <v>3681</v>
      </c>
      <c r="F1399" s="34" t="s">
        <v>3682</v>
      </c>
      <c r="G1399" s="34">
        <v>93005.0</v>
      </c>
      <c r="H1399" s="34" t="s">
        <v>1861</v>
      </c>
      <c r="I1399" s="34" t="s">
        <v>17</v>
      </c>
      <c r="J1399" s="34" t="s">
        <v>14</v>
      </c>
      <c r="K1399" s="45">
        <v>116.5</v>
      </c>
      <c r="L1399" s="45">
        <v>108.1</v>
      </c>
      <c r="M1399" s="45">
        <v>112.0</v>
      </c>
    </row>
    <row r="1400">
      <c r="A1400" s="34" t="s">
        <v>70</v>
      </c>
      <c r="B1400" s="34" t="s">
        <v>1545</v>
      </c>
      <c r="C1400" s="34">
        <v>93.0</v>
      </c>
      <c r="D1400" s="34" t="s">
        <v>1852</v>
      </c>
      <c r="E1400" s="34" t="s">
        <v>3683</v>
      </c>
      <c r="F1400" s="34" t="s">
        <v>3684</v>
      </c>
      <c r="G1400" s="34">
        <v>93032.0</v>
      </c>
      <c r="H1400" s="34" t="s">
        <v>1877</v>
      </c>
      <c r="I1400" s="34" t="s">
        <v>18</v>
      </c>
      <c r="J1400" s="34" t="s">
        <v>13</v>
      </c>
      <c r="K1400" s="9"/>
      <c r="L1400" s="45">
        <v>78.4</v>
      </c>
      <c r="M1400" s="45">
        <v>78.4</v>
      </c>
    </row>
    <row r="1401">
      <c r="A1401" s="34" t="s">
        <v>70</v>
      </c>
      <c r="B1401" s="34" t="s">
        <v>1545</v>
      </c>
      <c r="C1401" s="34">
        <v>93.0</v>
      </c>
      <c r="D1401" s="34" t="s">
        <v>1852</v>
      </c>
      <c r="E1401" s="34" t="s">
        <v>3685</v>
      </c>
      <c r="F1401" s="34" t="s">
        <v>3686</v>
      </c>
      <c r="G1401" s="34">
        <v>93030.0</v>
      </c>
      <c r="H1401" s="34" t="s">
        <v>3687</v>
      </c>
      <c r="I1401" s="34" t="s">
        <v>17</v>
      </c>
      <c r="J1401" s="34" t="s">
        <v>13</v>
      </c>
      <c r="K1401" s="9"/>
      <c r="L1401" s="45">
        <v>108.6</v>
      </c>
      <c r="M1401" s="45">
        <v>108.6</v>
      </c>
    </row>
    <row r="1402">
      <c r="A1402" s="34" t="s">
        <v>70</v>
      </c>
      <c r="B1402" s="34" t="s">
        <v>1545</v>
      </c>
      <c r="C1402" s="34">
        <v>93.0</v>
      </c>
      <c r="D1402" s="34" t="s">
        <v>1852</v>
      </c>
      <c r="E1402" s="34" t="s">
        <v>3688</v>
      </c>
      <c r="F1402" s="34" t="s">
        <v>3689</v>
      </c>
      <c r="G1402" s="34">
        <v>93078.0</v>
      </c>
      <c r="H1402" s="34" t="s">
        <v>3690</v>
      </c>
      <c r="I1402" s="34" t="s">
        <v>18</v>
      </c>
      <c r="J1402" s="34" t="s">
        <v>14</v>
      </c>
      <c r="K1402" s="45">
        <v>92.3</v>
      </c>
      <c r="L1402" s="45">
        <v>79.4</v>
      </c>
      <c r="M1402" s="45">
        <v>91.6</v>
      </c>
    </row>
    <row r="1403">
      <c r="A1403" s="34" t="s">
        <v>70</v>
      </c>
      <c r="B1403" s="34" t="s">
        <v>1545</v>
      </c>
      <c r="C1403" s="34">
        <v>93.0</v>
      </c>
      <c r="D1403" s="34" t="s">
        <v>1852</v>
      </c>
      <c r="E1403" s="34" t="s">
        <v>3691</v>
      </c>
      <c r="F1403" s="34" t="s">
        <v>3692</v>
      </c>
      <c r="G1403" s="34">
        <v>93027.0</v>
      </c>
      <c r="H1403" s="34" t="s">
        <v>1880</v>
      </c>
      <c r="I1403" s="34" t="s">
        <v>18</v>
      </c>
      <c r="J1403" s="34" t="s">
        <v>14</v>
      </c>
      <c r="K1403" s="45">
        <v>53.8</v>
      </c>
      <c r="L1403" s="45">
        <v>71.5</v>
      </c>
      <c r="M1403" s="45">
        <v>71.2</v>
      </c>
    </row>
    <row r="1404">
      <c r="A1404" s="34" t="s">
        <v>70</v>
      </c>
      <c r="B1404" s="34" t="s">
        <v>1545</v>
      </c>
      <c r="C1404" s="34">
        <v>93.0</v>
      </c>
      <c r="D1404" s="34" t="s">
        <v>1852</v>
      </c>
      <c r="E1404" s="34" t="s">
        <v>3693</v>
      </c>
      <c r="F1404" s="34" t="s">
        <v>3694</v>
      </c>
      <c r="G1404" s="34">
        <v>93072.0</v>
      </c>
      <c r="H1404" s="34" t="s">
        <v>3695</v>
      </c>
      <c r="I1404" s="34" t="s">
        <v>18</v>
      </c>
      <c r="J1404" s="34" t="s">
        <v>14</v>
      </c>
      <c r="K1404" s="45">
        <v>78.9</v>
      </c>
      <c r="L1404" s="45">
        <v>72.4</v>
      </c>
      <c r="M1404" s="45">
        <v>77.5</v>
      </c>
    </row>
    <row r="1405">
      <c r="A1405" s="34" t="s">
        <v>70</v>
      </c>
      <c r="B1405" s="34" t="s">
        <v>1545</v>
      </c>
      <c r="C1405" s="34">
        <v>93.0</v>
      </c>
      <c r="D1405" s="34" t="s">
        <v>1852</v>
      </c>
      <c r="E1405" s="34" t="s">
        <v>3696</v>
      </c>
      <c r="F1405" s="34" t="s">
        <v>3697</v>
      </c>
      <c r="G1405" s="34">
        <v>93051.0</v>
      </c>
      <c r="H1405" s="34" t="s">
        <v>3698</v>
      </c>
      <c r="I1405" s="34" t="s">
        <v>18</v>
      </c>
      <c r="J1405" s="34" t="s">
        <v>14</v>
      </c>
      <c r="K1405" s="45">
        <v>112.8</v>
      </c>
      <c r="L1405" s="45">
        <v>88.1</v>
      </c>
      <c r="M1405" s="45">
        <v>109.5</v>
      </c>
    </row>
    <row r="1406">
      <c r="A1406" s="34" t="s">
        <v>70</v>
      </c>
      <c r="B1406" s="34" t="s">
        <v>1545</v>
      </c>
      <c r="C1406" s="34">
        <v>93.0</v>
      </c>
      <c r="D1406" s="34" t="s">
        <v>1852</v>
      </c>
      <c r="E1406" s="34" t="s">
        <v>3699</v>
      </c>
      <c r="F1406" s="34" t="s">
        <v>3700</v>
      </c>
      <c r="G1406" s="34">
        <v>93048.0</v>
      </c>
      <c r="H1406" s="34" t="s">
        <v>1855</v>
      </c>
      <c r="I1406" s="34" t="s">
        <v>18</v>
      </c>
      <c r="J1406" s="34" t="s">
        <v>14</v>
      </c>
      <c r="K1406" s="45">
        <v>109.7</v>
      </c>
      <c r="L1406" s="45">
        <v>82.1</v>
      </c>
      <c r="M1406" s="45">
        <v>91.6</v>
      </c>
    </row>
    <row r="1407">
      <c r="A1407" s="34" t="s">
        <v>70</v>
      </c>
      <c r="B1407" s="34" t="s">
        <v>1545</v>
      </c>
      <c r="C1407" s="34">
        <v>93.0</v>
      </c>
      <c r="D1407" s="34" t="s">
        <v>1852</v>
      </c>
      <c r="E1407" s="34" t="s">
        <v>3701</v>
      </c>
      <c r="F1407" s="34" t="s">
        <v>3702</v>
      </c>
      <c r="G1407" s="34">
        <v>93006.0</v>
      </c>
      <c r="H1407" s="34" t="s">
        <v>3703</v>
      </c>
      <c r="I1407" s="34" t="s">
        <v>18</v>
      </c>
      <c r="J1407" s="34" t="s">
        <v>14</v>
      </c>
      <c r="K1407" s="45">
        <v>90.5</v>
      </c>
      <c r="L1407" s="45">
        <v>79.9</v>
      </c>
      <c r="M1407" s="45">
        <v>86.1</v>
      </c>
    </row>
    <row r="1408">
      <c r="A1408" s="34" t="s">
        <v>70</v>
      </c>
      <c r="B1408" s="34" t="s">
        <v>1545</v>
      </c>
      <c r="C1408" s="34">
        <v>93.0</v>
      </c>
      <c r="D1408" s="34" t="s">
        <v>1852</v>
      </c>
      <c r="E1408" s="34" t="s">
        <v>3704</v>
      </c>
      <c r="F1408" s="34" t="s">
        <v>3705</v>
      </c>
      <c r="G1408" s="34">
        <v>93001.0</v>
      </c>
      <c r="H1408" s="34" t="s">
        <v>1874</v>
      </c>
      <c r="I1408" s="34" t="s">
        <v>18</v>
      </c>
      <c r="J1408" s="34" t="s">
        <v>13</v>
      </c>
      <c r="K1408" s="9"/>
      <c r="L1408" s="45">
        <v>72.0</v>
      </c>
      <c r="M1408" s="45">
        <v>72.0</v>
      </c>
    </row>
    <row r="1409">
      <c r="A1409" s="34" t="s">
        <v>70</v>
      </c>
      <c r="B1409" s="34" t="s">
        <v>1545</v>
      </c>
      <c r="C1409" s="34">
        <v>93.0</v>
      </c>
      <c r="D1409" s="34" t="s">
        <v>1852</v>
      </c>
      <c r="E1409" s="34" t="s">
        <v>3706</v>
      </c>
      <c r="F1409" s="34" t="s">
        <v>3707</v>
      </c>
      <c r="G1409" s="34">
        <v>93078.0</v>
      </c>
      <c r="H1409" s="34" t="s">
        <v>3690</v>
      </c>
      <c r="I1409" s="34" t="s">
        <v>18</v>
      </c>
      <c r="J1409" s="34" t="s">
        <v>14</v>
      </c>
      <c r="K1409" s="45">
        <v>84.4</v>
      </c>
      <c r="L1409" s="45">
        <v>75.8</v>
      </c>
      <c r="M1409" s="45">
        <v>78.2</v>
      </c>
    </row>
    <row r="1410">
      <c r="A1410" s="34" t="s">
        <v>70</v>
      </c>
      <c r="B1410" s="34" t="s">
        <v>1545</v>
      </c>
      <c r="C1410" s="34">
        <v>93.0</v>
      </c>
      <c r="D1410" s="34" t="s">
        <v>1852</v>
      </c>
      <c r="E1410" s="34" t="s">
        <v>3708</v>
      </c>
      <c r="F1410" s="34" t="s">
        <v>3709</v>
      </c>
      <c r="G1410" s="34">
        <v>93062.0</v>
      </c>
      <c r="H1410" s="34" t="s">
        <v>3678</v>
      </c>
      <c r="I1410" s="34" t="s">
        <v>17</v>
      </c>
      <c r="J1410" s="34" t="s">
        <v>15</v>
      </c>
      <c r="K1410" s="45">
        <v>143.6</v>
      </c>
      <c r="L1410" s="9"/>
      <c r="M1410" s="45">
        <v>143.6</v>
      </c>
    </row>
    <row r="1411">
      <c r="A1411" s="34" t="s">
        <v>70</v>
      </c>
      <c r="B1411" s="34" t="s">
        <v>1545</v>
      </c>
      <c r="C1411" s="34">
        <v>93.0</v>
      </c>
      <c r="D1411" s="34" t="s">
        <v>1852</v>
      </c>
      <c r="E1411" s="34" t="s">
        <v>3710</v>
      </c>
      <c r="F1411" s="34" t="s">
        <v>3711</v>
      </c>
      <c r="G1411" s="34">
        <v>93030.0</v>
      </c>
      <c r="H1411" s="34" t="s">
        <v>3687</v>
      </c>
      <c r="I1411" s="34" t="s">
        <v>17</v>
      </c>
      <c r="J1411" s="34" t="s">
        <v>15</v>
      </c>
      <c r="K1411" s="45">
        <v>115.7</v>
      </c>
      <c r="L1411" s="9"/>
      <c r="M1411" s="45">
        <v>115.7</v>
      </c>
    </row>
    <row r="1412">
      <c r="A1412" s="34" t="s">
        <v>70</v>
      </c>
      <c r="B1412" s="34" t="s">
        <v>1545</v>
      </c>
      <c r="C1412" s="34">
        <v>93.0</v>
      </c>
      <c r="D1412" s="34" t="s">
        <v>1852</v>
      </c>
      <c r="E1412" s="34" t="s">
        <v>3712</v>
      </c>
      <c r="F1412" s="34" t="s">
        <v>1089</v>
      </c>
      <c r="G1412" s="34">
        <v>93072.0</v>
      </c>
      <c r="H1412" s="34" t="s">
        <v>3695</v>
      </c>
      <c r="I1412" s="34" t="s">
        <v>17</v>
      </c>
      <c r="J1412" s="34" t="s">
        <v>15</v>
      </c>
      <c r="K1412" s="45">
        <v>97.9</v>
      </c>
      <c r="L1412" s="9"/>
      <c r="M1412" s="45">
        <v>97.9</v>
      </c>
    </row>
    <row r="1413">
      <c r="A1413" s="34" t="s">
        <v>70</v>
      </c>
      <c r="B1413" s="34" t="s">
        <v>1545</v>
      </c>
      <c r="C1413" s="34">
        <v>93.0</v>
      </c>
      <c r="D1413" s="34" t="s">
        <v>1852</v>
      </c>
      <c r="E1413" s="34" t="s">
        <v>3713</v>
      </c>
      <c r="F1413" s="34" t="s">
        <v>3714</v>
      </c>
      <c r="G1413" s="34">
        <v>93066.0</v>
      </c>
      <c r="H1413" s="34" t="s">
        <v>1858</v>
      </c>
      <c r="I1413" s="34" t="s">
        <v>18</v>
      </c>
      <c r="J1413" s="34" t="s">
        <v>14</v>
      </c>
      <c r="K1413" s="45">
        <v>78.2</v>
      </c>
      <c r="L1413" s="45">
        <v>73.9</v>
      </c>
      <c r="M1413" s="45">
        <v>77.1</v>
      </c>
    </row>
    <row r="1414">
      <c r="A1414" s="34" t="s">
        <v>70</v>
      </c>
      <c r="B1414" s="34" t="s">
        <v>1545</v>
      </c>
      <c r="C1414" s="34">
        <v>94.0</v>
      </c>
      <c r="D1414" s="34" t="s">
        <v>1895</v>
      </c>
      <c r="E1414" s="34" t="s">
        <v>3715</v>
      </c>
      <c r="F1414" s="34" t="s">
        <v>3716</v>
      </c>
      <c r="G1414" s="34">
        <v>94046.0</v>
      </c>
      <c r="H1414" s="34" t="s">
        <v>3717</v>
      </c>
      <c r="I1414" s="34" t="s">
        <v>18</v>
      </c>
      <c r="J1414" s="34" t="s">
        <v>15</v>
      </c>
      <c r="K1414" s="45">
        <v>120.6</v>
      </c>
      <c r="L1414" s="9"/>
      <c r="M1414" s="45">
        <v>120.6</v>
      </c>
    </row>
    <row r="1415">
      <c r="A1415" s="34" t="s">
        <v>70</v>
      </c>
      <c r="B1415" s="34" t="s">
        <v>1545</v>
      </c>
      <c r="C1415" s="34">
        <v>94.0</v>
      </c>
      <c r="D1415" s="34" t="s">
        <v>1895</v>
      </c>
      <c r="E1415" s="34" t="s">
        <v>3718</v>
      </c>
      <c r="F1415" s="34" t="s">
        <v>3719</v>
      </c>
      <c r="G1415" s="34">
        <v>94052.0</v>
      </c>
      <c r="H1415" s="34" t="s">
        <v>1904</v>
      </c>
      <c r="I1415" s="34" t="s">
        <v>18</v>
      </c>
      <c r="J1415" s="34" t="s">
        <v>15</v>
      </c>
      <c r="K1415" s="45">
        <v>136.6</v>
      </c>
      <c r="L1415" s="9"/>
      <c r="M1415" s="45">
        <v>136.6</v>
      </c>
    </row>
    <row r="1416">
      <c r="A1416" s="34" t="s">
        <v>70</v>
      </c>
      <c r="B1416" s="34" t="s">
        <v>1545</v>
      </c>
      <c r="C1416" s="34">
        <v>94.0</v>
      </c>
      <c r="D1416" s="34" t="s">
        <v>1895</v>
      </c>
      <c r="E1416" s="34" t="s">
        <v>3720</v>
      </c>
      <c r="F1416" s="34" t="s">
        <v>3721</v>
      </c>
      <c r="G1416" s="34">
        <v>94081.0</v>
      </c>
      <c r="H1416" s="34" t="s">
        <v>3722</v>
      </c>
      <c r="I1416" s="34" t="s">
        <v>18</v>
      </c>
      <c r="J1416" s="34" t="s">
        <v>14</v>
      </c>
      <c r="K1416" s="45">
        <v>87.8</v>
      </c>
      <c r="L1416" s="45">
        <v>79.1</v>
      </c>
      <c r="M1416" s="45">
        <v>85.3</v>
      </c>
    </row>
    <row r="1417">
      <c r="A1417" s="34" t="s">
        <v>70</v>
      </c>
      <c r="B1417" s="34" t="s">
        <v>1545</v>
      </c>
      <c r="C1417" s="34">
        <v>94.0</v>
      </c>
      <c r="D1417" s="34" t="s">
        <v>1895</v>
      </c>
      <c r="E1417" s="34" t="s">
        <v>3723</v>
      </c>
      <c r="F1417" s="34" t="s">
        <v>3724</v>
      </c>
      <c r="G1417" s="34">
        <v>94054.0</v>
      </c>
      <c r="H1417" s="34" t="s">
        <v>3725</v>
      </c>
      <c r="I1417" s="34" t="s">
        <v>18</v>
      </c>
      <c r="J1417" s="34" t="s">
        <v>14</v>
      </c>
      <c r="K1417" s="45">
        <v>57.0</v>
      </c>
      <c r="L1417" s="45">
        <v>80.9</v>
      </c>
      <c r="M1417" s="45">
        <v>80.8</v>
      </c>
    </row>
    <row r="1418">
      <c r="A1418" s="34" t="s">
        <v>70</v>
      </c>
      <c r="B1418" s="34" t="s">
        <v>1545</v>
      </c>
      <c r="C1418" s="34">
        <v>94.0</v>
      </c>
      <c r="D1418" s="34" t="s">
        <v>1895</v>
      </c>
      <c r="E1418" s="34" t="s">
        <v>3726</v>
      </c>
      <c r="F1418" s="34" t="s">
        <v>3727</v>
      </c>
      <c r="G1418" s="34">
        <v>94022.0</v>
      </c>
      <c r="H1418" s="34" t="s">
        <v>1918</v>
      </c>
      <c r="I1418" s="34" t="s">
        <v>18</v>
      </c>
      <c r="J1418" s="34" t="s">
        <v>14</v>
      </c>
      <c r="K1418" s="45">
        <v>92.6</v>
      </c>
      <c r="L1418" s="45">
        <v>82.2</v>
      </c>
      <c r="M1418" s="45">
        <v>83.6</v>
      </c>
    </row>
    <row r="1419">
      <c r="A1419" s="34" t="s">
        <v>70</v>
      </c>
      <c r="B1419" s="34" t="s">
        <v>1545</v>
      </c>
      <c r="C1419" s="34">
        <v>94.0</v>
      </c>
      <c r="D1419" s="34" t="s">
        <v>1895</v>
      </c>
      <c r="E1419" s="34" t="s">
        <v>3728</v>
      </c>
      <c r="F1419" s="34" t="s">
        <v>3729</v>
      </c>
      <c r="G1419" s="34">
        <v>94081.0</v>
      </c>
      <c r="H1419" s="34" t="s">
        <v>3722</v>
      </c>
      <c r="I1419" s="34" t="s">
        <v>18</v>
      </c>
      <c r="J1419" s="34" t="s">
        <v>13</v>
      </c>
      <c r="K1419" s="9"/>
      <c r="L1419" s="45">
        <v>76.7</v>
      </c>
      <c r="M1419" s="45">
        <v>76.7</v>
      </c>
    </row>
    <row r="1420">
      <c r="A1420" s="34" t="s">
        <v>70</v>
      </c>
      <c r="B1420" s="34" t="s">
        <v>1545</v>
      </c>
      <c r="C1420" s="34">
        <v>94.0</v>
      </c>
      <c r="D1420" s="34" t="s">
        <v>1895</v>
      </c>
      <c r="E1420" s="34" t="s">
        <v>3730</v>
      </c>
      <c r="F1420" s="34" t="s">
        <v>3731</v>
      </c>
      <c r="G1420" s="34">
        <v>94080.0</v>
      </c>
      <c r="H1420" s="34" t="s">
        <v>3732</v>
      </c>
      <c r="I1420" s="34" t="s">
        <v>17</v>
      </c>
      <c r="J1420" s="34" t="s">
        <v>15</v>
      </c>
      <c r="K1420" s="45">
        <v>148.2</v>
      </c>
      <c r="L1420" s="9"/>
      <c r="M1420" s="45">
        <v>148.2</v>
      </c>
    </row>
    <row r="1421">
      <c r="A1421" s="34" t="s">
        <v>70</v>
      </c>
      <c r="B1421" s="34" t="s">
        <v>1545</v>
      </c>
      <c r="C1421" s="34">
        <v>94.0</v>
      </c>
      <c r="D1421" s="34" t="s">
        <v>1895</v>
      </c>
      <c r="E1421" s="34" t="s">
        <v>3733</v>
      </c>
      <c r="F1421" s="34" t="s">
        <v>3734</v>
      </c>
      <c r="G1421" s="34">
        <v>94068.0</v>
      </c>
      <c r="H1421" s="34" t="s">
        <v>3735</v>
      </c>
      <c r="I1421" s="34" t="s">
        <v>17</v>
      </c>
      <c r="J1421" s="34" t="s">
        <v>15</v>
      </c>
      <c r="K1421" s="45">
        <v>132.1</v>
      </c>
      <c r="L1421" s="9"/>
      <c r="M1421" s="45">
        <v>132.1</v>
      </c>
    </row>
    <row r="1422">
      <c r="A1422" s="34" t="s">
        <v>70</v>
      </c>
      <c r="B1422" s="34" t="s">
        <v>1545</v>
      </c>
      <c r="C1422" s="34">
        <v>94.0</v>
      </c>
      <c r="D1422" s="34" t="s">
        <v>1895</v>
      </c>
      <c r="E1422" s="34" t="s">
        <v>3736</v>
      </c>
      <c r="F1422" s="34" t="s">
        <v>3737</v>
      </c>
      <c r="G1422" s="34">
        <v>94052.0</v>
      </c>
      <c r="H1422" s="34" t="s">
        <v>1904</v>
      </c>
      <c r="I1422" s="34" t="s">
        <v>17</v>
      </c>
      <c r="J1422" s="34" t="s">
        <v>15</v>
      </c>
      <c r="K1422" s="45">
        <v>143.5</v>
      </c>
      <c r="L1422" s="9"/>
      <c r="M1422" s="45">
        <v>143.5</v>
      </c>
    </row>
    <row r="1423">
      <c r="A1423" s="34" t="s">
        <v>70</v>
      </c>
      <c r="B1423" s="34" t="s">
        <v>1545</v>
      </c>
      <c r="C1423" s="34">
        <v>94.0</v>
      </c>
      <c r="D1423" s="34" t="s">
        <v>1895</v>
      </c>
      <c r="E1423" s="34" t="s">
        <v>3738</v>
      </c>
      <c r="F1423" s="34" t="s">
        <v>3739</v>
      </c>
      <c r="G1423" s="34">
        <v>94046.0</v>
      </c>
      <c r="H1423" s="34" t="s">
        <v>3717</v>
      </c>
      <c r="I1423" s="34" t="s">
        <v>18</v>
      </c>
      <c r="J1423" s="34" t="s">
        <v>13</v>
      </c>
      <c r="K1423" s="9"/>
      <c r="L1423" s="45">
        <v>83.2</v>
      </c>
      <c r="M1423" s="45">
        <v>83.2</v>
      </c>
    </row>
    <row r="1424">
      <c r="A1424" s="34" t="s">
        <v>70</v>
      </c>
      <c r="B1424" s="34" t="s">
        <v>1545</v>
      </c>
      <c r="C1424" s="34">
        <v>94.0</v>
      </c>
      <c r="D1424" s="34" t="s">
        <v>1895</v>
      </c>
      <c r="E1424" s="34" t="s">
        <v>3740</v>
      </c>
      <c r="F1424" s="34" t="s">
        <v>3243</v>
      </c>
      <c r="G1424" s="34">
        <v>94028.0</v>
      </c>
      <c r="H1424" s="34" t="s">
        <v>1545</v>
      </c>
      <c r="I1424" s="34" t="s">
        <v>18</v>
      </c>
      <c r="J1424" s="34" t="s">
        <v>14</v>
      </c>
      <c r="K1424" s="45">
        <v>95.6</v>
      </c>
      <c r="L1424" s="45">
        <v>83.4</v>
      </c>
      <c r="M1424" s="45">
        <v>92.5</v>
      </c>
    </row>
    <row r="1425">
      <c r="A1425" s="34" t="s">
        <v>70</v>
      </c>
      <c r="B1425" s="34" t="s">
        <v>1545</v>
      </c>
      <c r="C1425" s="34">
        <v>94.0</v>
      </c>
      <c r="D1425" s="34" t="s">
        <v>1895</v>
      </c>
      <c r="E1425" s="34" t="s">
        <v>3741</v>
      </c>
      <c r="F1425" s="34" t="s">
        <v>3742</v>
      </c>
      <c r="G1425" s="34">
        <v>94080.0</v>
      </c>
      <c r="H1425" s="34" t="s">
        <v>3732</v>
      </c>
      <c r="I1425" s="34" t="s">
        <v>17</v>
      </c>
      <c r="J1425" s="34" t="s">
        <v>13</v>
      </c>
      <c r="K1425" s="9"/>
      <c r="L1425" s="45">
        <v>113.1</v>
      </c>
      <c r="M1425" s="45">
        <v>113.1</v>
      </c>
    </row>
    <row r="1426">
      <c r="A1426" s="34" t="s">
        <v>70</v>
      </c>
      <c r="B1426" s="34" t="s">
        <v>1545</v>
      </c>
      <c r="C1426" s="34">
        <v>94.0</v>
      </c>
      <c r="D1426" s="34" t="s">
        <v>1895</v>
      </c>
      <c r="E1426" s="34" t="s">
        <v>3743</v>
      </c>
      <c r="F1426" s="34" t="s">
        <v>3744</v>
      </c>
      <c r="G1426" s="34">
        <v>94018.0</v>
      </c>
      <c r="H1426" s="34" t="s">
        <v>3745</v>
      </c>
      <c r="I1426" s="34" t="s">
        <v>17</v>
      </c>
      <c r="J1426" s="34" t="s">
        <v>15</v>
      </c>
      <c r="K1426" s="45">
        <v>139.7</v>
      </c>
      <c r="L1426" s="9"/>
      <c r="M1426" s="45">
        <v>139.7</v>
      </c>
    </row>
    <row r="1427">
      <c r="A1427" s="34" t="s">
        <v>70</v>
      </c>
      <c r="B1427" s="34" t="s">
        <v>1545</v>
      </c>
      <c r="C1427" s="34">
        <v>94.0</v>
      </c>
      <c r="D1427" s="34" t="s">
        <v>1895</v>
      </c>
      <c r="E1427" s="34" t="s">
        <v>3746</v>
      </c>
      <c r="F1427" s="34" t="s">
        <v>3747</v>
      </c>
      <c r="G1427" s="34">
        <v>94004.0</v>
      </c>
      <c r="H1427" s="34" t="s">
        <v>3748</v>
      </c>
      <c r="I1427" s="34" t="s">
        <v>17</v>
      </c>
      <c r="J1427" s="34" t="s">
        <v>15</v>
      </c>
      <c r="K1427" s="45">
        <v>103.5</v>
      </c>
      <c r="L1427" s="9"/>
      <c r="M1427" s="45">
        <v>103.5</v>
      </c>
    </row>
    <row r="1428">
      <c r="A1428" s="34" t="s">
        <v>70</v>
      </c>
      <c r="B1428" s="34" t="s">
        <v>1545</v>
      </c>
      <c r="C1428" s="34">
        <v>94.0</v>
      </c>
      <c r="D1428" s="34" t="s">
        <v>1895</v>
      </c>
      <c r="E1428" s="34" t="s">
        <v>3749</v>
      </c>
      <c r="F1428" s="34" t="s">
        <v>3750</v>
      </c>
      <c r="G1428" s="34">
        <v>94078.0</v>
      </c>
      <c r="H1428" s="34" t="s">
        <v>3751</v>
      </c>
      <c r="I1428" s="34" t="s">
        <v>18</v>
      </c>
      <c r="J1428" s="34" t="s">
        <v>14</v>
      </c>
      <c r="K1428" s="45">
        <v>86.9</v>
      </c>
      <c r="L1428" s="45">
        <v>79.4</v>
      </c>
      <c r="M1428" s="45">
        <v>84.2</v>
      </c>
    </row>
    <row r="1429">
      <c r="A1429" s="34" t="s">
        <v>70</v>
      </c>
      <c r="B1429" s="34" t="s">
        <v>1545</v>
      </c>
      <c r="C1429" s="34">
        <v>94.0</v>
      </c>
      <c r="D1429" s="34" t="s">
        <v>1895</v>
      </c>
      <c r="E1429" s="34" t="s">
        <v>3752</v>
      </c>
      <c r="F1429" s="34" t="s">
        <v>3753</v>
      </c>
      <c r="G1429" s="34">
        <v>94071.0</v>
      </c>
      <c r="H1429" s="34" t="s">
        <v>3754</v>
      </c>
      <c r="I1429" s="34" t="s">
        <v>18</v>
      </c>
      <c r="J1429" s="34" t="s">
        <v>14</v>
      </c>
      <c r="K1429" s="45">
        <v>107.8</v>
      </c>
      <c r="L1429" s="45">
        <v>88.3</v>
      </c>
      <c r="M1429" s="45">
        <v>91.3</v>
      </c>
    </row>
    <row r="1430">
      <c r="A1430" s="34" t="s">
        <v>70</v>
      </c>
      <c r="B1430" s="34" t="s">
        <v>1545</v>
      </c>
      <c r="C1430" s="34">
        <v>94.0</v>
      </c>
      <c r="D1430" s="34" t="s">
        <v>1895</v>
      </c>
      <c r="E1430" s="34" t="s">
        <v>3755</v>
      </c>
      <c r="F1430" s="34" t="s">
        <v>3756</v>
      </c>
      <c r="G1430" s="34">
        <v>94076.0</v>
      </c>
      <c r="H1430" s="34" t="s">
        <v>3757</v>
      </c>
      <c r="I1430" s="34" t="s">
        <v>17</v>
      </c>
      <c r="J1430" s="34" t="s">
        <v>15</v>
      </c>
      <c r="K1430" s="45">
        <v>123.6</v>
      </c>
      <c r="L1430" s="9"/>
      <c r="M1430" s="45">
        <v>123.6</v>
      </c>
    </row>
    <row r="1431">
      <c r="A1431" s="34" t="s">
        <v>70</v>
      </c>
      <c r="B1431" s="34" t="s">
        <v>1579</v>
      </c>
      <c r="C1431" s="34">
        <v>95.0</v>
      </c>
      <c r="D1431" s="34" t="s">
        <v>1927</v>
      </c>
      <c r="E1431" s="34" t="s">
        <v>3758</v>
      </c>
      <c r="F1431" s="34" t="s">
        <v>3759</v>
      </c>
      <c r="G1431" s="34">
        <v>95428.0</v>
      </c>
      <c r="H1431" s="34" t="s">
        <v>3760</v>
      </c>
      <c r="I1431" s="34" t="s">
        <v>18</v>
      </c>
      <c r="J1431" s="34" t="s">
        <v>15</v>
      </c>
      <c r="K1431" s="45">
        <v>123.5</v>
      </c>
      <c r="L1431" s="9"/>
      <c r="M1431" s="45">
        <v>123.5</v>
      </c>
    </row>
    <row r="1432">
      <c r="A1432" s="34" t="s">
        <v>70</v>
      </c>
      <c r="B1432" s="34" t="s">
        <v>1579</v>
      </c>
      <c r="C1432" s="34">
        <v>95.0</v>
      </c>
      <c r="D1432" s="34" t="s">
        <v>1927</v>
      </c>
      <c r="E1432" s="34" t="s">
        <v>3761</v>
      </c>
      <c r="F1432" s="34" t="s">
        <v>1617</v>
      </c>
      <c r="G1432" s="34">
        <v>95582.0</v>
      </c>
      <c r="H1432" s="34" t="s">
        <v>3762</v>
      </c>
      <c r="I1432" s="34" t="s">
        <v>17</v>
      </c>
      <c r="J1432" s="34" t="s">
        <v>15</v>
      </c>
      <c r="K1432" s="45">
        <v>134.9</v>
      </c>
      <c r="L1432" s="9"/>
      <c r="M1432" s="45">
        <v>134.9</v>
      </c>
    </row>
    <row r="1433">
      <c r="A1433" s="34" t="s">
        <v>70</v>
      </c>
      <c r="B1433" s="34" t="s">
        <v>1579</v>
      </c>
      <c r="C1433" s="34">
        <v>95.0</v>
      </c>
      <c r="D1433" s="34" t="s">
        <v>1927</v>
      </c>
      <c r="E1433" s="34" t="s">
        <v>3763</v>
      </c>
      <c r="F1433" s="34" t="s">
        <v>3764</v>
      </c>
      <c r="G1433" s="34">
        <v>95430.0</v>
      </c>
      <c r="H1433" s="34" t="s">
        <v>3765</v>
      </c>
      <c r="I1433" s="34" t="s">
        <v>18</v>
      </c>
      <c r="J1433" s="34" t="s">
        <v>13</v>
      </c>
      <c r="K1433" s="9"/>
      <c r="L1433" s="45">
        <v>78.5</v>
      </c>
      <c r="M1433" s="45">
        <v>78.5</v>
      </c>
    </row>
    <row r="1434">
      <c r="A1434" s="34" t="s">
        <v>70</v>
      </c>
      <c r="B1434" s="34" t="s">
        <v>1579</v>
      </c>
      <c r="C1434" s="34">
        <v>95.0</v>
      </c>
      <c r="D1434" s="34" t="s">
        <v>1927</v>
      </c>
      <c r="E1434" s="34" t="s">
        <v>3766</v>
      </c>
      <c r="F1434" s="34" t="s">
        <v>3767</v>
      </c>
      <c r="G1434" s="34">
        <v>95142.0</v>
      </c>
      <c r="H1434" s="34" t="s">
        <v>3768</v>
      </c>
      <c r="I1434" s="34" t="s">
        <v>18</v>
      </c>
      <c r="J1434" s="34" t="s">
        <v>13</v>
      </c>
      <c r="K1434" s="9"/>
      <c r="L1434" s="45">
        <v>91.8</v>
      </c>
      <c r="M1434" s="45">
        <v>91.8</v>
      </c>
    </row>
    <row r="1435">
      <c r="A1435" s="34" t="s">
        <v>70</v>
      </c>
      <c r="B1435" s="34" t="s">
        <v>1579</v>
      </c>
      <c r="C1435" s="34">
        <v>95.0</v>
      </c>
      <c r="D1435" s="34" t="s">
        <v>1927</v>
      </c>
      <c r="E1435" s="34" t="s">
        <v>3769</v>
      </c>
      <c r="F1435" s="34" t="s">
        <v>3770</v>
      </c>
      <c r="G1435" s="34">
        <v>95306.0</v>
      </c>
      <c r="H1435" s="34" t="s">
        <v>3771</v>
      </c>
      <c r="I1435" s="34" t="s">
        <v>18</v>
      </c>
      <c r="J1435" s="34" t="s">
        <v>15</v>
      </c>
      <c r="K1435" s="45">
        <v>124.5</v>
      </c>
      <c r="L1435" s="9"/>
      <c r="M1435" s="45">
        <v>124.5</v>
      </c>
    </row>
    <row r="1436">
      <c r="A1436" s="34" t="s">
        <v>70</v>
      </c>
      <c r="B1436" s="34" t="s">
        <v>1579</v>
      </c>
      <c r="C1436" s="34">
        <v>95.0</v>
      </c>
      <c r="D1436" s="34" t="s">
        <v>1927</v>
      </c>
      <c r="E1436" s="34" t="s">
        <v>3772</v>
      </c>
      <c r="F1436" s="34" t="s">
        <v>3773</v>
      </c>
      <c r="G1436" s="34">
        <v>95052.0</v>
      </c>
      <c r="H1436" s="34" t="s">
        <v>3774</v>
      </c>
      <c r="I1436" s="34" t="s">
        <v>18</v>
      </c>
      <c r="J1436" s="34" t="s">
        <v>14</v>
      </c>
      <c r="K1436" s="45">
        <v>107.0</v>
      </c>
      <c r="L1436" s="45">
        <v>89.8</v>
      </c>
      <c r="M1436" s="45">
        <v>101.5</v>
      </c>
    </row>
    <row r="1437">
      <c r="A1437" s="34" t="s">
        <v>70</v>
      </c>
      <c r="B1437" s="34" t="s">
        <v>1579</v>
      </c>
      <c r="C1437" s="34">
        <v>95.0</v>
      </c>
      <c r="D1437" s="34" t="s">
        <v>1927</v>
      </c>
      <c r="E1437" s="34" t="s">
        <v>3775</v>
      </c>
      <c r="F1437" s="34" t="s">
        <v>3776</v>
      </c>
      <c r="G1437" s="34">
        <v>95323.0</v>
      </c>
      <c r="H1437" s="34" t="s">
        <v>3777</v>
      </c>
      <c r="I1437" s="34" t="s">
        <v>18</v>
      </c>
      <c r="J1437" s="34" t="s">
        <v>14</v>
      </c>
      <c r="K1437" s="45">
        <v>114.6</v>
      </c>
      <c r="L1437" s="45">
        <v>89.0</v>
      </c>
      <c r="M1437" s="45">
        <v>102.6</v>
      </c>
    </row>
    <row r="1438">
      <c r="A1438" s="34" t="s">
        <v>70</v>
      </c>
      <c r="B1438" s="34" t="s">
        <v>1579</v>
      </c>
      <c r="C1438" s="34">
        <v>95.0</v>
      </c>
      <c r="D1438" s="34" t="s">
        <v>1927</v>
      </c>
      <c r="E1438" s="34" t="s">
        <v>3778</v>
      </c>
      <c r="F1438" s="34" t="s">
        <v>3779</v>
      </c>
      <c r="G1438" s="34">
        <v>95476.0</v>
      </c>
      <c r="H1438" s="34" t="s">
        <v>3780</v>
      </c>
      <c r="I1438" s="34" t="s">
        <v>18</v>
      </c>
      <c r="J1438" s="34" t="s">
        <v>14</v>
      </c>
      <c r="K1438" s="45">
        <v>124.3</v>
      </c>
      <c r="L1438" s="45">
        <v>90.6</v>
      </c>
      <c r="M1438" s="45">
        <v>115.1</v>
      </c>
    </row>
    <row r="1439">
      <c r="A1439" s="34" t="s">
        <v>70</v>
      </c>
      <c r="B1439" s="34" t="s">
        <v>1579</v>
      </c>
      <c r="C1439" s="34">
        <v>95.0</v>
      </c>
      <c r="D1439" s="34" t="s">
        <v>1927</v>
      </c>
      <c r="E1439" s="34" t="s">
        <v>3781</v>
      </c>
      <c r="F1439" s="34" t="s">
        <v>3782</v>
      </c>
      <c r="G1439" s="34">
        <v>95585.0</v>
      </c>
      <c r="H1439" s="34" t="s">
        <v>1933</v>
      </c>
      <c r="I1439" s="34" t="s">
        <v>17</v>
      </c>
      <c r="J1439" s="34" t="s">
        <v>15</v>
      </c>
      <c r="K1439" s="45">
        <v>112.0</v>
      </c>
      <c r="L1439" s="9"/>
      <c r="M1439" s="45">
        <v>112.0</v>
      </c>
    </row>
    <row r="1440">
      <c r="A1440" s="34" t="s">
        <v>70</v>
      </c>
      <c r="B1440" s="34" t="s">
        <v>1579</v>
      </c>
      <c r="C1440" s="34">
        <v>95.0</v>
      </c>
      <c r="D1440" s="34" t="s">
        <v>1927</v>
      </c>
      <c r="E1440" s="34" t="s">
        <v>3783</v>
      </c>
      <c r="F1440" s="34" t="s">
        <v>3784</v>
      </c>
      <c r="G1440" s="34">
        <v>95063.0</v>
      </c>
      <c r="H1440" s="34" t="s">
        <v>3785</v>
      </c>
      <c r="I1440" s="34" t="s">
        <v>18</v>
      </c>
      <c r="J1440" s="34" t="s">
        <v>14</v>
      </c>
      <c r="K1440" s="45">
        <v>93.6</v>
      </c>
      <c r="L1440" s="45">
        <v>76.8</v>
      </c>
      <c r="M1440" s="45">
        <v>87.6</v>
      </c>
    </row>
    <row r="1441">
      <c r="A1441" s="34" t="s">
        <v>70</v>
      </c>
      <c r="B1441" s="34" t="s">
        <v>1964</v>
      </c>
      <c r="C1441" s="34" t="s">
        <v>1965</v>
      </c>
      <c r="D1441" s="34" t="s">
        <v>1966</v>
      </c>
      <c r="E1441" s="34" t="s">
        <v>3786</v>
      </c>
      <c r="F1441" s="34" t="s">
        <v>3787</v>
      </c>
      <c r="G1441" s="34" t="s">
        <v>1969</v>
      </c>
      <c r="H1441" s="34" t="s">
        <v>1970</v>
      </c>
      <c r="I1441" s="34" t="s">
        <v>18</v>
      </c>
      <c r="J1441" s="34" t="s">
        <v>15</v>
      </c>
      <c r="K1441" s="45">
        <v>111.8</v>
      </c>
      <c r="L1441" s="9"/>
      <c r="M1441" s="45">
        <v>111.8</v>
      </c>
    </row>
    <row r="1442">
      <c r="A1442" s="34" t="s">
        <v>70</v>
      </c>
      <c r="B1442" s="34" t="s">
        <v>1964</v>
      </c>
      <c r="C1442" s="34" t="s">
        <v>1975</v>
      </c>
      <c r="D1442" s="34" t="s">
        <v>1976</v>
      </c>
      <c r="E1442" s="34" t="s">
        <v>3788</v>
      </c>
      <c r="F1442" s="34" t="s">
        <v>3789</v>
      </c>
      <c r="G1442" s="34" t="s">
        <v>1979</v>
      </c>
      <c r="H1442" s="34" t="s">
        <v>1980</v>
      </c>
      <c r="I1442" s="34" t="s">
        <v>18</v>
      </c>
      <c r="J1442" s="34" t="s">
        <v>13</v>
      </c>
      <c r="K1442" s="9"/>
      <c r="L1442" s="45">
        <v>84.8</v>
      </c>
      <c r="M1442" s="45">
        <v>84.8</v>
      </c>
    </row>
    <row r="1443">
      <c r="A1443" s="34" t="s">
        <v>70</v>
      </c>
      <c r="B1443" s="34" t="s">
        <v>1989</v>
      </c>
      <c r="C1443" s="34">
        <v>971.0</v>
      </c>
      <c r="D1443" s="34" t="s">
        <v>1989</v>
      </c>
      <c r="E1443" s="34" t="s">
        <v>3790</v>
      </c>
      <c r="F1443" s="34" t="s">
        <v>3791</v>
      </c>
      <c r="G1443" s="34">
        <v>97101.0</v>
      </c>
      <c r="H1443" s="34" t="s">
        <v>3792</v>
      </c>
      <c r="I1443" s="34" t="s">
        <v>18</v>
      </c>
      <c r="J1443" s="34" t="s">
        <v>15</v>
      </c>
      <c r="K1443" s="45">
        <v>90.4</v>
      </c>
      <c r="L1443" s="9"/>
      <c r="M1443" s="45">
        <v>90.4</v>
      </c>
    </row>
    <row r="1444">
      <c r="A1444" s="34" t="s">
        <v>70</v>
      </c>
      <c r="B1444" s="34" t="s">
        <v>1989</v>
      </c>
      <c r="C1444" s="34">
        <v>971.0</v>
      </c>
      <c r="D1444" s="34" t="s">
        <v>1989</v>
      </c>
      <c r="E1444" s="34" t="s">
        <v>3793</v>
      </c>
      <c r="F1444" s="34" t="s">
        <v>3794</v>
      </c>
      <c r="G1444" s="34">
        <v>97107.0</v>
      </c>
      <c r="H1444" s="34" t="s">
        <v>3795</v>
      </c>
      <c r="I1444" s="34" t="s">
        <v>18</v>
      </c>
      <c r="J1444" s="34" t="s">
        <v>13</v>
      </c>
      <c r="K1444" s="9"/>
      <c r="L1444" s="45">
        <v>72.3</v>
      </c>
      <c r="M1444" s="45">
        <v>72.3</v>
      </c>
    </row>
    <row r="1445">
      <c r="A1445" s="34" t="s">
        <v>70</v>
      </c>
      <c r="B1445" s="34" t="s">
        <v>1989</v>
      </c>
      <c r="C1445" s="34">
        <v>971.0</v>
      </c>
      <c r="D1445" s="34" t="s">
        <v>1989</v>
      </c>
      <c r="E1445" s="34" t="s">
        <v>3796</v>
      </c>
      <c r="F1445" s="34" t="s">
        <v>3797</v>
      </c>
      <c r="G1445" s="34">
        <v>97103.0</v>
      </c>
      <c r="H1445" s="34" t="s">
        <v>3798</v>
      </c>
      <c r="I1445" s="34" t="s">
        <v>17</v>
      </c>
      <c r="J1445" s="34" t="s">
        <v>13</v>
      </c>
      <c r="K1445" s="9"/>
      <c r="L1445" s="45">
        <v>80.7</v>
      </c>
      <c r="M1445" s="45">
        <v>80.7</v>
      </c>
    </row>
    <row r="1446">
      <c r="A1446" s="34" t="s">
        <v>70</v>
      </c>
      <c r="B1446" s="34" t="s">
        <v>1989</v>
      </c>
      <c r="C1446" s="34">
        <v>971.0</v>
      </c>
      <c r="D1446" s="34" t="s">
        <v>1989</v>
      </c>
      <c r="E1446" s="34" t="s">
        <v>3799</v>
      </c>
      <c r="F1446" s="34" t="s">
        <v>3800</v>
      </c>
      <c r="G1446" s="34">
        <v>97116.0</v>
      </c>
      <c r="H1446" s="34" t="s">
        <v>3801</v>
      </c>
      <c r="I1446" s="34" t="s">
        <v>18</v>
      </c>
      <c r="J1446" s="34" t="s">
        <v>15</v>
      </c>
      <c r="K1446" s="45">
        <v>98.1</v>
      </c>
      <c r="L1446" s="9"/>
      <c r="M1446" s="45">
        <v>98.1</v>
      </c>
    </row>
    <row r="1447">
      <c r="A1447" s="34" t="s">
        <v>70</v>
      </c>
      <c r="B1447" s="34" t="s">
        <v>1989</v>
      </c>
      <c r="C1447" s="34">
        <v>971.0</v>
      </c>
      <c r="D1447" s="34" t="s">
        <v>1989</v>
      </c>
      <c r="E1447" s="34" t="s">
        <v>3802</v>
      </c>
      <c r="F1447" s="34" t="s">
        <v>3803</v>
      </c>
      <c r="G1447" s="34">
        <v>97105.0</v>
      </c>
      <c r="H1447" s="34" t="s">
        <v>1992</v>
      </c>
      <c r="I1447" s="34" t="s">
        <v>17</v>
      </c>
      <c r="J1447" s="34" t="s">
        <v>13</v>
      </c>
      <c r="K1447" s="9"/>
      <c r="L1447" s="45">
        <v>73.5</v>
      </c>
      <c r="M1447" s="45">
        <v>73.5</v>
      </c>
    </row>
    <row r="1448">
      <c r="A1448" s="34" t="s">
        <v>70</v>
      </c>
      <c r="B1448" s="34" t="s">
        <v>1989</v>
      </c>
      <c r="C1448" s="34">
        <v>971.0</v>
      </c>
      <c r="D1448" s="34" t="s">
        <v>1989</v>
      </c>
      <c r="E1448" s="34" t="s">
        <v>3804</v>
      </c>
      <c r="F1448" s="34" t="s">
        <v>3805</v>
      </c>
      <c r="G1448" s="34">
        <v>97118.0</v>
      </c>
      <c r="H1448" s="34" t="s">
        <v>3806</v>
      </c>
      <c r="I1448" s="34" t="s">
        <v>18</v>
      </c>
      <c r="J1448" s="34" t="s">
        <v>15</v>
      </c>
      <c r="K1448" s="45">
        <v>101.3</v>
      </c>
      <c r="L1448" s="9"/>
      <c r="M1448" s="45">
        <v>101.3</v>
      </c>
    </row>
    <row r="1449">
      <c r="A1449" s="34" t="s">
        <v>70</v>
      </c>
      <c r="B1449" s="34" t="s">
        <v>1989</v>
      </c>
      <c r="C1449" s="34">
        <v>971.0</v>
      </c>
      <c r="D1449" s="34" t="s">
        <v>1989</v>
      </c>
      <c r="E1449" s="34" t="s">
        <v>3807</v>
      </c>
      <c r="F1449" s="34" t="s">
        <v>3808</v>
      </c>
      <c r="G1449" s="34">
        <v>97101.0</v>
      </c>
      <c r="H1449" s="34" t="s">
        <v>3792</v>
      </c>
      <c r="I1449" s="34" t="s">
        <v>18</v>
      </c>
      <c r="J1449" s="34" t="s">
        <v>15</v>
      </c>
      <c r="K1449" s="45">
        <v>105.7</v>
      </c>
      <c r="L1449" s="9"/>
      <c r="M1449" s="45">
        <v>105.7</v>
      </c>
    </row>
    <row r="1450">
      <c r="A1450" s="34" t="s">
        <v>70</v>
      </c>
      <c r="B1450" s="34" t="s">
        <v>1989</v>
      </c>
      <c r="C1450" s="34">
        <v>971.0</v>
      </c>
      <c r="D1450" s="34" t="s">
        <v>1989</v>
      </c>
      <c r="E1450" s="34" t="s">
        <v>3809</v>
      </c>
      <c r="F1450" s="34" t="s">
        <v>3810</v>
      </c>
      <c r="G1450" s="34">
        <v>97103.0</v>
      </c>
      <c r="H1450" s="34" t="s">
        <v>3798</v>
      </c>
      <c r="I1450" s="34" t="s">
        <v>18</v>
      </c>
      <c r="J1450" s="34" t="s">
        <v>14</v>
      </c>
      <c r="K1450" s="45">
        <v>119.6</v>
      </c>
      <c r="L1450" s="45">
        <v>81.3</v>
      </c>
      <c r="M1450" s="45">
        <v>113.6</v>
      </c>
    </row>
    <row r="1451">
      <c r="A1451" s="34" t="s">
        <v>70</v>
      </c>
      <c r="B1451" s="34" t="s">
        <v>1989</v>
      </c>
      <c r="C1451" s="34">
        <v>971.0</v>
      </c>
      <c r="D1451" s="34" t="s">
        <v>1989</v>
      </c>
      <c r="E1451" s="34" t="s">
        <v>3811</v>
      </c>
      <c r="F1451" s="34" t="s">
        <v>3812</v>
      </c>
      <c r="G1451" s="34">
        <v>97101.0</v>
      </c>
      <c r="H1451" s="34" t="s">
        <v>3792</v>
      </c>
      <c r="I1451" s="34" t="s">
        <v>18</v>
      </c>
      <c r="J1451" s="34" t="s">
        <v>14</v>
      </c>
      <c r="K1451" s="45">
        <v>91.4</v>
      </c>
      <c r="L1451" s="45">
        <v>74.2</v>
      </c>
      <c r="M1451" s="45">
        <v>81.9</v>
      </c>
    </row>
    <row r="1452">
      <c r="A1452" s="34" t="s">
        <v>70</v>
      </c>
      <c r="B1452" s="34" t="s">
        <v>1989</v>
      </c>
      <c r="C1452" s="34">
        <v>971.0</v>
      </c>
      <c r="D1452" s="34" t="s">
        <v>1989</v>
      </c>
      <c r="E1452" s="34" t="s">
        <v>3813</v>
      </c>
      <c r="F1452" s="34" t="s">
        <v>3814</v>
      </c>
      <c r="G1452" s="34">
        <v>97101.0</v>
      </c>
      <c r="H1452" s="34" t="s">
        <v>3792</v>
      </c>
      <c r="I1452" s="34" t="s">
        <v>17</v>
      </c>
      <c r="J1452" s="34" t="s">
        <v>13</v>
      </c>
      <c r="K1452" s="9"/>
      <c r="L1452" s="45">
        <v>49.5</v>
      </c>
      <c r="M1452" s="45">
        <v>49.5</v>
      </c>
    </row>
    <row r="1453">
      <c r="A1453" s="34" t="s">
        <v>70</v>
      </c>
      <c r="B1453" s="34" t="s">
        <v>1989</v>
      </c>
      <c r="C1453" s="34">
        <v>971.0</v>
      </c>
      <c r="D1453" s="34" t="s">
        <v>1989</v>
      </c>
      <c r="E1453" s="34" t="s">
        <v>3815</v>
      </c>
      <c r="F1453" s="34" t="s">
        <v>3816</v>
      </c>
      <c r="G1453" s="34">
        <v>97122.0</v>
      </c>
      <c r="H1453" s="34" t="s">
        <v>2852</v>
      </c>
      <c r="I1453" s="34" t="s">
        <v>18</v>
      </c>
      <c r="J1453" s="34" t="s">
        <v>14</v>
      </c>
      <c r="K1453" s="45">
        <v>86.9</v>
      </c>
      <c r="L1453" s="45">
        <v>73.5</v>
      </c>
      <c r="M1453" s="45">
        <v>78.8</v>
      </c>
    </row>
    <row r="1454">
      <c r="A1454" s="34" t="s">
        <v>70</v>
      </c>
      <c r="B1454" s="34" t="s">
        <v>2013</v>
      </c>
      <c r="C1454" s="34">
        <v>972.0</v>
      </c>
      <c r="D1454" s="34" t="s">
        <v>2013</v>
      </c>
      <c r="E1454" s="34" t="s">
        <v>3817</v>
      </c>
      <c r="F1454" s="34" t="s">
        <v>3818</v>
      </c>
      <c r="G1454" s="34">
        <v>97209.0</v>
      </c>
      <c r="H1454" s="34" t="s">
        <v>2016</v>
      </c>
      <c r="I1454" s="34" t="s">
        <v>18</v>
      </c>
      <c r="J1454" s="34" t="s">
        <v>15</v>
      </c>
      <c r="K1454" s="45">
        <v>88.9</v>
      </c>
      <c r="L1454" s="9"/>
      <c r="M1454" s="45">
        <v>88.9</v>
      </c>
    </row>
    <row r="1455">
      <c r="A1455" s="34" t="s">
        <v>70</v>
      </c>
      <c r="B1455" s="34" t="s">
        <v>2013</v>
      </c>
      <c r="C1455" s="34">
        <v>972.0</v>
      </c>
      <c r="D1455" s="34" t="s">
        <v>2013</v>
      </c>
      <c r="E1455" s="34" t="s">
        <v>3819</v>
      </c>
      <c r="F1455" s="34" t="s">
        <v>3820</v>
      </c>
      <c r="G1455" s="34">
        <v>97209.0</v>
      </c>
      <c r="H1455" s="34" t="s">
        <v>2016</v>
      </c>
      <c r="I1455" s="34" t="s">
        <v>17</v>
      </c>
      <c r="J1455" s="34" t="s">
        <v>15</v>
      </c>
      <c r="K1455" s="45">
        <v>123.5</v>
      </c>
      <c r="L1455" s="9"/>
      <c r="M1455" s="45">
        <v>123.5</v>
      </c>
    </row>
    <row r="1456">
      <c r="A1456" s="34" t="s">
        <v>70</v>
      </c>
      <c r="B1456" s="34" t="s">
        <v>2013</v>
      </c>
      <c r="C1456" s="34">
        <v>972.0</v>
      </c>
      <c r="D1456" s="34" t="s">
        <v>2013</v>
      </c>
      <c r="E1456" s="34" t="s">
        <v>3821</v>
      </c>
      <c r="F1456" s="34" t="s">
        <v>3797</v>
      </c>
      <c r="G1456" s="34">
        <v>97209.0</v>
      </c>
      <c r="H1456" s="34" t="s">
        <v>2016</v>
      </c>
      <c r="I1456" s="34" t="s">
        <v>17</v>
      </c>
      <c r="J1456" s="34" t="s">
        <v>13</v>
      </c>
      <c r="K1456" s="9"/>
      <c r="L1456" s="45">
        <v>100.6</v>
      </c>
      <c r="M1456" s="45">
        <v>100.6</v>
      </c>
    </row>
    <row r="1457">
      <c r="A1457" s="34" t="s">
        <v>70</v>
      </c>
      <c r="B1457" s="34" t="s">
        <v>2013</v>
      </c>
      <c r="C1457" s="34">
        <v>972.0</v>
      </c>
      <c r="D1457" s="34" t="s">
        <v>2013</v>
      </c>
      <c r="E1457" s="34" t="s">
        <v>3822</v>
      </c>
      <c r="F1457" s="34" t="s">
        <v>3823</v>
      </c>
      <c r="G1457" s="34">
        <v>97209.0</v>
      </c>
      <c r="H1457" s="34" t="s">
        <v>2016</v>
      </c>
      <c r="I1457" s="34" t="s">
        <v>17</v>
      </c>
      <c r="J1457" s="34" t="s">
        <v>14</v>
      </c>
      <c r="K1457" s="45">
        <v>103.9</v>
      </c>
      <c r="L1457" s="45">
        <v>90.0</v>
      </c>
      <c r="M1457" s="45">
        <v>101.5</v>
      </c>
    </row>
    <row r="1458">
      <c r="A1458" s="34" t="s">
        <v>70</v>
      </c>
      <c r="B1458" s="34" t="s">
        <v>2013</v>
      </c>
      <c r="C1458" s="34">
        <v>972.0</v>
      </c>
      <c r="D1458" s="34" t="s">
        <v>2013</v>
      </c>
      <c r="E1458" s="34" t="s">
        <v>3824</v>
      </c>
      <c r="F1458" s="34" t="s">
        <v>3825</v>
      </c>
      <c r="G1458" s="34">
        <v>97228.0</v>
      </c>
      <c r="H1458" s="34" t="s">
        <v>3826</v>
      </c>
      <c r="I1458" s="34" t="s">
        <v>18</v>
      </c>
      <c r="J1458" s="34" t="s">
        <v>14</v>
      </c>
      <c r="K1458" s="45">
        <v>98.1</v>
      </c>
      <c r="L1458" s="45">
        <v>70.8</v>
      </c>
      <c r="M1458" s="45">
        <v>90.5</v>
      </c>
    </row>
    <row r="1459">
      <c r="A1459" s="34" t="s">
        <v>70</v>
      </c>
      <c r="B1459" s="34" t="s">
        <v>2013</v>
      </c>
      <c r="C1459" s="34">
        <v>972.0</v>
      </c>
      <c r="D1459" s="34" t="s">
        <v>2013</v>
      </c>
      <c r="E1459" s="34" t="s">
        <v>3827</v>
      </c>
      <c r="F1459" s="34" t="s">
        <v>3828</v>
      </c>
      <c r="G1459" s="34">
        <v>97213.0</v>
      </c>
      <c r="H1459" s="34" t="s">
        <v>2019</v>
      </c>
      <c r="I1459" s="34" t="s">
        <v>18</v>
      </c>
      <c r="J1459" s="34" t="s">
        <v>14</v>
      </c>
      <c r="K1459" s="45">
        <v>105.8</v>
      </c>
      <c r="L1459" s="45">
        <v>79.3</v>
      </c>
      <c r="M1459" s="45">
        <v>100.3</v>
      </c>
    </row>
    <row r="1460">
      <c r="A1460" s="34" t="s">
        <v>70</v>
      </c>
      <c r="B1460" s="34" t="s">
        <v>2013</v>
      </c>
      <c r="C1460" s="34">
        <v>972.0</v>
      </c>
      <c r="D1460" s="34" t="s">
        <v>2013</v>
      </c>
      <c r="E1460" s="34" t="s">
        <v>3829</v>
      </c>
      <c r="F1460" s="34" t="s">
        <v>3830</v>
      </c>
      <c r="G1460" s="34">
        <v>97210.0</v>
      </c>
      <c r="H1460" s="34" t="s">
        <v>3831</v>
      </c>
      <c r="I1460" s="34" t="s">
        <v>18</v>
      </c>
      <c r="J1460" s="34" t="s">
        <v>14</v>
      </c>
      <c r="K1460" s="45">
        <v>104.1</v>
      </c>
      <c r="L1460" s="45">
        <v>75.1</v>
      </c>
      <c r="M1460" s="45">
        <v>92.7</v>
      </c>
    </row>
    <row r="1461">
      <c r="A1461" s="34" t="s">
        <v>70</v>
      </c>
      <c r="B1461" s="34" t="s">
        <v>2035</v>
      </c>
      <c r="C1461" s="34">
        <v>973.0</v>
      </c>
      <c r="D1461" s="34" t="s">
        <v>2035</v>
      </c>
      <c r="E1461" s="34" t="s">
        <v>3832</v>
      </c>
      <c r="F1461" s="34" t="s">
        <v>3833</v>
      </c>
      <c r="G1461" s="34">
        <v>97302.0</v>
      </c>
      <c r="H1461" s="34" t="s">
        <v>2046</v>
      </c>
      <c r="I1461" s="34" t="s">
        <v>18</v>
      </c>
      <c r="J1461" s="34" t="s">
        <v>13</v>
      </c>
      <c r="K1461" s="9"/>
      <c r="L1461" s="45">
        <v>66.2</v>
      </c>
      <c r="M1461" s="45">
        <v>66.2</v>
      </c>
    </row>
    <row r="1462">
      <c r="A1462" s="34" t="s">
        <v>70</v>
      </c>
      <c r="B1462" s="34" t="s">
        <v>2035</v>
      </c>
      <c r="C1462" s="34">
        <v>973.0</v>
      </c>
      <c r="D1462" s="34" t="s">
        <v>2035</v>
      </c>
      <c r="E1462" s="34" t="s">
        <v>3834</v>
      </c>
      <c r="F1462" s="34" t="s">
        <v>3835</v>
      </c>
      <c r="G1462" s="34">
        <v>97302.0</v>
      </c>
      <c r="H1462" s="34" t="s">
        <v>2046</v>
      </c>
      <c r="I1462" s="34" t="s">
        <v>17</v>
      </c>
      <c r="J1462" s="34" t="s">
        <v>15</v>
      </c>
      <c r="K1462" s="45">
        <v>125.9</v>
      </c>
      <c r="L1462" s="9"/>
      <c r="M1462" s="45">
        <v>125.9</v>
      </c>
    </row>
    <row r="1463">
      <c r="A1463" s="34" t="s">
        <v>70</v>
      </c>
      <c r="B1463" s="34" t="s">
        <v>2035</v>
      </c>
      <c r="C1463" s="34">
        <v>973.0</v>
      </c>
      <c r="D1463" s="34" t="s">
        <v>2035</v>
      </c>
      <c r="E1463" s="34" t="s">
        <v>3836</v>
      </c>
      <c r="F1463" s="34" t="s">
        <v>3837</v>
      </c>
      <c r="G1463" s="34">
        <v>97311.0</v>
      </c>
      <c r="H1463" s="34" t="s">
        <v>2049</v>
      </c>
      <c r="I1463" s="34" t="s">
        <v>18</v>
      </c>
      <c r="J1463" s="34" t="s">
        <v>14</v>
      </c>
      <c r="K1463" s="45">
        <v>71.3</v>
      </c>
      <c r="L1463" s="45">
        <v>55.2</v>
      </c>
      <c r="M1463" s="45">
        <v>58.0</v>
      </c>
    </row>
    <row r="1464">
      <c r="A1464" s="34" t="s">
        <v>70</v>
      </c>
      <c r="B1464" s="34" t="s">
        <v>2054</v>
      </c>
      <c r="C1464" s="34">
        <v>974.0</v>
      </c>
      <c r="D1464" s="34" t="s">
        <v>2054</v>
      </c>
      <c r="E1464" s="34" t="s">
        <v>3838</v>
      </c>
      <c r="F1464" s="34" t="s">
        <v>3839</v>
      </c>
      <c r="G1464" s="34">
        <v>97409.0</v>
      </c>
      <c r="H1464" s="34" t="s">
        <v>3840</v>
      </c>
      <c r="I1464" s="34" t="s">
        <v>18</v>
      </c>
      <c r="J1464" s="34" t="s">
        <v>15</v>
      </c>
      <c r="K1464" s="45">
        <v>89.5</v>
      </c>
      <c r="L1464" s="9"/>
      <c r="M1464" s="45">
        <v>89.5</v>
      </c>
    </row>
    <row r="1465">
      <c r="A1465" s="34" t="s">
        <v>70</v>
      </c>
      <c r="B1465" s="34" t="s">
        <v>2054</v>
      </c>
      <c r="C1465" s="34">
        <v>974.0</v>
      </c>
      <c r="D1465" s="34" t="s">
        <v>2054</v>
      </c>
      <c r="E1465" s="34" t="s">
        <v>3841</v>
      </c>
      <c r="F1465" s="34" t="s">
        <v>3842</v>
      </c>
      <c r="G1465" s="34">
        <v>97416.0</v>
      </c>
      <c r="H1465" s="34" t="s">
        <v>2034</v>
      </c>
      <c r="I1465" s="34" t="s">
        <v>18</v>
      </c>
      <c r="J1465" s="34" t="s">
        <v>13</v>
      </c>
      <c r="K1465" s="9"/>
      <c r="L1465" s="45">
        <v>66.2</v>
      </c>
      <c r="M1465" s="45">
        <v>66.2</v>
      </c>
    </row>
    <row r="1466">
      <c r="A1466" s="34" t="s">
        <v>70</v>
      </c>
      <c r="B1466" s="34" t="s">
        <v>2054</v>
      </c>
      <c r="C1466" s="34">
        <v>974.0</v>
      </c>
      <c r="D1466" s="34" t="s">
        <v>2054</v>
      </c>
      <c r="E1466" s="34" t="s">
        <v>3843</v>
      </c>
      <c r="F1466" s="34" t="s">
        <v>3844</v>
      </c>
      <c r="G1466" s="34">
        <v>97411.0</v>
      </c>
      <c r="H1466" s="34" t="s">
        <v>1858</v>
      </c>
      <c r="I1466" s="34" t="s">
        <v>18</v>
      </c>
      <c r="J1466" s="34" t="s">
        <v>13</v>
      </c>
      <c r="K1466" s="9"/>
      <c r="L1466" s="45">
        <v>63.4</v>
      </c>
      <c r="M1466" s="45">
        <v>63.4</v>
      </c>
    </row>
    <row r="1467">
      <c r="A1467" s="34" t="s">
        <v>70</v>
      </c>
      <c r="B1467" s="34" t="s">
        <v>2054</v>
      </c>
      <c r="C1467" s="34">
        <v>974.0</v>
      </c>
      <c r="D1467" s="34" t="s">
        <v>2054</v>
      </c>
      <c r="E1467" s="34" t="s">
        <v>3845</v>
      </c>
      <c r="F1467" s="34" t="s">
        <v>3846</v>
      </c>
      <c r="G1467" s="34">
        <v>97415.0</v>
      </c>
      <c r="H1467" s="34" t="s">
        <v>2077</v>
      </c>
      <c r="I1467" s="34" t="s">
        <v>18</v>
      </c>
      <c r="J1467" s="34" t="s">
        <v>14</v>
      </c>
      <c r="K1467" s="45">
        <v>99.0</v>
      </c>
      <c r="L1467" s="45">
        <v>76.9</v>
      </c>
      <c r="M1467" s="45">
        <v>79.9</v>
      </c>
    </row>
    <row r="1468">
      <c r="A1468" s="34" t="s">
        <v>70</v>
      </c>
      <c r="B1468" s="34" t="s">
        <v>2054</v>
      </c>
      <c r="C1468" s="34">
        <v>974.0</v>
      </c>
      <c r="D1468" s="34" t="s">
        <v>2054</v>
      </c>
      <c r="E1468" s="34" t="s">
        <v>3847</v>
      </c>
      <c r="F1468" s="34" t="s">
        <v>486</v>
      </c>
      <c r="G1468" s="34">
        <v>97412.0</v>
      </c>
      <c r="H1468" s="34" t="s">
        <v>3848</v>
      </c>
      <c r="I1468" s="34" t="s">
        <v>18</v>
      </c>
      <c r="J1468" s="34" t="s">
        <v>13</v>
      </c>
      <c r="K1468" s="9"/>
      <c r="L1468" s="45">
        <v>66.8</v>
      </c>
      <c r="M1468" s="45">
        <v>66.8</v>
      </c>
    </row>
    <row r="1469">
      <c r="A1469" s="34" t="s">
        <v>70</v>
      </c>
      <c r="B1469" s="34" t="s">
        <v>2054</v>
      </c>
      <c r="C1469" s="34">
        <v>974.0</v>
      </c>
      <c r="D1469" s="34" t="s">
        <v>2054</v>
      </c>
      <c r="E1469" s="34" t="s">
        <v>3849</v>
      </c>
      <c r="F1469" s="34" t="s">
        <v>3850</v>
      </c>
      <c r="G1469" s="34">
        <v>97416.0</v>
      </c>
      <c r="H1469" s="34" t="s">
        <v>2034</v>
      </c>
      <c r="I1469" s="34" t="s">
        <v>17</v>
      </c>
      <c r="J1469" s="34" t="s">
        <v>14</v>
      </c>
      <c r="K1469" s="45">
        <v>119.2</v>
      </c>
      <c r="L1469" s="45">
        <v>89.5</v>
      </c>
      <c r="M1469" s="45">
        <v>114.9</v>
      </c>
    </row>
    <row r="1470">
      <c r="A1470" s="34" t="s">
        <v>70</v>
      </c>
      <c r="B1470" s="34" t="s">
        <v>2054</v>
      </c>
      <c r="C1470" s="34">
        <v>974.0</v>
      </c>
      <c r="D1470" s="34" t="s">
        <v>2054</v>
      </c>
      <c r="E1470" s="34" t="s">
        <v>3851</v>
      </c>
      <c r="F1470" s="34" t="s">
        <v>3852</v>
      </c>
      <c r="G1470" s="34">
        <v>97411.0</v>
      </c>
      <c r="H1470" s="34" t="s">
        <v>1858</v>
      </c>
      <c r="I1470" s="34" t="s">
        <v>17</v>
      </c>
      <c r="J1470" s="34" t="s">
        <v>15</v>
      </c>
      <c r="K1470" s="45">
        <v>136.9</v>
      </c>
      <c r="L1470" s="9"/>
      <c r="M1470" s="45">
        <v>136.9</v>
      </c>
    </row>
    <row r="1471">
      <c r="A1471" s="34" t="s">
        <v>70</v>
      </c>
      <c r="B1471" s="34" t="s">
        <v>2054</v>
      </c>
      <c r="C1471" s="34">
        <v>974.0</v>
      </c>
      <c r="D1471" s="34" t="s">
        <v>2054</v>
      </c>
      <c r="E1471" s="34" t="s">
        <v>3853</v>
      </c>
      <c r="F1471" s="34" t="s">
        <v>3854</v>
      </c>
      <c r="G1471" s="34">
        <v>97420.0</v>
      </c>
      <c r="H1471" s="34" t="s">
        <v>3855</v>
      </c>
      <c r="I1471" s="34" t="s">
        <v>18</v>
      </c>
      <c r="J1471" s="34" t="s">
        <v>14</v>
      </c>
      <c r="K1471" s="45">
        <v>97.8</v>
      </c>
      <c r="L1471" s="45">
        <v>64.8</v>
      </c>
      <c r="M1471" s="45">
        <v>89.4</v>
      </c>
    </row>
    <row r="1472">
      <c r="A1472" s="34" t="s">
        <v>70</v>
      </c>
      <c r="B1472" s="34" t="s">
        <v>2054</v>
      </c>
      <c r="C1472" s="34">
        <v>974.0</v>
      </c>
      <c r="D1472" s="34" t="s">
        <v>2054</v>
      </c>
      <c r="E1472" s="34" t="s">
        <v>3856</v>
      </c>
      <c r="F1472" s="34" t="s">
        <v>3857</v>
      </c>
      <c r="G1472" s="34">
        <v>97409.0</v>
      </c>
      <c r="H1472" s="34" t="s">
        <v>3840</v>
      </c>
      <c r="I1472" s="34" t="s">
        <v>18</v>
      </c>
      <c r="J1472" s="34" t="s">
        <v>15</v>
      </c>
      <c r="K1472" s="45">
        <v>89.3</v>
      </c>
      <c r="L1472" s="9"/>
      <c r="M1472" s="45">
        <v>89.3</v>
      </c>
    </row>
    <row r="1473">
      <c r="A1473" s="34" t="s">
        <v>70</v>
      </c>
      <c r="B1473" s="34" t="s">
        <v>2054</v>
      </c>
      <c r="C1473" s="34">
        <v>974.0</v>
      </c>
      <c r="D1473" s="34" t="s">
        <v>2054</v>
      </c>
      <c r="E1473" s="34" t="s">
        <v>3858</v>
      </c>
      <c r="F1473" s="34" t="s">
        <v>3859</v>
      </c>
      <c r="G1473" s="34">
        <v>97411.0</v>
      </c>
      <c r="H1473" s="34" t="s">
        <v>1858</v>
      </c>
      <c r="I1473" s="34" t="s">
        <v>18</v>
      </c>
      <c r="J1473" s="34" t="s">
        <v>14</v>
      </c>
      <c r="K1473" s="45">
        <v>103.4</v>
      </c>
      <c r="L1473" s="45">
        <v>72.6</v>
      </c>
      <c r="M1473" s="45">
        <v>93.8</v>
      </c>
    </row>
    <row r="1474">
      <c r="A1474" s="34" t="s">
        <v>70</v>
      </c>
      <c r="B1474" s="34" t="s">
        <v>2084</v>
      </c>
      <c r="C1474" s="34">
        <v>976.0</v>
      </c>
      <c r="D1474" s="34" t="s">
        <v>2084</v>
      </c>
      <c r="E1474" s="34" t="s">
        <v>3860</v>
      </c>
      <c r="F1474" s="34" t="s">
        <v>3861</v>
      </c>
      <c r="G1474" s="34">
        <v>97602.0</v>
      </c>
      <c r="H1474" s="34" t="s">
        <v>3862</v>
      </c>
      <c r="I1474" s="34" t="s">
        <v>18</v>
      </c>
      <c r="J1474" s="34" t="s">
        <v>13</v>
      </c>
      <c r="K1474" s="9"/>
      <c r="L1474" s="45">
        <v>60.3</v>
      </c>
      <c r="M1474" s="45">
        <v>60.3</v>
      </c>
    </row>
    <row r="1475">
      <c r="A1475" s="34" t="s">
        <v>70</v>
      </c>
      <c r="B1475" s="34" t="s">
        <v>2084</v>
      </c>
      <c r="C1475" s="34">
        <v>976.0</v>
      </c>
      <c r="D1475" s="34" t="s">
        <v>2084</v>
      </c>
      <c r="E1475" s="34" t="s">
        <v>3863</v>
      </c>
      <c r="F1475" s="34" t="s">
        <v>3864</v>
      </c>
      <c r="G1475" s="34">
        <v>97601.0</v>
      </c>
      <c r="H1475" s="34" t="s">
        <v>3865</v>
      </c>
      <c r="I1475" s="34" t="s">
        <v>18</v>
      </c>
      <c r="J1475" s="34" t="s">
        <v>14</v>
      </c>
      <c r="K1475" s="45">
        <v>72.2</v>
      </c>
      <c r="L1475" s="45">
        <v>59.0</v>
      </c>
      <c r="M1475" s="45">
        <v>69.5</v>
      </c>
    </row>
    <row r="1476">
      <c r="A1476" s="34" t="s">
        <v>70</v>
      </c>
      <c r="B1476" s="34" t="s">
        <v>71</v>
      </c>
      <c r="C1476" s="34">
        <v>1.0</v>
      </c>
      <c r="D1476" s="34" t="s">
        <v>72</v>
      </c>
      <c r="E1476" s="34" t="s">
        <v>3866</v>
      </c>
      <c r="F1476" s="34" t="s">
        <v>3867</v>
      </c>
      <c r="G1476" s="34">
        <v>1004.0</v>
      </c>
      <c r="H1476" s="34" t="s">
        <v>87</v>
      </c>
      <c r="I1476" s="34" t="s">
        <v>18</v>
      </c>
      <c r="J1476" s="34" t="s">
        <v>13</v>
      </c>
      <c r="K1476" s="9"/>
      <c r="L1476" s="45">
        <v>91.1</v>
      </c>
      <c r="M1476" s="45">
        <v>91.1</v>
      </c>
    </row>
    <row r="1477">
      <c r="A1477" s="34" t="s">
        <v>70</v>
      </c>
      <c r="B1477" s="34" t="s">
        <v>71</v>
      </c>
      <c r="C1477" s="34">
        <v>1.0</v>
      </c>
      <c r="D1477" s="34" t="s">
        <v>72</v>
      </c>
      <c r="E1477" s="34" t="s">
        <v>3868</v>
      </c>
      <c r="F1477" s="34" t="s">
        <v>3869</v>
      </c>
      <c r="G1477" s="34">
        <v>1034.0</v>
      </c>
      <c r="H1477" s="34" t="s">
        <v>3870</v>
      </c>
      <c r="I1477" s="34" t="s">
        <v>18</v>
      </c>
      <c r="J1477" s="34" t="s">
        <v>15</v>
      </c>
      <c r="K1477" s="45">
        <v>110.2</v>
      </c>
      <c r="L1477" s="9"/>
      <c r="M1477" s="45">
        <v>110.2</v>
      </c>
    </row>
    <row r="1478">
      <c r="A1478" s="34" t="s">
        <v>70</v>
      </c>
      <c r="B1478" s="34" t="s">
        <v>71</v>
      </c>
      <c r="C1478" s="34">
        <v>1.0</v>
      </c>
      <c r="D1478" s="34" t="s">
        <v>72</v>
      </c>
      <c r="E1478" s="34" t="s">
        <v>3871</v>
      </c>
      <c r="F1478" s="34" t="s">
        <v>3872</v>
      </c>
      <c r="G1478" s="34">
        <v>1053.0</v>
      </c>
      <c r="H1478" s="34" t="s">
        <v>84</v>
      </c>
      <c r="I1478" s="34" t="s">
        <v>18</v>
      </c>
      <c r="J1478" s="34" t="s">
        <v>15</v>
      </c>
      <c r="K1478" s="45">
        <v>121.7</v>
      </c>
      <c r="L1478" s="9"/>
      <c r="M1478" s="45">
        <v>121.7</v>
      </c>
    </row>
    <row r="1479">
      <c r="A1479" s="34" t="s">
        <v>70</v>
      </c>
      <c r="B1479" s="34" t="s">
        <v>71</v>
      </c>
      <c r="C1479" s="34">
        <v>1.0</v>
      </c>
      <c r="D1479" s="34" t="s">
        <v>72</v>
      </c>
      <c r="E1479" s="34" t="s">
        <v>3873</v>
      </c>
      <c r="F1479" s="34" t="s">
        <v>3874</v>
      </c>
      <c r="G1479" s="34">
        <v>1053.0</v>
      </c>
      <c r="H1479" s="34" t="s">
        <v>84</v>
      </c>
      <c r="I1479" s="34" t="s">
        <v>18</v>
      </c>
      <c r="J1479" s="34" t="s">
        <v>15</v>
      </c>
      <c r="K1479" s="45">
        <v>112.2</v>
      </c>
      <c r="L1479" s="9"/>
      <c r="M1479" s="45">
        <v>112.2</v>
      </c>
    </row>
    <row r="1480">
      <c r="A1480" s="34" t="s">
        <v>70</v>
      </c>
      <c r="B1480" s="34" t="s">
        <v>71</v>
      </c>
      <c r="C1480" s="34">
        <v>1.0</v>
      </c>
      <c r="D1480" s="34" t="s">
        <v>72</v>
      </c>
      <c r="E1480" s="34" t="s">
        <v>3875</v>
      </c>
      <c r="F1480" s="34" t="s">
        <v>3876</v>
      </c>
      <c r="G1480" s="34">
        <v>1283.0</v>
      </c>
      <c r="H1480" s="34" t="s">
        <v>3877</v>
      </c>
      <c r="I1480" s="34" t="s">
        <v>18</v>
      </c>
      <c r="J1480" s="34" t="s">
        <v>14</v>
      </c>
      <c r="K1480" s="45">
        <v>88.6</v>
      </c>
      <c r="L1480" s="45">
        <v>74.2</v>
      </c>
      <c r="M1480" s="45">
        <v>84.2</v>
      </c>
    </row>
    <row r="1481">
      <c r="A1481" s="34" t="s">
        <v>70</v>
      </c>
      <c r="B1481" s="34" t="s">
        <v>71</v>
      </c>
      <c r="C1481" s="34">
        <v>1.0</v>
      </c>
      <c r="D1481" s="34" t="s">
        <v>72</v>
      </c>
      <c r="E1481" s="34" t="s">
        <v>3878</v>
      </c>
      <c r="F1481" s="34" t="s">
        <v>3879</v>
      </c>
      <c r="G1481" s="34">
        <v>1034.0</v>
      </c>
      <c r="H1481" s="34" t="s">
        <v>3870</v>
      </c>
      <c r="I1481" s="34" t="s">
        <v>18</v>
      </c>
      <c r="J1481" s="34" t="s">
        <v>13</v>
      </c>
      <c r="K1481" s="9"/>
      <c r="L1481" s="45">
        <v>84.3</v>
      </c>
      <c r="M1481" s="45">
        <v>84.3</v>
      </c>
    </row>
    <row r="1482">
      <c r="A1482" s="34" t="s">
        <v>70</v>
      </c>
      <c r="B1482" s="34" t="s">
        <v>71</v>
      </c>
      <c r="C1482" s="34">
        <v>1.0</v>
      </c>
      <c r="D1482" s="34" t="s">
        <v>72</v>
      </c>
      <c r="E1482" s="34" t="s">
        <v>3880</v>
      </c>
      <c r="F1482" s="34" t="s">
        <v>3881</v>
      </c>
      <c r="G1482" s="34">
        <v>1049.0</v>
      </c>
      <c r="H1482" s="34" t="s">
        <v>3882</v>
      </c>
      <c r="I1482" s="34" t="s">
        <v>18</v>
      </c>
      <c r="J1482" s="34" t="s">
        <v>15</v>
      </c>
      <c r="K1482" s="45">
        <v>126.7</v>
      </c>
      <c r="L1482" s="9"/>
      <c r="M1482" s="45">
        <v>126.7</v>
      </c>
    </row>
    <row r="1483">
      <c r="A1483" s="34" t="s">
        <v>70</v>
      </c>
      <c r="B1483" s="34" t="s">
        <v>88</v>
      </c>
      <c r="C1483" s="34">
        <v>2.0</v>
      </c>
      <c r="D1483" s="34" t="s">
        <v>89</v>
      </c>
      <c r="E1483" s="34" t="s">
        <v>3883</v>
      </c>
      <c r="F1483" s="34" t="s">
        <v>3884</v>
      </c>
      <c r="G1483" s="34">
        <v>2307.0</v>
      </c>
      <c r="H1483" s="34" t="s">
        <v>3885</v>
      </c>
      <c r="I1483" s="34" t="s">
        <v>18</v>
      </c>
      <c r="J1483" s="34" t="s">
        <v>13</v>
      </c>
      <c r="K1483" s="9"/>
      <c r="L1483" s="45">
        <v>86.4</v>
      </c>
      <c r="M1483" s="45">
        <v>86.4</v>
      </c>
    </row>
    <row r="1484">
      <c r="A1484" s="34" t="s">
        <v>70</v>
      </c>
      <c r="B1484" s="34" t="s">
        <v>88</v>
      </c>
      <c r="C1484" s="34">
        <v>2.0</v>
      </c>
      <c r="D1484" s="34" t="s">
        <v>89</v>
      </c>
      <c r="E1484" s="34" t="s">
        <v>3886</v>
      </c>
      <c r="F1484" s="34" t="s">
        <v>3887</v>
      </c>
      <c r="G1484" s="34">
        <v>2408.0</v>
      </c>
      <c r="H1484" s="34" t="s">
        <v>102</v>
      </c>
      <c r="I1484" s="34" t="s">
        <v>18</v>
      </c>
      <c r="J1484" s="34" t="s">
        <v>15</v>
      </c>
      <c r="K1484" s="45">
        <v>102.9</v>
      </c>
      <c r="L1484" s="9"/>
      <c r="M1484" s="45">
        <v>102.9</v>
      </c>
    </row>
    <row r="1485">
      <c r="A1485" s="34" t="s">
        <v>70</v>
      </c>
      <c r="B1485" s="34" t="s">
        <v>88</v>
      </c>
      <c r="C1485" s="34">
        <v>2.0</v>
      </c>
      <c r="D1485" s="34" t="s">
        <v>89</v>
      </c>
      <c r="E1485" s="34" t="s">
        <v>3888</v>
      </c>
      <c r="F1485" s="34" t="s">
        <v>3889</v>
      </c>
      <c r="G1485" s="34">
        <v>2408.0</v>
      </c>
      <c r="H1485" s="34" t="s">
        <v>102</v>
      </c>
      <c r="I1485" s="34" t="s">
        <v>18</v>
      </c>
      <c r="J1485" s="34" t="s">
        <v>14</v>
      </c>
      <c r="K1485" s="45">
        <v>110.8</v>
      </c>
      <c r="L1485" s="45">
        <v>80.6</v>
      </c>
      <c r="M1485" s="45">
        <v>100.1</v>
      </c>
    </row>
    <row r="1486">
      <c r="A1486" s="34" t="s">
        <v>70</v>
      </c>
      <c r="B1486" s="34" t="s">
        <v>88</v>
      </c>
      <c r="C1486" s="34">
        <v>2.0</v>
      </c>
      <c r="D1486" s="34" t="s">
        <v>89</v>
      </c>
      <c r="E1486" s="34" t="s">
        <v>3890</v>
      </c>
      <c r="F1486" s="34" t="s">
        <v>3891</v>
      </c>
      <c r="G1486" s="34">
        <v>2691.0</v>
      </c>
      <c r="H1486" s="34" t="s">
        <v>95</v>
      </c>
      <c r="I1486" s="34" t="s">
        <v>18</v>
      </c>
      <c r="J1486" s="34" t="s">
        <v>15</v>
      </c>
      <c r="K1486" s="45">
        <v>92.0</v>
      </c>
      <c r="L1486" s="9"/>
      <c r="M1486" s="45">
        <v>92.0</v>
      </c>
    </row>
    <row r="1487">
      <c r="A1487" s="34" t="s">
        <v>70</v>
      </c>
      <c r="B1487" s="34" t="s">
        <v>88</v>
      </c>
      <c r="C1487" s="34">
        <v>2.0</v>
      </c>
      <c r="D1487" s="34" t="s">
        <v>89</v>
      </c>
      <c r="E1487" s="34" t="s">
        <v>3892</v>
      </c>
      <c r="F1487" s="34" t="s">
        <v>3893</v>
      </c>
      <c r="G1487" s="34">
        <v>2381.0</v>
      </c>
      <c r="H1487" s="34" t="s">
        <v>3894</v>
      </c>
      <c r="I1487" s="34" t="s">
        <v>18</v>
      </c>
      <c r="J1487" s="34" t="s">
        <v>13</v>
      </c>
      <c r="K1487" s="9"/>
      <c r="L1487" s="45">
        <v>74.8</v>
      </c>
      <c r="M1487" s="45">
        <v>74.8</v>
      </c>
    </row>
    <row r="1488">
      <c r="A1488" s="34" t="s">
        <v>70</v>
      </c>
      <c r="B1488" s="34" t="s">
        <v>88</v>
      </c>
      <c r="C1488" s="34">
        <v>2.0</v>
      </c>
      <c r="D1488" s="34" t="s">
        <v>89</v>
      </c>
      <c r="E1488" s="34" t="s">
        <v>3895</v>
      </c>
      <c r="F1488" s="34" t="s">
        <v>3896</v>
      </c>
      <c r="G1488" s="34">
        <v>2722.0</v>
      </c>
      <c r="H1488" s="34" t="s">
        <v>105</v>
      </c>
      <c r="I1488" s="34" t="s">
        <v>18</v>
      </c>
      <c r="J1488" s="34" t="s">
        <v>14</v>
      </c>
      <c r="K1488" s="45">
        <v>97.4</v>
      </c>
      <c r="L1488" s="45">
        <v>84.6</v>
      </c>
      <c r="M1488" s="45">
        <v>91.6</v>
      </c>
    </row>
    <row r="1489">
      <c r="A1489" s="34" t="s">
        <v>70</v>
      </c>
      <c r="B1489" s="34" t="s">
        <v>88</v>
      </c>
      <c r="C1489" s="34">
        <v>2.0</v>
      </c>
      <c r="D1489" s="34" t="s">
        <v>89</v>
      </c>
      <c r="E1489" s="34" t="s">
        <v>3897</v>
      </c>
      <c r="F1489" s="34" t="s">
        <v>3898</v>
      </c>
      <c r="G1489" s="34">
        <v>2168.0</v>
      </c>
      <c r="H1489" s="34" t="s">
        <v>113</v>
      </c>
      <c r="I1489" s="34" t="s">
        <v>17</v>
      </c>
      <c r="J1489" s="34" t="s">
        <v>15</v>
      </c>
      <c r="K1489" s="45">
        <v>106.2</v>
      </c>
      <c r="L1489" s="9"/>
      <c r="M1489" s="45">
        <v>106.2</v>
      </c>
    </row>
    <row r="1490">
      <c r="A1490" s="34" t="s">
        <v>70</v>
      </c>
      <c r="B1490" s="34" t="s">
        <v>88</v>
      </c>
      <c r="C1490" s="34">
        <v>2.0</v>
      </c>
      <c r="D1490" s="34" t="s">
        <v>89</v>
      </c>
      <c r="E1490" s="34" t="s">
        <v>3899</v>
      </c>
      <c r="F1490" s="34" t="s">
        <v>218</v>
      </c>
      <c r="G1490" s="34">
        <v>2321.0</v>
      </c>
      <c r="H1490" s="34" t="s">
        <v>110</v>
      </c>
      <c r="I1490" s="34" t="s">
        <v>17</v>
      </c>
      <c r="J1490" s="34" t="s">
        <v>13</v>
      </c>
      <c r="K1490" s="9"/>
      <c r="L1490" s="45">
        <v>83.0</v>
      </c>
      <c r="M1490" s="45">
        <v>83.0</v>
      </c>
    </row>
    <row r="1491">
      <c r="A1491" s="34" t="s">
        <v>70</v>
      </c>
      <c r="B1491" s="34" t="s">
        <v>88</v>
      </c>
      <c r="C1491" s="34">
        <v>2.0</v>
      </c>
      <c r="D1491" s="34" t="s">
        <v>89</v>
      </c>
      <c r="E1491" s="34" t="s">
        <v>3900</v>
      </c>
      <c r="F1491" s="34" t="s">
        <v>3901</v>
      </c>
      <c r="G1491" s="34">
        <v>2691.0</v>
      </c>
      <c r="H1491" s="34" t="s">
        <v>95</v>
      </c>
      <c r="I1491" s="34" t="s">
        <v>18</v>
      </c>
      <c r="J1491" s="34" t="s">
        <v>14</v>
      </c>
      <c r="K1491" s="45">
        <v>85.5</v>
      </c>
      <c r="L1491" s="45">
        <v>71.8</v>
      </c>
      <c r="M1491" s="45">
        <v>74.5</v>
      </c>
    </row>
    <row r="1492">
      <c r="A1492" s="34" t="s">
        <v>70</v>
      </c>
      <c r="B1492" s="34" t="s">
        <v>116</v>
      </c>
      <c r="C1492" s="34">
        <v>3.0</v>
      </c>
      <c r="D1492" s="34" t="s">
        <v>117</v>
      </c>
      <c r="E1492" s="34" t="s">
        <v>3902</v>
      </c>
      <c r="F1492" s="34" t="s">
        <v>3903</v>
      </c>
      <c r="G1492" s="34">
        <v>3190.0</v>
      </c>
      <c r="H1492" s="34" t="s">
        <v>126</v>
      </c>
      <c r="I1492" s="34" t="s">
        <v>18</v>
      </c>
      <c r="J1492" s="34" t="s">
        <v>15</v>
      </c>
      <c r="K1492" s="45">
        <v>114.0</v>
      </c>
      <c r="L1492" s="9"/>
      <c r="M1492" s="45">
        <v>114.0</v>
      </c>
    </row>
    <row r="1493">
      <c r="A1493" s="34" t="s">
        <v>70</v>
      </c>
      <c r="B1493" s="34" t="s">
        <v>116</v>
      </c>
      <c r="C1493" s="34">
        <v>3.0</v>
      </c>
      <c r="D1493" s="34" t="s">
        <v>117</v>
      </c>
      <c r="E1493" s="34" t="s">
        <v>3904</v>
      </c>
      <c r="F1493" s="34" t="s">
        <v>3905</v>
      </c>
      <c r="G1493" s="34">
        <v>3321.0</v>
      </c>
      <c r="H1493" s="34" t="s">
        <v>3906</v>
      </c>
      <c r="I1493" s="34" t="s">
        <v>18</v>
      </c>
      <c r="J1493" s="34" t="s">
        <v>14</v>
      </c>
      <c r="K1493" s="45">
        <v>105.0</v>
      </c>
      <c r="L1493" s="45">
        <v>84.0</v>
      </c>
      <c r="M1493" s="45">
        <v>94.1</v>
      </c>
    </row>
    <row r="1494">
      <c r="A1494" s="34" t="s">
        <v>70</v>
      </c>
      <c r="B1494" s="34" t="s">
        <v>116</v>
      </c>
      <c r="C1494" s="34">
        <v>3.0</v>
      </c>
      <c r="D1494" s="34" t="s">
        <v>117</v>
      </c>
      <c r="E1494" s="34" t="s">
        <v>3907</v>
      </c>
      <c r="F1494" s="34" t="s">
        <v>3083</v>
      </c>
      <c r="G1494" s="34">
        <v>3095.0</v>
      </c>
      <c r="H1494" s="34" t="s">
        <v>123</v>
      </c>
      <c r="I1494" s="34" t="s">
        <v>17</v>
      </c>
      <c r="J1494" s="34" t="s">
        <v>15</v>
      </c>
      <c r="K1494" s="45">
        <v>119.8</v>
      </c>
      <c r="L1494" s="9"/>
      <c r="M1494" s="45">
        <v>119.8</v>
      </c>
    </row>
    <row r="1495">
      <c r="A1495" s="34" t="s">
        <v>70</v>
      </c>
      <c r="B1495" s="34" t="s">
        <v>116</v>
      </c>
      <c r="C1495" s="34">
        <v>3.0</v>
      </c>
      <c r="D1495" s="34" t="s">
        <v>117</v>
      </c>
      <c r="E1495" s="34" t="s">
        <v>3908</v>
      </c>
      <c r="F1495" s="34" t="s">
        <v>3909</v>
      </c>
      <c r="G1495" s="34">
        <v>3185.0</v>
      </c>
      <c r="H1495" s="34" t="s">
        <v>120</v>
      </c>
      <c r="I1495" s="34" t="s">
        <v>17</v>
      </c>
      <c r="J1495" s="34" t="s">
        <v>15</v>
      </c>
      <c r="K1495" s="45">
        <v>107.2</v>
      </c>
      <c r="L1495" s="9"/>
      <c r="M1495" s="45">
        <v>107.2</v>
      </c>
    </row>
    <row r="1496">
      <c r="A1496" s="34" t="s">
        <v>70</v>
      </c>
      <c r="B1496" s="34" t="s">
        <v>116</v>
      </c>
      <c r="C1496" s="34">
        <v>3.0</v>
      </c>
      <c r="D1496" s="34" t="s">
        <v>117</v>
      </c>
      <c r="E1496" s="34" t="s">
        <v>3910</v>
      </c>
      <c r="F1496" s="34" t="s">
        <v>3911</v>
      </c>
      <c r="G1496" s="34">
        <v>3118.0</v>
      </c>
      <c r="H1496" s="34" t="s">
        <v>3912</v>
      </c>
      <c r="I1496" s="34" t="s">
        <v>18</v>
      </c>
      <c r="J1496" s="34" t="s">
        <v>13</v>
      </c>
      <c r="K1496" s="9"/>
      <c r="L1496" s="45">
        <v>93.2</v>
      </c>
      <c r="M1496" s="45">
        <v>93.2</v>
      </c>
    </row>
    <row r="1497">
      <c r="A1497" s="34" t="s">
        <v>70</v>
      </c>
      <c r="B1497" s="34" t="s">
        <v>116</v>
      </c>
      <c r="C1497" s="34">
        <v>3.0</v>
      </c>
      <c r="D1497" s="34" t="s">
        <v>117</v>
      </c>
      <c r="E1497" s="34" t="s">
        <v>3913</v>
      </c>
      <c r="F1497" s="34" t="s">
        <v>3914</v>
      </c>
      <c r="G1497" s="34">
        <v>3298.0</v>
      </c>
      <c r="H1497" s="34" t="s">
        <v>3915</v>
      </c>
      <c r="I1497" s="34" t="s">
        <v>18</v>
      </c>
      <c r="J1497" s="34" t="s">
        <v>13</v>
      </c>
      <c r="K1497" s="9"/>
      <c r="L1497" s="45">
        <v>74.7</v>
      </c>
      <c r="M1497" s="45">
        <v>74.7</v>
      </c>
    </row>
    <row r="1498">
      <c r="A1498" s="34" t="s">
        <v>70</v>
      </c>
      <c r="B1498" s="34" t="s">
        <v>116</v>
      </c>
      <c r="C1498" s="34">
        <v>3.0</v>
      </c>
      <c r="D1498" s="34" t="s">
        <v>117</v>
      </c>
      <c r="E1498" s="34" t="s">
        <v>3916</v>
      </c>
      <c r="F1498" s="34" t="s">
        <v>3917</v>
      </c>
      <c r="G1498" s="34">
        <v>3310.0</v>
      </c>
      <c r="H1498" s="34" t="s">
        <v>3918</v>
      </c>
      <c r="I1498" s="34" t="s">
        <v>17</v>
      </c>
      <c r="J1498" s="34" t="s">
        <v>13</v>
      </c>
      <c r="K1498" s="9"/>
      <c r="L1498" s="45">
        <v>94.7</v>
      </c>
      <c r="M1498" s="45">
        <v>94.7</v>
      </c>
    </row>
    <row r="1499">
      <c r="A1499" s="34" t="s">
        <v>70</v>
      </c>
      <c r="B1499" s="34" t="s">
        <v>129</v>
      </c>
      <c r="C1499" s="34">
        <v>4.0</v>
      </c>
      <c r="D1499" s="34" t="s">
        <v>130</v>
      </c>
      <c r="E1499" s="34" t="s">
        <v>3919</v>
      </c>
      <c r="F1499" s="34" t="s">
        <v>3920</v>
      </c>
      <c r="G1499" s="34">
        <v>4070.0</v>
      </c>
      <c r="H1499" s="34" t="s">
        <v>2123</v>
      </c>
      <c r="I1499" s="34" t="s">
        <v>18</v>
      </c>
      <c r="J1499" s="34" t="s">
        <v>15</v>
      </c>
      <c r="K1499" s="45">
        <v>117.3</v>
      </c>
      <c r="L1499" s="9"/>
      <c r="M1499" s="45">
        <v>117.3</v>
      </c>
    </row>
    <row r="1500">
      <c r="A1500" s="34" t="s">
        <v>70</v>
      </c>
      <c r="B1500" s="34" t="s">
        <v>129</v>
      </c>
      <c r="C1500" s="34">
        <v>5.0</v>
      </c>
      <c r="D1500" s="34" t="s">
        <v>2124</v>
      </c>
      <c r="E1500" s="34" t="s">
        <v>3921</v>
      </c>
      <c r="F1500" s="34" t="s">
        <v>1179</v>
      </c>
      <c r="G1500" s="34">
        <v>5179.0</v>
      </c>
      <c r="H1500" s="34" t="s">
        <v>3922</v>
      </c>
      <c r="I1500" s="34" t="s">
        <v>18</v>
      </c>
      <c r="J1500" s="34" t="s">
        <v>13</v>
      </c>
      <c r="K1500" s="9"/>
      <c r="L1500" s="45">
        <v>93.0</v>
      </c>
      <c r="M1500" s="45">
        <v>93.0</v>
      </c>
    </row>
    <row r="1501">
      <c r="A1501" s="34" t="s">
        <v>70</v>
      </c>
      <c r="B1501" s="34" t="s">
        <v>134</v>
      </c>
      <c r="C1501" s="34">
        <v>6.0</v>
      </c>
      <c r="D1501" s="34" t="s">
        <v>135</v>
      </c>
      <c r="E1501" s="34" t="s">
        <v>3923</v>
      </c>
      <c r="F1501" s="34" t="s">
        <v>1594</v>
      </c>
      <c r="G1501" s="34">
        <v>6029.0</v>
      </c>
      <c r="H1501" s="34" t="s">
        <v>158</v>
      </c>
      <c r="I1501" s="34" t="s">
        <v>18</v>
      </c>
      <c r="J1501" s="34" t="s">
        <v>15</v>
      </c>
      <c r="K1501" s="45">
        <v>115.5</v>
      </c>
      <c r="L1501" s="9"/>
      <c r="M1501" s="45">
        <v>115.5</v>
      </c>
    </row>
    <row r="1502">
      <c r="A1502" s="34" t="s">
        <v>70</v>
      </c>
      <c r="B1502" s="34" t="s">
        <v>134</v>
      </c>
      <c r="C1502" s="34">
        <v>6.0</v>
      </c>
      <c r="D1502" s="34" t="s">
        <v>135</v>
      </c>
      <c r="E1502" s="34" t="s">
        <v>3924</v>
      </c>
      <c r="F1502" s="34" t="s">
        <v>3925</v>
      </c>
      <c r="G1502" s="34">
        <v>6088.0</v>
      </c>
      <c r="H1502" s="34" t="s">
        <v>134</v>
      </c>
      <c r="I1502" s="34" t="s">
        <v>18</v>
      </c>
      <c r="J1502" s="34" t="s">
        <v>15</v>
      </c>
      <c r="K1502" s="45">
        <v>106.8</v>
      </c>
      <c r="L1502" s="9"/>
      <c r="M1502" s="45">
        <v>106.8</v>
      </c>
    </row>
    <row r="1503">
      <c r="A1503" s="34" t="s">
        <v>70</v>
      </c>
      <c r="B1503" s="34" t="s">
        <v>134</v>
      </c>
      <c r="C1503" s="34">
        <v>6.0</v>
      </c>
      <c r="D1503" s="34" t="s">
        <v>135</v>
      </c>
      <c r="E1503" s="34" t="s">
        <v>3926</v>
      </c>
      <c r="F1503" s="34" t="s">
        <v>3927</v>
      </c>
      <c r="G1503" s="34">
        <v>6088.0</v>
      </c>
      <c r="H1503" s="34" t="s">
        <v>134</v>
      </c>
      <c r="I1503" s="34" t="s">
        <v>18</v>
      </c>
      <c r="J1503" s="34" t="s">
        <v>15</v>
      </c>
      <c r="K1503" s="45">
        <v>117.4</v>
      </c>
      <c r="L1503" s="9"/>
      <c r="M1503" s="45">
        <v>117.4</v>
      </c>
    </row>
    <row r="1504">
      <c r="A1504" s="34" t="s">
        <v>70</v>
      </c>
      <c r="B1504" s="34" t="s">
        <v>134</v>
      </c>
      <c r="C1504" s="34">
        <v>6.0</v>
      </c>
      <c r="D1504" s="34" t="s">
        <v>135</v>
      </c>
      <c r="E1504" s="34" t="s">
        <v>3928</v>
      </c>
      <c r="F1504" s="34" t="s">
        <v>2778</v>
      </c>
      <c r="G1504" s="34">
        <v>6029.0</v>
      </c>
      <c r="H1504" s="34" t="s">
        <v>158</v>
      </c>
      <c r="I1504" s="34" t="s">
        <v>17</v>
      </c>
      <c r="J1504" s="34" t="s">
        <v>15</v>
      </c>
      <c r="K1504" s="45">
        <v>131.2</v>
      </c>
      <c r="L1504" s="9"/>
      <c r="M1504" s="45">
        <v>131.2</v>
      </c>
    </row>
    <row r="1505">
      <c r="A1505" s="34" t="s">
        <v>70</v>
      </c>
      <c r="B1505" s="34" t="s">
        <v>134</v>
      </c>
      <c r="C1505" s="34">
        <v>6.0</v>
      </c>
      <c r="D1505" s="34" t="s">
        <v>135</v>
      </c>
      <c r="E1505" s="34" t="s">
        <v>3929</v>
      </c>
      <c r="F1505" s="34" t="s">
        <v>897</v>
      </c>
      <c r="G1505" s="34">
        <v>6088.0</v>
      </c>
      <c r="H1505" s="34" t="s">
        <v>134</v>
      </c>
      <c r="I1505" s="34" t="s">
        <v>17</v>
      </c>
      <c r="J1505" s="34" t="s">
        <v>13</v>
      </c>
      <c r="K1505" s="9"/>
      <c r="L1505" s="45">
        <v>94.6</v>
      </c>
      <c r="M1505" s="45">
        <v>94.6</v>
      </c>
    </row>
    <row r="1506">
      <c r="A1506" s="34" t="s">
        <v>70</v>
      </c>
      <c r="B1506" s="34" t="s">
        <v>134</v>
      </c>
      <c r="C1506" s="34">
        <v>6.0</v>
      </c>
      <c r="D1506" s="34" t="s">
        <v>135</v>
      </c>
      <c r="E1506" s="34" t="s">
        <v>3930</v>
      </c>
      <c r="F1506" s="34" t="s">
        <v>3931</v>
      </c>
      <c r="G1506" s="34">
        <v>6088.0</v>
      </c>
      <c r="H1506" s="34" t="s">
        <v>134</v>
      </c>
      <c r="I1506" s="34" t="s">
        <v>17</v>
      </c>
      <c r="J1506" s="34" t="s">
        <v>15</v>
      </c>
      <c r="K1506" s="45">
        <v>143.8</v>
      </c>
      <c r="L1506" s="9"/>
      <c r="M1506" s="45">
        <v>143.8</v>
      </c>
    </row>
    <row r="1507">
      <c r="A1507" s="34" t="s">
        <v>70</v>
      </c>
      <c r="B1507" s="34" t="s">
        <v>134</v>
      </c>
      <c r="C1507" s="34">
        <v>6.0</v>
      </c>
      <c r="D1507" s="34" t="s">
        <v>135</v>
      </c>
      <c r="E1507" s="34" t="s">
        <v>3932</v>
      </c>
      <c r="F1507" s="34" t="s">
        <v>3933</v>
      </c>
      <c r="G1507" s="34">
        <v>6152.0</v>
      </c>
      <c r="H1507" s="34" t="s">
        <v>3934</v>
      </c>
      <c r="I1507" s="34" t="s">
        <v>18</v>
      </c>
      <c r="J1507" s="34" t="s">
        <v>15</v>
      </c>
      <c r="K1507" s="45">
        <v>145.6</v>
      </c>
      <c r="L1507" s="9"/>
      <c r="M1507" s="45">
        <v>145.6</v>
      </c>
    </row>
    <row r="1508">
      <c r="A1508" s="34" t="s">
        <v>70</v>
      </c>
      <c r="B1508" s="34" t="s">
        <v>134</v>
      </c>
      <c r="C1508" s="34">
        <v>6.0</v>
      </c>
      <c r="D1508" s="34" t="s">
        <v>135</v>
      </c>
      <c r="E1508" s="34" t="s">
        <v>3935</v>
      </c>
      <c r="F1508" s="34" t="s">
        <v>3936</v>
      </c>
      <c r="G1508" s="34">
        <v>6088.0</v>
      </c>
      <c r="H1508" s="34" t="s">
        <v>134</v>
      </c>
      <c r="I1508" s="34" t="s">
        <v>18</v>
      </c>
      <c r="J1508" s="34" t="s">
        <v>15</v>
      </c>
      <c r="K1508" s="45">
        <v>102.6</v>
      </c>
      <c r="L1508" s="9"/>
      <c r="M1508" s="45">
        <v>102.6</v>
      </c>
    </row>
    <row r="1509">
      <c r="A1509" s="34" t="s">
        <v>70</v>
      </c>
      <c r="B1509" s="34" t="s">
        <v>134</v>
      </c>
      <c r="C1509" s="34">
        <v>6.0</v>
      </c>
      <c r="D1509" s="34" t="s">
        <v>135</v>
      </c>
      <c r="E1509" s="34" t="s">
        <v>3937</v>
      </c>
      <c r="F1509" s="34" t="s">
        <v>3938</v>
      </c>
      <c r="G1509" s="34">
        <v>6069.0</v>
      </c>
      <c r="H1509" s="34" t="s">
        <v>144</v>
      </c>
      <c r="I1509" s="34" t="s">
        <v>18</v>
      </c>
      <c r="J1509" s="34" t="s">
        <v>15</v>
      </c>
      <c r="K1509" s="45">
        <v>119.8</v>
      </c>
      <c r="L1509" s="9"/>
      <c r="M1509" s="45">
        <v>119.8</v>
      </c>
    </row>
    <row r="1510">
      <c r="A1510" s="34" t="s">
        <v>70</v>
      </c>
      <c r="B1510" s="34" t="s">
        <v>161</v>
      </c>
      <c r="C1510" s="34">
        <v>7.0</v>
      </c>
      <c r="D1510" s="34" t="s">
        <v>162</v>
      </c>
      <c r="E1510" s="34" t="s">
        <v>3939</v>
      </c>
      <c r="F1510" s="34" t="s">
        <v>3940</v>
      </c>
      <c r="G1510" s="34">
        <v>7019.0</v>
      </c>
      <c r="H1510" s="34" t="s">
        <v>2164</v>
      </c>
      <c r="I1510" s="34" t="s">
        <v>18</v>
      </c>
      <c r="J1510" s="34" t="s">
        <v>14</v>
      </c>
      <c r="K1510" s="45">
        <v>113.4</v>
      </c>
      <c r="L1510" s="45">
        <v>89.3</v>
      </c>
      <c r="M1510" s="45">
        <v>101.0</v>
      </c>
    </row>
    <row r="1511">
      <c r="A1511" s="34" t="s">
        <v>70</v>
      </c>
      <c r="B1511" s="34" t="s">
        <v>161</v>
      </c>
      <c r="C1511" s="34">
        <v>7.0</v>
      </c>
      <c r="D1511" s="34" t="s">
        <v>162</v>
      </c>
      <c r="E1511" s="34" t="s">
        <v>3941</v>
      </c>
      <c r="F1511" s="34" t="s">
        <v>3942</v>
      </c>
      <c r="G1511" s="34">
        <v>7066.0</v>
      </c>
      <c r="H1511" s="34" t="s">
        <v>3943</v>
      </c>
      <c r="I1511" s="34" t="s">
        <v>18</v>
      </c>
      <c r="J1511" s="34" t="s">
        <v>13</v>
      </c>
      <c r="K1511" s="9"/>
      <c r="L1511" s="45">
        <v>85.6</v>
      </c>
      <c r="M1511" s="45">
        <v>85.6</v>
      </c>
    </row>
    <row r="1512">
      <c r="A1512" s="34" t="s">
        <v>70</v>
      </c>
      <c r="B1512" s="34" t="s">
        <v>161</v>
      </c>
      <c r="C1512" s="34">
        <v>7.0</v>
      </c>
      <c r="D1512" s="34" t="s">
        <v>162</v>
      </c>
      <c r="E1512" s="34" t="s">
        <v>3944</v>
      </c>
      <c r="F1512" s="34" t="s">
        <v>3945</v>
      </c>
      <c r="G1512" s="34">
        <v>7186.0</v>
      </c>
      <c r="H1512" s="34" t="s">
        <v>2178</v>
      </c>
      <c r="I1512" s="34" t="s">
        <v>17</v>
      </c>
      <c r="J1512" s="34" t="s">
        <v>15</v>
      </c>
      <c r="K1512" s="45">
        <v>104.8</v>
      </c>
      <c r="L1512" s="9"/>
      <c r="M1512" s="45">
        <v>104.8</v>
      </c>
    </row>
    <row r="1513">
      <c r="A1513" s="34" t="s">
        <v>70</v>
      </c>
      <c r="B1513" s="34" t="s">
        <v>161</v>
      </c>
      <c r="C1513" s="34">
        <v>7.0</v>
      </c>
      <c r="D1513" s="34" t="s">
        <v>162</v>
      </c>
      <c r="E1513" s="34" t="s">
        <v>3946</v>
      </c>
      <c r="F1513" s="34" t="s">
        <v>3947</v>
      </c>
      <c r="G1513" s="34">
        <v>7010.0</v>
      </c>
      <c r="H1513" s="34" t="s">
        <v>2161</v>
      </c>
      <c r="I1513" s="34" t="s">
        <v>17</v>
      </c>
      <c r="J1513" s="34" t="s">
        <v>13</v>
      </c>
      <c r="K1513" s="9"/>
      <c r="L1513" s="45">
        <v>94.6</v>
      </c>
      <c r="M1513" s="45">
        <v>94.6</v>
      </c>
    </row>
    <row r="1514">
      <c r="A1514" s="34" t="s">
        <v>70</v>
      </c>
      <c r="B1514" s="34" t="s">
        <v>161</v>
      </c>
      <c r="C1514" s="34">
        <v>7.0</v>
      </c>
      <c r="D1514" s="34" t="s">
        <v>162</v>
      </c>
      <c r="E1514" s="34" t="s">
        <v>3948</v>
      </c>
      <c r="F1514" s="34" t="s">
        <v>3949</v>
      </c>
      <c r="G1514" s="34">
        <v>7319.0</v>
      </c>
      <c r="H1514" s="34" t="s">
        <v>165</v>
      </c>
      <c r="I1514" s="34" t="s">
        <v>17</v>
      </c>
      <c r="J1514" s="34" t="s">
        <v>13</v>
      </c>
      <c r="K1514" s="9"/>
      <c r="L1514" s="45">
        <v>97.2</v>
      </c>
      <c r="M1514" s="45">
        <v>97.2</v>
      </c>
    </row>
    <row r="1515">
      <c r="A1515" s="34" t="s">
        <v>70</v>
      </c>
      <c r="B1515" s="34" t="s">
        <v>161</v>
      </c>
      <c r="C1515" s="34">
        <v>7.0</v>
      </c>
      <c r="D1515" s="34" t="s">
        <v>162</v>
      </c>
      <c r="E1515" s="34" t="s">
        <v>3950</v>
      </c>
      <c r="F1515" s="34" t="s">
        <v>3951</v>
      </c>
      <c r="G1515" s="34">
        <v>7019.0</v>
      </c>
      <c r="H1515" s="34" t="s">
        <v>2164</v>
      </c>
      <c r="I1515" s="34" t="s">
        <v>17</v>
      </c>
      <c r="J1515" s="34" t="s">
        <v>13</v>
      </c>
      <c r="K1515" s="9"/>
      <c r="L1515" s="45">
        <v>96.5</v>
      </c>
      <c r="M1515" s="45">
        <v>96.5</v>
      </c>
    </row>
    <row r="1516">
      <c r="A1516" s="34" t="s">
        <v>70</v>
      </c>
      <c r="B1516" s="34" t="s">
        <v>169</v>
      </c>
      <c r="C1516" s="34">
        <v>8.0</v>
      </c>
      <c r="D1516" s="34" t="s">
        <v>170</v>
      </c>
      <c r="E1516" s="34" t="s">
        <v>3952</v>
      </c>
      <c r="F1516" s="34" t="s">
        <v>3953</v>
      </c>
      <c r="G1516" s="34">
        <v>8105.0</v>
      </c>
      <c r="H1516" s="34" t="s">
        <v>173</v>
      </c>
      <c r="I1516" s="34" t="s">
        <v>18</v>
      </c>
      <c r="J1516" s="34" t="s">
        <v>15</v>
      </c>
      <c r="K1516" s="45">
        <v>86.3</v>
      </c>
      <c r="L1516" s="9"/>
      <c r="M1516" s="45">
        <v>86.3</v>
      </c>
    </row>
    <row r="1517">
      <c r="A1517" s="34" t="s">
        <v>70</v>
      </c>
      <c r="B1517" s="34" t="s">
        <v>169</v>
      </c>
      <c r="C1517" s="34">
        <v>8.0</v>
      </c>
      <c r="D1517" s="34" t="s">
        <v>170</v>
      </c>
      <c r="E1517" s="34" t="s">
        <v>3954</v>
      </c>
      <c r="F1517" s="34" t="s">
        <v>3955</v>
      </c>
      <c r="G1517" s="34">
        <v>8409.0</v>
      </c>
      <c r="H1517" s="34" t="s">
        <v>179</v>
      </c>
      <c r="I1517" s="34" t="s">
        <v>17</v>
      </c>
      <c r="J1517" s="34" t="s">
        <v>15</v>
      </c>
      <c r="K1517" s="45">
        <v>113.7</v>
      </c>
      <c r="L1517" s="9"/>
      <c r="M1517" s="45">
        <v>113.7</v>
      </c>
    </row>
    <row r="1518">
      <c r="A1518" s="34" t="s">
        <v>70</v>
      </c>
      <c r="B1518" s="34" t="s">
        <v>169</v>
      </c>
      <c r="C1518" s="34">
        <v>10.0</v>
      </c>
      <c r="D1518" s="34" t="s">
        <v>187</v>
      </c>
      <c r="E1518" s="34" t="s">
        <v>3956</v>
      </c>
      <c r="F1518" s="34" t="s">
        <v>3957</v>
      </c>
      <c r="G1518" s="34">
        <v>10323.0</v>
      </c>
      <c r="H1518" s="34" t="s">
        <v>2200</v>
      </c>
      <c r="I1518" s="34" t="s">
        <v>18</v>
      </c>
      <c r="J1518" s="34" t="s">
        <v>13</v>
      </c>
      <c r="K1518" s="9"/>
      <c r="L1518" s="45">
        <v>83.1</v>
      </c>
      <c r="M1518" s="45">
        <v>83.1</v>
      </c>
    </row>
    <row r="1519">
      <c r="A1519" s="34" t="s">
        <v>70</v>
      </c>
      <c r="B1519" s="34" t="s">
        <v>169</v>
      </c>
      <c r="C1519" s="34">
        <v>10.0</v>
      </c>
      <c r="D1519" s="34" t="s">
        <v>187</v>
      </c>
      <c r="E1519" s="34" t="s">
        <v>3958</v>
      </c>
      <c r="F1519" s="34" t="s">
        <v>3959</v>
      </c>
      <c r="G1519" s="34">
        <v>10387.0</v>
      </c>
      <c r="H1519" s="34" t="s">
        <v>193</v>
      </c>
      <c r="I1519" s="34" t="s">
        <v>18</v>
      </c>
      <c r="J1519" s="34" t="s">
        <v>14</v>
      </c>
      <c r="K1519" s="45">
        <v>96.7</v>
      </c>
      <c r="L1519" s="45">
        <v>74.8</v>
      </c>
      <c r="M1519" s="45">
        <v>91.0</v>
      </c>
    </row>
    <row r="1520">
      <c r="A1520" s="34" t="s">
        <v>70</v>
      </c>
      <c r="B1520" s="34" t="s">
        <v>169</v>
      </c>
      <c r="C1520" s="34">
        <v>10.0</v>
      </c>
      <c r="D1520" s="34" t="s">
        <v>187</v>
      </c>
      <c r="E1520" s="34" t="s">
        <v>3960</v>
      </c>
      <c r="F1520" s="34" t="s">
        <v>3961</v>
      </c>
      <c r="G1520" s="34">
        <v>10362.0</v>
      </c>
      <c r="H1520" s="34" t="s">
        <v>3962</v>
      </c>
      <c r="I1520" s="34" t="s">
        <v>18</v>
      </c>
      <c r="J1520" s="34" t="s">
        <v>13</v>
      </c>
      <c r="K1520" s="9"/>
      <c r="L1520" s="45">
        <v>82.6</v>
      </c>
      <c r="M1520" s="45">
        <v>82.6</v>
      </c>
    </row>
    <row r="1521">
      <c r="A1521" s="34" t="s">
        <v>70</v>
      </c>
      <c r="B1521" s="34" t="s">
        <v>483</v>
      </c>
      <c r="C1521" s="34">
        <v>11.0</v>
      </c>
      <c r="D1521" s="34" t="s">
        <v>2203</v>
      </c>
      <c r="E1521" s="34" t="s">
        <v>3963</v>
      </c>
      <c r="F1521" s="34" t="s">
        <v>3964</v>
      </c>
      <c r="G1521" s="34">
        <v>11069.0</v>
      </c>
      <c r="H1521" s="34" t="s">
        <v>3965</v>
      </c>
      <c r="I1521" s="34" t="s">
        <v>18</v>
      </c>
      <c r="J1521" s="34" t="s">
        <v>14</v>
      </c>
      <c r="K1521" s="45">
        <v>105.0</v>
      </c>
      <c r="L1521" s="45">
        <v>83.5</v>
      </c>
      <c r="M1521" s="45">
        <v>97.4</v>
      </c>
    </row>
    <row r="1522">
      <c r="A1522" s="34" t="s">
        <v>70</v>
      </c>
      <c r="B1522" s="34" t="s">
        <v>483</v>
      </c>
      <c r="C1522" s="34">
        <v>11.0</v>
      </c>
      <c r="D1522" s="34" t="s">
        <v>2203</v>
      </c>
      <c r="E1522" s="34" t="s">
        <v>3966</v>
      </c>
      <c r="F1522" s="34" t="s">
        <v>2405</v>
      </c>
      <c r="G1522" s="34">
        <v>11076.0</v>
      </c>
      <c r="H1522" s="34" t="s">
        <v>3967</v>
      </c>
      <c r="I1522" s="34" t="s">
        <v>18</v>
      </c>
      <c r="J1522" s="34" t="s">
        <v>14</v>
      </c>
      <c r="K1522" s="45">
        <v>107.7</v>
      </c>
      <c r="L1522" s="45">
        <v>88.5</v>
      </c>
      <c r="M1522" s="45">
        <v>101.7</v>
      </c>
    </row>
    <row r="1523">
      <c r="A1523" s="34" t="s">
        <v>70</v>
      </c>
      <c r="B1523" s="34" t="s">
        <v>483</v>
      </c>
      <c r="C1523" s="34">
        <v>11.0</v>
      </c>
      <c r="D1523" s="34" t="s">
        <v>2203</v>
      </c>
      <c r="E1523" s="34" t="s">
        <v>3968</v>
      </c>
      <c r="F1523" s="34" t="s">
        <v>3969</v>
      </c>
      <c r="G1523" s="34">
        <v>11304.0</v>
      </c>
      <c r="H1523" s="34" t="s">
        <v>3970</v>
      </c>
      <c r="I1523" s="34" t="s">
        <v>18</v>
      </c>
      <c r="J1523" s="34" t="s">
        <v>13</v>
      </c>
      <c r="K1523" s="9"/>
      <c r="L1523" s="45">
        <v>87.9</v>
      </c>
      <c r="M1523" s="45">
        <v>87.9</v>
      </c>
    </row>
    <row r="1524">
      <c r="A1524" s="34" t="s">
        <v>70</v>
      </c>
      <c r="B1524" s="34" t="s">
        <v>483</v>
      </c>
      <c r="C1524" s="34">
        <v>11.0</v>
      </c>
      <c r="D1524" s="34" t="s">
        <v>2203</v>
      </c>
      <c r="E1524" s="34" t="s">
        <v>3971</v>
      </c>
      <c r="F1524" s="34" t="s">
        <v>834</v>
      </c>
      <c r="G1524" s="34">
        <v>11069.0</v>
      </c>
      <c r="H1524" s="34" t="s">
        <v>3965</v>
      </c>
      <c r="I1524" s="34" t="s">
        <v>17</v>
      </c>
      <c r="J1524" s="34" t="s">
        <v>14</v>
      </c>
      <c r="K1524" s="45">
        <v>113.4</v>
      </c>
      <c r="L1524" s="45">
        <v>94.9</v>
      </c>
      <c r="M1524" s="45">
        <v>106.4</v>
      </c>
    </row>
    <row r="1525">
      <c r="A1525" s="34" t="s">
        <v>70</v>
      </c>
      <c r="B1525" s="34" t="s">
        <v>483</v>
      </c>
      <c r="C1525" s="34">
        <v>11.0</v>
      </c>
      <c r="D1525" s="34" t="s">
        <v>2203</v>
      </c>
      <c r="E1525" s="34" t="s">
        <v>3972</v>
      </c>
      <c r="F1525" s="34" t="s">
        <v>3973</v>
      </c>
      <c r="G1525" s="34">
        <v>11262.0</v>
      </c>
      <c r="H1525" s="34" t="s">
        <v>3974</v>
      </c>
      <c r="I1525" s="34" t="s">
        <v>17</v>
      </c>
      <c r="J1525" s="34" t="s">
        <v>14</v>
      </c>
      <c r="K1525" s="45">
        <v>118.9</v>
      </c>
      <c r="L1525" s="45">
        <v>95.3</v>
      </c>
      <c r="M1525" s="45">
        <v>111.1</v>
      </c>
    </row>
    <row r="1526">
      <c r="A1526" s="34" t="s">
        <v>70</v>
      </c>
      <c r="B1526" s="34" t="s">
        <v>483</v>
      </c>
      <c r="C1526" s="34">
        <v>11.0</v>
      </c>
      <c r="D1526" s="34" t="s">
        <v>2203</v>
      </c>
      <c r="E1526" s="34" t="s">
        <v>3975</v>
      </c>
      <c r="F1526" s="34" t="s">
        <v>3976</v>
      </c>
      <c r="G1526" s="34">
        <v>11069.0</v>
      </c>
      <c r="H1526" s="34" t="s">
        <v>3965</v>
      </c>
      <c r="I1526" s="34" t="s">
        <v>18</v>
      </c>
      <c r="J1526" s="34" t="s">
        <v>13</v>
      </c>
      <c r="K1526" s="9"/>
      <c r="L1526" s="45">
        <v>79.2</v>
      </c>
      <c r="M1526" s="45">
        <v>79.2</v>
      </c>
    </row>
    <row r="1527">
      <c r="A1527" s="34" t="s">
        <v>70</v>
      </c>
      <c r="B1527" s="34" t="s">
        <v>483</v>
      </c>
      <c r="C1527" s="34">
        <v>11.0</v>
      </c>
      <c r="D1527" s="34" t="s">
        <v>2203</v>
      </c>
      <c r="E1527" s="34" t="s">
        <v>3977</v>
      </c>
      <c r="F1527" s="34" t="s">
        <v>3978</v>
      </c>
      <c r="G1527" s="34">
        <v>11203.0</v>
      </c>
      <c r="H1527" s="34" t="s">
        <v>3979</v>
      </c>
      <c r="I1527" s="34" t="s">
        <v>18</v>
      </c>
      <c r="J1527" s="34" t="s">
        <v>14</v>
      </c>
      <c r="K1527" s="45">
        <v>109.0</v>
      </c>
      <c r="L1527" s="45">
        <v>81.0</v>
      </c>
      <c r="M1527" s="45">
        <v>99.1</v>
      </c>
    </row>
    <row r="1528">
      <c r="A1528" s="34" t="s">
        <v>70</v>
      </c>
      <c r="B1528" s="34" t="s">
        <v>182</v>
      </c>
      <c r="C1528" s="34">
        <v>12.0</v>
      </c>
      <c r="D1528" s="34" t="s">
        <v>200</v>
      </c>
      <c r="E1528" s="34" t="s">
        <v>3980</v>
      </c>
      <c r="F1528" s="34" t="s">
        <v>3981</v>
      </c>
      <c r="G1528" s="34">
        <v>12089.0</v>
      </c>
      <c r="H1528" s="34" t="s">
        <v>3982</v>
      </c>
      <c r="I1528" s="34" t="s">
        <v>18</v>
      </c>
      <c r="J1528" s="34" t="s">
        <v>14</v>
      </c>
      <c r="K1528" s="45">
        <v>109.7</v>
      </c>
      <c r="L1528" s="45">
        <v>90.9</v>
      </c>
      <c r="M1528" s="45">
        <v>104.6</v>
      </c>
    </row>
    <row r="1529">
      <c r="A1529" s="34" t="s">
        <v>70</v>
      </c>
      <c r="B1529" s="34" t="s">
        <v>129</v>
      </c>
      <c r="C1529" s="34">
        <v>13.0</v>
      </c>
      <c r="D1529" s="34" t="s">
        <v>219</v>
      </c>
      <c r="E1529" s="34" t="s">
        <v>3983</v>
      </c>
      <c r="F1529" s="34" t="s">
        <v>3984</v>
      </c>
      <c r="G1529" s="34">
        <v>13001.0</v>
      </c>
      <c r="H1529" s="34" t="s">
        <v>242</v>
      </c>
      <c r="I1529" s="34" t="s">
        <v>18</v>
      </c>
      <c r="J1529" s="34" t="s">
        <v>14</v>
      </c>
      <c r="K1529" s="45">
        <v>128.6</v>
      </c>
      <c r="L1529" s="45">
        <v>92.6</v>
      </c>
      <c r="M1529" s="45">
        <v>119.2</v>
      </c>
    </row>
    <row r="1530">
      <c r="A1530" s="34" t="s">
        <v>70</v>
      </c>
      <c r="B1530" s="34" t="s">
        <v>129</v>
      </c>
      <c r="C1530" s="34">
        <v>13.0</v>
      </c>
      <c r="D1530" s="34" t="s">
        <v>219</v>
      </c>
      <c r="E1530" s="34" t="s">
        <v>3985</v>
      </c>
      <c r="F1530" s="34" t="s">
        <v>3986</v>
      </c>
      <c r="G1530" s="34">
        <v>13004.0</v>
      </c>
      <c r="H1530" s="34" t="s">
        <v>3987</v>
      </c>
      <c r="I1530" s="34" t="s">
        <v>18</v>
      </c>
      <c r="J1530" s="34" t="s">
        <v>14</v>
      </c>
      <c r="K1530" s="45">
        <v>104.1</v>
      </c>
      <c r="L1530" s="45">
        <v>79.9</v>
      </c>
      <c r="M1530" s="45">
        <v>94.2</v>
      </c>
    </row>
    <row r="1531">
      <c r="A1531" s="34" t="s">
        <v>70</v>
      </c>
      <c r="B1531" s="34" t="s">
        <v>129</v>
      </c>
      <c r="C1531" s="34">
        <v>13.0</v>
      </c>
      <c r="D1531" s="34" t="s">
        <v>219</v>
      </c>
      <c r="E1531" s="34" t="s">
        <v>3988</v>
      </c>
      <c r="F1531" s="34" t="s">
        <v>3989</v>
      </c>
      <c r="G1531" s="34">
        <v>13004.0</v>
      </c>
      <c r="H1531" s="34" t="s">
        <v>3987</v>
      </c>
      <c r="I1531" s="34" t="s">
        <v>18</v>
      </c>
      <c r="J1531" s="34" t="s">
        <v>15</v>
      </c>
      <c r="K1531" s="45">
        <v>108.4</v>
      </c>
      <c r="L1531" s="9"/>
      <c r="M1531" s="45">
        <v>108.4</v>
      </c>
    </row>
    <row r="1532">
      <c r="A1532" s="34" t="s">
        <v>70</v>
      </c>
      <c r="B1532" s="34" t="s">
        <v>129</v>
      </c>
      <c r="C1532" s="34">
        <v>13.0</v>
      </c>
      <c r="D1532" s="34" t="s">
        <v>219</v>
      </c>
      <c r="E1532" s="34" t="s">
        <v>3990</v>
      </c>
      <c r="F1532" s="34" t="s">
        <v>3991</v>
      </c>
      <c r="G1532" s="34">
        <v>13210.0</v>
      </c>
      <c r="H1532" s="34" t="s">
        <v>231</v>
      </c>
      <c r="I1532" s="34" t="s">
        <v>18</v>
      </c>
      <c r="J1532" s="34" t="s">
        <v>15</v>
      </c>
      <c r="K1532" s="45">
        <v>90.7</v>
      </c>
      <c r="L1532" s="9"/>
      <c r="M1532" s="45">
        <v>90.7</v>
      </c>
    </row>
    <row r="1533">
      <c r="A1533" s="34" t="s">
        <v>70</v>
      </c>
      <c r="B1533" s="34" t="s">
        <v>129</v>
      </c>
      <c r="C1533" s="34">
        <v>13.0</v>
      </c>
      <c r="D1533" s="34" t="s">
        <v>219</v>
      </c>
      <c r="E1533" s="34" t="s">
        <v>3992</v>
      </c>
      <c r="F1533" s="34" t="s">
        <v>3993</v>
      </c>
      <c r="G1533" s="34">
        <v>13201.0</v>
      </c>
      <c r="H1533" s="34" t="s">
        <v>3994</v>
      </c>
      <c r="I1533" s="34" t="s">
        <v>18</v>
      </c>
      <c r="J1533" s="34" t="s">
        <v>15</v>
      </c>
      <c r="K1533" s="45">
        <v>104.8</v>
      </c>
      <c r="L1533" s="9"/>
      <c r="M1533" s="45">
        <v>104.8</v>
      </c>
    </row>
    <row r="1534">
      <c r="A1534" s="34" t="s">
        <v>70</v>
      </c>
      <c r="B1534" s="34" t="s">
        <v>129</v>
      </c>
      <c r="C1534" s="34">
        <v>13.0</v>
      </c>
      <c r="D1534" s="34" t="s">
        <v>219</v>
      </c>
      <c r="E1534" s="34" t="s">
        <v>3995</v>
      </c>
      <c r="F1534" s="34" t="s">
        <v>2333</v>
      </c>
      <c r="G1534" s="34">
        <v>13215.0</v>
      </c>
      <c r="H1534" s="34" t="s">
        <v>2272</v>
      </c>
      <c r="I1534" s="34" t="s">
        <v>18</v>
      </c>
      <c r="J1534" s="34" t="s">
        <v>15</v>
      </c>
      <c r="K1534" s="45">
        <v>72.6</v>
      </c>
      <c r="L1534" s="9"/>
      <c r="M1534" s="45">
        <v>72.6</v>
      </c>
    </row>
    <row r="1535">
      <c r="A1535" s="34" t="s">
        <v>70</v>
      </c>
      <c r="B1535" s="34" t="s">
        <v>129</v>
      </c>
      <c r="C1535" s="34">
        <v>13.0</v>
      </c>
      <c r="D1535" s="34" t="s">
        <v>219</v>
      </c>
      <c r="E1535" s="34" t="s">
        <v>3996</v>
      </c>
      <c r="F1535" s="34" t="s">
        <v>3997</v>
      </c>
      <c r="G1535" s="34">
        <v>13214.0</v>
      </c>
      <c r="H1535" s="34" t="s">
        <v>3998</v>
      </c>
      <c r="I1535" s="34" t="s">
        <v>18</v>
      </c>
      <c r="J1535" s="34" t="s">
        <v>13</v>
      </c>
      <c r="K1535" s="9"/>
      <c r="L1535" s="45">
        <v>63.1</v>
      </c>
      <c r="M1535" s="45">
        <v>63.1</v>
      </c>
    </row>
    <row r="1536">
      <c r="A1536" s="34" t="s">
        <v>70</v>
      </c>
      <c r="B1536" s="34" t="s">
        <v>129</v>
      </c>
      <c r="C1536" s="34">
        <v>13.0</v>
      </c>
      <c r="D1536" s="34" t="s">
        <v>219</v>
      </c>
      <c r="E1536" s="34" t="s">
        <v>3999</v>
      </c>
      <c r="F1536" s="34" t="s">
        <v>4000</v>
      </c>
      <c r="G1536" s="34">
        <v>13208.0</v>
      </c>
      <c r="H1536" s="34" t="s">
        <v>2239</v>
      </c>
      <c r="I1536" s="34" t="s">
        <v>18</v>
      </c>
      <c r="J1536" s="34" t="s">
        <v>13</v>
      </c>
      <c r="K1536" s="9"/>
      <c r="L1536" s="45">
        <v>72.5</v>
      </c>
      <c r="M1536" s="45">
        <v>72.5</v>
      </c>
    </row>
    <row r="1537">
      <c r="A1537" s="34" t="s">
        <v>70</v>
      </c>
      <c r="B1537" s="34" t="s">
        <v>129</v>
      </c>
      <c r="C1537" s="34">
        <v>13.0</v>
      </c>
      <c r="D1537" s="34" t="s">
        <v>219</v>
      </c>
      <c r="E1537" s="34" t="s">
        <v>4001</v>
      </c>
      <c r="F1537" s="34" t="s">
        <v>4002</v>
      </c>
      <c r="G1537" s="34">
        <v>13077.0</v>
      </c>
      <c r="H1537" s="34" t="s">
        <v>2231</v>
      </c>
      <c r="I1537" s="34" t="s">
        <v>18</v>
      </c>
      <c r="J1537" s="34" t="s">
        <v>13</v>
      </c>
      <c r="K1537" s="9"/>
      <c r="L1537" s="45">
        <v>79.3</v>
      </c>
      <c r="M1537" s="45">
        <v>79.3</v>
      </c>
    </row>
    <row r="1538">
      <c r="A1538" s="34" t="s">
        <v>70</v>
      </c>
      <c r="B1538" s="34" t="s">
        <v>129</v>
      </c>
      <c r="C1538" s="34">
        <v>13.0</v>
      </c>
      <c r="D1538" s="34" t="s">
        <v>219</v>
      </c>
      <c r="E1538" s="34" t="s">
        <v>4003</v>
      </c>
      <c r="F1538" s="34" t="s">
        <v>4004</v>
      </c>
      <c r="G1538" s="34">
        <v>13108.0</v>
      </c>
      <c r="H1538" s="34" t="s">
        <v>4005</v>
      </c>
      <c r="I1538" s="34" t="s">
        <v>18</v>
      </c>
      <c r="J1538" s="34" t="s">
        <v>15</v>
      </c>
      <c r="K1538" s="45">
        <v>99.2</v>
      </c>
      <c r="L1538" s="9"/>
      <c r="M1538" s="45">
        <v>99.2</v>
      </c>
    </row>
    <row r="1539">
      <c r="A1539" s="34" t="s">
        <v>70</v>
      </c>
      <c r="B1539" s="34" t="s">
        <v>129</v>
      </c>
      <c r="C1539" s="34">
        <v>13.0</v>
      </c>
      <c r="D1539" s="34" t="s">
        <v>219</v>
      </c>
      <c r="E1539" s="34" t="s">
        <v>4006</v>
      </c>
      <c r="F1539" s="34" t="s">
        <v>4007</v>
      </c>
      <c r="G1539" s="34">
        <v>13208.0</v>
      </c>
      <c r="H1539" s="34" t="s">
        <v>2239</v>
      </c>
      <c r="I1539" s="34" t="s">
        <v>17</v>
      </c>
      <c r="J1539" s="34" t="s">
        <v>15</v>
      </c>
      <c r="K1539" s="45">
        <v>151.5</v>
      </c>
      <c r="L1539" s="9"/>
      <c r="M1539" s="45">
        <v>151.5</v>
      </c>
    </row>
    <row r="1540">
      <c r="A1540" s="34" t="s">
        <v>70</v>
      </c>
      <c r="B1540" s="34" t="s">
        <v>129</v>
      </c>
      <c r="C1540" s="34">
        <v>13.0</v>
      </c>
      <c r="D1540" s="34" t="s">
        <v>219</v>
      </c>
      <c r="E1540" s="34" t="s">
        <v>4008</v>
      </c>
      <c r="F1540" s="34" t="s">
        <v>4009</v>
      </c>
      <c r="G1540" s="34">
        <v>13204.0</v>
      </c>
      <c r="H1540" s="34" t="s">
        <v>4010</v>
      </c>
      <c r="I1540" s="34" t="s">
        <v>17</v>
      </c>
      <c r="J1540" s="34" t="s">
        <v>15</v>
      </c>
      <c r="K1540" s="45">
        <v>138.0</v>
      </c>
      <c r="L1540" s="9"/>
      <c r="M1540" s="45">
        <v>138.0</v>
      </c>
    </row>
    <row r="1541">
      <c r="A1541" s="34" t="s">
        <v>70</v>
      </c>
      <c r="B1541" s="34" t="s">
        <v>129</v>
      </c>
      <c r="C1541" s="34">
        <v>13.0</v>
      </c>
      <c r="D1541" s="34" t="s">
        <v>219</v>
      </c>
      <c r="E1541" s="34" t="s">
        <v>4011</v>
      </c>
      <c r="F1541" s="34" t="s">
        <v>4012</v>
      </c>
      <c r="G1541" s="34">
        <v>13210.0</v>
      </c>
      <c r="H1541" s="34" t="s">
        <v>231</v>
      </c>
      <c r="I1541" s="34" t="s">
        <v>17</v>
      </c>
      <c r="J1541" s="34" t="s">
        <v>13</v>
      </c>
      <c r="K1541" s="9"/>
      <c r="L1541" s="45">
        <v>92.8</v>
      </c>
      <c r="M1541" s="45">
        <v>92.8</v>
      </c>
    </row>
    <row r="1542">
      <c r="A1542" s="34" t="s">
        <v>70</v>
      </c>
      <c r="B1542" s="34" t="s">
        <v>129</v>
      </c>
      <c r="C1542" s="34">
        <v>13.0</v>
      </c>
      <c r="D1542" s="34" t="s">
        <v>219</v>
      </c>
      <c r="E1542" s="34" t="s">
        <v>4013</v>
      </c>
      <c r="F1542" s="34" t="s">
        <v>4014</v>
      </c>
      <c r="G1542" s="34">
        <v>13216.0</v>
      </c>
      <c r="H1542" s="34" t="s">
        <v>2224</v>
      </c>
      <c r="I1542" s="34" t="s">
        <v>17</v>
      </c>
      <c r="J1542" s="34" t="s">
        <v>13</v>
      </c>
      <c r="K1542" s="9"/>
      <c r="L1542" s="45">
        <v>73.0</v>
      </c>
      <c r="M1542" s="45">
        <v>73.0</v>
      </c>
    </row>
    <row r="1543">
      <c r="A1543" s="34" t="s">
        <v>70</v>
      </c>
      <c r="B1543" s="34" t="s">
        <v>129</v>
      </c>
      <c r="C1543" s="34">
        <v>13.0</v>
      </c>
      <c r="D1543" s="34" t="s">
        <v>219</v>
      </c>
      <c r="E1543" s="34" t="s">
        <v>4015</v>
      </c>
      <c r="F1543" s="34" t="s">
        <v>4016</v>
      </c>
      <c r="G1543" s="34">
        <v>13211.0</v>
      </c>
      <c r="H1543" s="34" t="s">
        <v>259</v>
      </c>
      <c r="I1543" s="34" t="s">
        <v>17</v>
      </c>
      <c r="J1543" s="34" t="s">
        <v>14</v>
      </c>
      <c r="K1543" s="45">
        <v>109.1</v>
      </c>
      <c r="L1543" s="45">
        <v>94.2</v>
      </c>
      <c r="M1543" s="45">
        <v>96.8</v>
      </c>
    </row>
    <row r="1544">
      <c r="A1544" s="34" t="s">
        <v>70</v>
      </c>
      <c r="B1544" s="34" t="s">
        <v>129</v>
      </c>
      <c r="C1544" s="34">
        <v>13.0</v>
      </c>
      <c r="D1544" s="34" t="s">
        <v>219</v>
      </c>
      <c r="E1544" s="34" t="s">
        <v>4017</v>
      </c>
      <c r="F1544" s="34" t="s">
        <v>2869</v>
      </c>
      <c r="G1544" s="34">
        <v>13205.0</v>
      </c>
      <c r="H1544" s="34" t="s">
        <v>228</v>
      </c>
      <c r="I1544" s="34" t="s">
        <v>17</v>
      </c>
      <c r="J1544" s="34" t="s">
        <v>13</v>
      </c>
      <c r="K1544" s="9"/>
      <c r="L1544" s="45">
        <v>70.1</v>
      </c>
      <c r="M1544" s="45">
        <v>70.1</v>
      </c>
    </row>
    <row r="1545">
      <c r="A1545" s="34" t="s">
        <v>70</v>
      </c>
      <c r="B1545" s="34" t="s">
        <v>129</v>
      </c>
      <c r="C1545" s="34">
        <v>13.0</v>
      </c>
      <c r="D1545" s="34" t="s">
        <v>219</v>
      </c>
      <c r="E1545" s="34" t="s">
        <v>4018</v>
      </c>
      <c r="F1545" s="34" t="s">
        <v>4019</v>
      </c>
      <c r="G1545" s="34">
        <v>13005.0</v>
      </c>
      <c r="H1545" s="34" t="s">
        <v>4020</v>
      </c>
      <c r="I1545" s="34" t="s">
        <v>18</v>
      </c>
      <c r="J1545" s="34" t="s">
        <v>15</v>
      </c>
      <c r="K1545" s="45">
        <v>118.2</v>
      </c>
      <c r="L1545" s="9"/>
      <c r="M1545" s="45">
        <v>118.2</v>
      </c>
    </row>
    <row r="1546">
      <c r="A1546" s="34" t="s">
        <v>70</v>
      </c>
      <c r="B1546" s="34" t="s">
        <v>129</v>
      </c>
      <c r="C1546" s="34">
        <v>13.0</v>
      </c>
      <c r="D1546" s="34" t="s">
        <v>219</v>
      </c>
      <c r="E1546" s="34" t="s">
        <v>4021</v>
      </c>
      <c r="F1546" s="34" t="s">
        <v>4022</v>
      </c>
      <c r="G1546" s="34">
        <v>13206.0</v>
      </c>
      <c r="H1546" s="34" t="s">
        <v>222</v>
      </c>
      <c r="I1546" s="34" t="s">
        <v>17</v>
      </c>
      <c r="J1546" s="34" t="s">
        <v>13</v>
      </c>
      <c r="K1546" s="9"/>
      <c r="L1546" s="45">
        <v>88.9</v>
      </c>
      <c r="M1546" s="45">
        <v>88.9</v>
      </c>
    </row>
    <row r="1547">
      <c r="A1547" s="34" t="s">
        <v>70</v>
      </c>
      <c r="B1547" s="34" t="s">
        <v>129</v>
      </c>
      <c r="C1547" s="34">
        <v>13.0</v>
      </c>
      <c r="D1547" s="34" t="s">
        <v>219</v>
      </c>
      <c r="E1547" s="34" t="s">
        <v>4023</v>
      </c>
      <c r="F1547" s="34" t="s">
        <v>4024</v>
      </c>
      <c r="G1547" s="34">
        <v>13041.0</v>
      </c>
      <c r="H1547" s="34" t="s">
        <v>4025</v>
      </c>
      <c r="I1547" s="34" t="s">
        <v>18</v>
      </c>
      <c r="J1547" s="34" t="s">
        <v>14</v>
      </c>
      <c r="K1547" s="45">
        <v>125.5</v>
      </c>
      <c r="L1547" s="45">
        <v>82.6</v>
      </c>
      <c r="M1547" s="45">
        <v>119.3</v>
      </c>
    </row>
    <row r="1548">
      <c r="A1548" s="34" t="s">
        <v>70</v>
      </c>
      <c r="B1548" s="34" t="s">
        <v>129</v>
      </c>
      <c r="C1548" s="34">
        <v>13.0</v>
      </c>
      <c r="D1548" s="34" t="s">
        <v>219</v>
      </c>
      <c r="E1548" s="34" t="s">
        <v>4026</v>
      </c>
      <c r="F1548" s="34" t="s">
        <v>4027</v>
      </c>
      <c r="G1548" s="34">
        <v>13202.0</v>
      </c>
      <c r="H1548" s="34" t="s">
        <v>4028</v>
      </c>
      <c r="I1548" s="34" t="s">
        <v>17</v>
      </c>
      <c r="J1548" s="34" t="s">
        <v>15</v>
      </c>
      <c r="K1548" s="45">
        <v>70.8</v>
      </c>
      <c r="L1548" s="9"/>
      <c r="M1548" s="45">
        <v>70.8</v>
      </c>
    </row>
    <row r="1549">
      <c r="A1549" s="34" t="s">
        <v>70</v>
      </c>
      <c r="B1549" s="34" t="s">
        <v>129</v>
      </c>
      <c r="C1549" s="34">
        <v>13.0</v>
      </c>
      <c r="D1549" s="34" t="s">
        <v>219</v>
      </c>
      <c r="E1549" s="34" t="s">
        <v>4029</v>
      </c>
      <c r="F1549" s="34" t="s">
        <v>2316</v>
      </c>
      <c r="G1549" s="34">
        <v>13117.0</v>
      </c>
      <c r="H1549" s="34" t="s">
        <v>2267</v>
      </c>
      <c r="I1549" s="34" t="s">
        <v>18</v>
      </c>
      <c r="J1549" s="34" t="s">
        <v>14</v>
      </c>
      <c r="K1549" s="45">
        <v>108.5</v>
      </c>
      <c r="L1549" s="45">
        <v>75.3</v>
      </c>
      <c r="M1549" s="45">
        <v>104.8</v>
      </c>
    </row>
    <row r="1550">
      <c r="A1550" s="34" t="s">
        <v>70</v>
      </c>
      <c r="B1550" s="34" t="s">
        <v>129</v>
      </c>
      <c r="C1550" s="34">
        <v>13.0</v>
      </c>
      <c r="D1550" s="34" t="s">
        <v>219</v>
      </c>
      <c r="E1550" s="34" t="s">
        <v>4030</v>
      </c>
      <c r="F1550" s="34" t="s">
        <v>4031</v>
      </c>
      <c r="G1550" s="34">
        <v>13001.0</v>
      </c>
      <c r="H1550" s="34" t="s">
        <v>242</v>
      </c>
      <c r="I1550" s="34" t="s">
        <v>17</v>
      </c>
      <c r="J1550" s="34" t="s">
        <v>14</v>
      </c>
      <c r="K1550" s="45">
        <v>117.6</v>
      </c>
      <c r="L1550" s="45">
        <v>104.3</v>
      </c>
      <c r="M1550" s="45">
        <v>108.7</v>
      </c>
    </row>
    <row r="1551">
      <c r="A1551" s="34" t="s">
        <v>70</v>
      </c>
      <c r="B1551" s="34" t="s">
        <v>129</v>
      </c>
      <c r="C1551" s="34">
        <v>13.0</v>
      </c>
      <c r="D1551" s="34" t="s">
        <v>219</v>
      </c>
      <c r="E1551" s="34" t="s">
        <v>4032</v>
      </c>
      <c r="F1551" s="34" t="s">
        <v>4033</v>
      </c>
      <c r="G1551" s="34">
        <v>13206.0</v>
      </c>
      <c r="H1551" s="34" t="s">
        <v>222</v>
      </c>
      <c r="I1551" s="34" t="s">
        <v>17</v>
      </c>
      <c r="J1551" s="34" t="s">
        <v>14</v>
      </c>
      <c r="K1551" s="45">
        <v>96.4</v>
      </c>
      <c r="L1551" s="45">
        <v>94.7</v>
      </c>
      <c r="M1551" s="45">
        <v>95.0</v>
      </c>
    </row>
    <row r="1552">
      <c r="A1552" s="34" t="s">
        <v>70</v>
      </c>
      <c r="B1552" s="34" t="s">
        <v>129</v>
      </c>
      <c r="C1552" s="34">
        <v>13.0</v>
      </c>
      <c r="D1552" s="34" t="s">
        <v>219</v>
      </c>
      <c r="E1552" s="34" t="s">
        <v>4034</v>
      </c>
      <c r="F1552" s="34" t="s">
        <v>4035</v>
      </c>
      <c r="G1552" s="34">
        <v>13212.0</v>
      </c>
      <c r="H1552" s="34" t="s">
        <v>2250</v>
      </c>
      <c r="I1552" s="34" t="s">
        <v>17</v>
      </c>
      <c r="J1552" s="34" t="s">
        <v>14</v>
      </c>
      <c r="K1552" s="45">
        <v>104.5</v>
      </c>
      <c r="L1552" s="45">
        <v>95.2</v>
      </c>
      <c r="M1552" s="45">
        <v>96.0</v>
      </c>
    </row>
    <row r="1553">
      <c r="A1553" s="34" t="s">
        <v>70</v>
      </c>
      <c r="B1553" s="34" t="s">
        <v>129</v>
      </c>
      <c r="C1553" s="34">
        <v>13.0</v>
      </c>
      <c r="D1553" s="34" t="s">
        <v>219</v>
      </c>
      <c r="E1553" s="34" t="s">
        <v>4036</v>
      </c>
      <c r="F1553" s="34" t="s">
        <v>4037</v>
      </c>
      <c r="G1553" s="34">
        <v>13097.0</v>
      </c>
      <c r="H1553" s="34" t="s">
        <v>4038</v>
      </c>
      <c r="I1553" s="34" t="s">
        <v>17</v>
      </c>
      <c r="J1553" s="34" t="s">
        <v>15</v>
      </c>
      <c r="K1553" s="45">
        <v>117.2</v>
      </c>
      <c r="L1553" s="9"/>
      <c r="M1553" s="45">
        <v>117.2</v>
      </c>
    </row>
    <row r="1554">
      <c r="A1554" s="34" t="s">
        <v>70</v>
      </c>
      <c r="B1554" s="34" t="s">
        <v>269</v>
      </c>
      <c r="C1554" s="34">
        <v>14.0</v>
      </c>
      <c r="D1554" s="34" t="s">
        <v>270</v>
      </c>
      <c r="E1554" s="34" t="s">
        <v>4039</v>
      </c>
      <c r="F1554" s="34" t="s">
        <v>1132</v>
      </c>
      <c r="G1554" s="34">
        <v>14118.0</v>
      </c>
      <c r="H1554" s="34" t="s">
        <v>273</v>
      </c>
      <c r="I1554" s="34" t="s">
        <v>18</v>
      </c>
      <c r="J1554" s="34" t="s">
        <v>15</v>
      </c>
      <c r="K1554" s="45">
        <v>104.7</v>
      </c>
      <c r="L1554" s="9"/>
      <c r="M1554" s="45">
        <v>104.7</v>
      </c>
    </row>
    <row r="1555">
      <c r="A1555" s="34" t="s">
        <v>70</v>
      </c>
      <c r="B1555" s="34" t="s">
        <v>269</v>
      </c>
      <c r="C1555" s="34">
        <v>14.0</v>
      </c>
      <c r="D1555" s="34" t="s">
        <v>270</v>
      </c>
      <c r="E1555" s="34" t="s">
        <v>4040</v>
      </c>
      <c r="F1555" s="34" t="s">
        <v>4041</v>
      </c>
      <c r="G1555" s="34">
        <v>14220.0</v>
      </c>
      <c r="H1555" s="34" t="s">
        <v>4042</v>
      </c>
      <c r="I1555" s="34" t="s">
        <v>18</v>
      </c>
      <c r="J1555" s="34" t="s">
        <v>15</v>
      </c>
      <c r="K1555" s="45">
        <v>107.7</v>
      </c>
      <c r="L1555" s="9"/>
      <c r="M1555" s="45">
        <v>107.7</v>
      </c>
    </row>
    <row r="1556">
      <c r="A1556" s="34" t="s">
        <v>70</v>
      </c>
      <c r="B1556" s="34" t="s">
        <v>269</v>
      </c>
      <c r="C1556" s="34">
        <v>14.0</v>
      </c>
      <c r="D1556" s="34" t="s">
        <v>270</v>
      </c>
      <c r="E1556" s="34" t="s">
        <v>4043</v>
      </c>
      <c r="F1556" s="34" t="s">
        <v>4044</v>
      </c>
      <c r="G1556" s="34">
        <v>14366.0</v>
      </c>
      <c r="H1556" s="34" t="s">
        <v>2301</v>
      </c>
      <c r="I1556" s="34" t="s">
        <v>18</v>
      </c>
      <c r="J1556" s="34" t="s">
        <v>15</v>
      </c>
      <c r="K1556" s="45">
        <v>111.1</v>
      </c>
      <c r="L1556" s="9"/>
      <c r="M1556" s="45">
        <v>111.1</v>
      </c>
    </row>
    <row r="1557">
      <c r="A1557" s="34" t="s">
        <v>70</v>
      </c>
      <c r="B1557" s="34" t="s">
        <v>269</v>
      </c>
      <c r="C1557" s="34">
        <v>14.0</v>
      </c>
      <c r="D1557" s="34" t="s">
        <v>270</v>
      </c>
      <c r="E1557" s="34" t="s">
        <v>4045</v>
      </c>
      <c r="F1557" s="34" t="s">
        <v>4046</v>
      </c>
      <c r="G1557" s="34">
        <v>14118.0</v>
      </c>
      <c r="H1557" s="34" t="s">
        <v>273</v>
      </c>
      <c r="I1557" s="34" t="s">
        <v>17</v>
      </c>
      <c r="J1557" s="34" t="s">
        <v>15</v>
      </c>
      <c r="K1557" s="45">
        <v>127.0</v>
      </c>
      <c r="L1557" s="9"/>
      <c r="M1557" s="45">
        <v>127.0</v>
      </c>
    </row>
    <row r="1558">
      <c r="A1558" s="34" t="s">
        <v>70</v>
      </c>
      <c r="B1558" s="34" t="s">
        <v>269</v>
      </c>
      <c r="C1558" s="34">
        <v>14.0</v>
      </c>
      <c r="D1558" s="34" t="s">
        <v>270</v>
      </c>
      <c r="E1558" s="34" t="s">
        <v>4047</v>
      </c>
      <c r="F1558" s="34" t="s">
        <v>4048</v>
      </c>
      <c r="G1558" s="34">
        <v>14366.0</v>
      </c>
      <c r="H1558" s="34" t="s">
        <v>2301</v>
      </c>
      <c r="I1558" s="34" t="s">
        <v>17</v>
      </c>
      <c r="J1558" s="34" t="s">
        <v>15</v>
      </c>
      <c r="K1558" s="45">
        <v>117.0</v>
      </c>
      <c r="L1558" s="9"/>
      <c r="M1558" s="45">
        <v>117.0</v>
      </c>
    </row>
    <row r="1559">
      <c r="A1559" s="34" t="s">
        <v>70</v>
      </c>
      <c r="B1559" s="34" t="s">
        <v>269</v>
      </c>
      <c r="C1559" s="34">
        <v>14.0</v>
      </c>
      <c r="D1559" s="34" t="s">
        <v>270</v>
      </c>
      <c r="E1559" s="34" t="s">
        <v>4049</v>
      </c>
      <c r="F1559" s="34" t="s">
        <v>4050</v>
      </c>
      <c r="G1559" s="34">
        <v>14366.0</v>
      </c>
      <c r="H1559" s="34" t="s">
        <v>2301</v>
      </c>
      <c r="I1559" s="34" t="s">
        <v>17</v>
      </c>
      <c r="J1559" s="34" t="s">
        <v>15</v>
      </c>
      <c r="K1559" s="45">
        <v>95.5</v>
      </c>
      <c r="L1559" s="9"/>
      <c r="M1559" s="45">
        <v>95.5</v>
      </c>
    </row>
    <row r="1560">
      <c r="A1560" s="34" t="s">
        <v>70</v>
      </c>
      <c r="B1560" s="34" t="s">
        <v>269</v>
      </c>
      <c r="C1560" s="34">
        <v>14.0</v>
      </c>
      <c r="D1560" s="34" t="s">
        <v>270</v>
      </c>
      <c r="E1560" s="34" t="s">
        <v>4051</v>
      </c>
      <c r="F1560" s="34" t="s">
        <v>4052</v>
      </c>
      <c r="G1560" s="34">
        <v>14327.0</v>
      </c>
      <c r="H1560" s="34" t="s">
        <v>4053</v>
      </c>
      <c r="I1560" s="34" t="s">
        <v>18</v>
      </c>
      <c r="J1560" s="34" t="s">
        <v>15</v>
      </c>
      <c r="K1560" s="45">
        <v>115.1</v>
      </c>
      <c r="L1560" s="9"/>
      <c r="M1560" s="45">
        <v>115.1</v>
      </c>
    </row>
    <row r="1561">
      <c r="A1561" s="34" t="s">
        <v>70</v>
      </c>
      <c r="B1561" s="34" t="s">
        <v>269</v>
      </c>
      <c r="C1561" s="34">
        <v>14.0</v>
      </c>
      <c r="D1561" s="34" t="s">
        <v>270</v>
      </c>
      <c r="E1561" s="34" t="s">
        <v>4054</v>
      </c>
      <c r="F1561" s="34" t="s">
        <v>4055</v>
      </c>
      <c r="G1561" s="34">
        <v>14118.0</v>
      </c>
      <c r="H1561" s="34" t="s">
        <v>273</v>
      </c>
      <c r="I1561" s="34" t="s">
        <v>17</v>
      </c>
      <c r="J1561" s="34" t="s">
        <v>15</v>
      </c>
      <c r="K1561" s="45">
        <v>99.4</v>
      </c>
      <c r="L1561" s="9"/>
      <c r="M1561" s="45">
        <v>99.4</v>
      </c>
    </row>
    <row r="1562">
      <c r="A1562" s="34" t="s">
        <v>70</v>
      </c>
      <c r="B1562" s="34" t="s">
        <v>269</v>
      </c>
      <c r="C1562" s="34">
        <v>14.0</v>
      </c>
      <c r="D1562" s="34" t="s">
        <v>270</v>
      </c>
      <c r="E1562" s="34" t="s">
        <v>4056</v>
      </c>
      <c r="F1562" s="34" t="s">
        <v>4057</v>
      </c>
      <c r="G1562" s="34">
        <v>14118.0</v>
      </c>
      <c r="H1562" s="34" t="s">
        <v>273</v>
      </c>
      <c r="I1562" s="34" t="s">
        <v>18</v>
      </c>
      <c r="J1562" s="34" t="s">
        <v>15</v>
      </c>
      <c r="K1562" s="45">
        <v>124.2</v>
      </c>
      <c r="L1562" s="9"/>
      <c r="M1562" s="45">
        <v>124.2</v>
      </c>
    </row>
    <row r="1563">
      <c r="A1563" s="34" t="s">
        <v>70</v>
      </c>
      <c r="B1563" s="34" t="s">
        <v>269</v>
      </c>
      <c r="C1563" s="34">
        <v>14.0</v>
      </c>
      <c r="D1563" s="34" t="s">
        <v>270</v>
      </c>
      <c r="E1563" s="34" t="s">
        <v>4058</v>
      </c>
      <c r="F1563" s="34" t="s">
        <v>4059</v>
      </c>
      <c r="G1563" s="34">
        <v>14228.0</v>
      </c>
      <c r="H1563" s="34" t="s">
        <v>4060</v>
      </c>
      <c r="I1563" s="34" t="s">
        <v>17</v>
      </c>
      <c r="J1563" s="34" t="s">
        <v>15</v>
      </c>
      <c r="K1563" s="45">
        <v>111.8</v>
      </c>
      <c r="L1563" s="9"/>
      <c r="M1563" s="45">
        <v>111.8</v>
      </c>
    </row>
    <row r="1564">
      <c r="A1564" s="34" t="s">
        <v>70</v>
      </c>
      <c r="B1564" s="34" t="s">
        <v>269</v>
      </c>
      <c r="C1564" s="34">
        <v>14.0</v>
      </c>
      <c r="D1564" s="34" t="s">
        <v>270</v>
      </c>
      <c r="E1564" s="34" t="s">
        <v>4061</v>
      </c>
      <c r="F1564" s="34" t="s">
        <v>4062</v>
      </c>
      <c r="G1564" s="34">
        <v>14174.0</v>
      </c>
      <c r="H1564" s="34" t="s">
        <v>4063</v>
      </c>
      <c r="I1564" s="34" t="s">
        <v>18</v>
      </c>
      <c r="J1564" s="34" t="s">
        <v>14</v>
      </c>
      <c r="K1564" s="45">
        <v>109.0</v>
      </c>
      <c r="L1564" s="45">
        <v>92.4</v>
      </c>
      <c r="M1564" s="45">
        <v>100.2</v>
      </c>
    </row>
    <row r="1565">
      <c r="A1565" s="34" t="s">
        <v>70</v>
      </c>
      <c r="B1565" s="34" t="s">
        <v>269</v>
      </c>
      <c r="C1565" s="34">
        <v>14.0</v>
      </c>
      <c r="D1565" s="34" t="s">
        <v>270</v>
      </c>
      <c r="E1565" s="34" t="s">
        <v>4064</v>
      </c>
      <c r="F1565" s="34" t="s">
        <v>4065</v>
      </c>
      <c r="G1565" s="34">
        <v>14118.0</v>
      </c>
      <c r="H1565" s="34" t="s">
        <v>273</v>
      </c>
      <c r="I1565" s="34" t="s">
        <v>18</v>
      </c>
      <c r="J1565" s="34" t="s">
        <v>14</v>
      </c>
      <c r="K1565" s="45">
        <v>121.2</v>
      </c>
      <c r="L1565" s="45">
        <v>88.3</v>
      </c>
      <c r="M1565" s="45">
        <v>116.9</v>
      </c>
    </row>
    <row r="1566">
      <c r="A1566" s="34" t="s">
        <v>70</v>
      </c>
      <c r="B1566" s="34" t="s">
        <v>116</v>
      </c>
      <c r="C1566" s="34">
        <v>15.0</v>
      </c>
      <c r="D1566" s="34" t="s">
        <v>2304</v>
      </c>
      <c r="E1566" s="34" t="s">
        <v>4066</v>
      </c>
      <c r="F1566" s="34" t="s">
        <v>4067</v>
      </c>
      <c r="G1566" s="34">
        <v>15138.0</v>
      </c>
      <c r="H1566" s="34" t="s">
        <v>4068</v>
      </c>
      <c r="I1566" s="34" t="s">
        <v>18</v>
      </c>
      <c r="J1566" s="34" t="s">
        <v>13</v>
      </c>
      <c r="K1566" s="9"/>
      <c r="L1566" s="45">
        <v>100.8</v>
      </c>
      <c r="M1566" s="45">
        <v>100.8</v>
      </c>
    </row>
    <row r="1567">
      <c r="A1567" s="34" t="s">
        <v>70</v>
      </c>
      <c r="B1567" s="34" t="s">
        <v>116</v>
      </c>
      <c r="C1567" s="34">
        <v>15.0</v>
      </c>
      <c r="D1567" s="34" t="s">
        <v>2304</v>
      </c>
      <c r="E1567" s="34" t="s">
        <v>4069</v>
      </c>
      <c r="F1567" s="34" t="s">
        <v>4070</v>
      </c>
      <c r="G1567" s="34">
        <v>15120.0</v>
      </c>
      <c r="H1567" s="34" t="s">
        <v>4071</v>
      </c>
      <c r="I1567" s="34" t="s">
        <v>18</v>
      </c>
      <c r="J1567" s="34" t="s">
        <v>14</v>
      </c>
      <c r="K1567" s="45">
        <v>113.5</v>
      </c>
      <c r="L1567" s="45">
        <v>86.8</v>
      </c>
      <c r="M1567" s="45">
        <v>111.6</v>
      </c>
    </row>
    <row r="1568">
      <c r="A1568" s="34" t="s">
        <v>70</v>
      </c>
      <c r="B1568" s="34" t="s">
        <v>284</v>
      </c>
      <c r="C1568" s="34">
        <v>16.0</v>
      </c>
      <c r="D1568" s="34" t="s">
        <v>285</v>
      </c>
      <c r="E1568" s="34" t="s">
        <v>4072</v>
      </c>
      <c r="F1568" s="34" t="s">
        <v>4073</v>
      </c>
      <c r="G1568" s="34">
        <v>16106.0</v>
      </c>
      <c r="H1568" s="34" t="s">
        <v>4074</v>
      </c>
      <c r="I1568" s="34" t="s">
        <v>18</v>
      </c>
      <c r="J1568" s="34" t="s">
        <v>14</v>
      </c>
      <c r="K1568" s="45">
        <v>101.6</v>
      </c>
      <c r="L1568" s="45">
        <v>87.3</v>
      </c>
      <c r="M1568" s="45">
        <v>100.4</v>
      </c>
    </row>
    <row r="1569">
      <c r="A1569" s="34" t="s">
        <v>70</v>
      </c>
      <c r="B1569" s="34" t="s">
        <v>284</v>
      </c>
      <c r="C1569" s="34">
        <v>16.0</v>
      </c>
      <c r="D1569" s="34" t="s">
        <v>285</v>
      </c>
      <c r="E1569" s="34" t="s">
        <v>4075</v>
      </c>
      <c r="F1569" s="34" t="s">
        <v>4076</v>
      </c>
      <c r="G1569" s="34">
        <v>16015.0</v>
      </c>
      <c r="H1569" s="34" t="s">
        <v>288</v>
      </c>
      <c r="I1569" s="34" t="s">
        <v>18</v>
      </c>
      <c r="J1569" s="34" t="s">
        <v>13</v>
      </c>
      <c r="K1569" s="9"/>
      <c r="L1569" s="45">
        <v>97.0</v>
      </c>
      <c r="M1569" s="45">
        <v>97.0</v>
      </c>
    </row>
    <row r="1570">
      <c r="A1570" s="34" t="s">
        <v>70</v>
      </c>
      <c r="B1570" s="34" t="s">
        <v>284</v>
      </c>
      <c r="C1570" s="34">
        <v>16.0</v>
      </c>
      <c r="D1570" s="34" t="s">
        <v>285</v>
      </c>
      <c r="E1570" s="34" t="s">
        <v>4077</v>
      </c>
      <c r="F1570" s="34" t="s">
        <v>4078</v>
      </c>
      <c r="G1570" s="34">
        <v>16085.0</v>
      </c>
      <c r="H1570" s="34" t="s">
        <v>4079</v>
      </c>
      <c r="I1570" s="34" t="s">
        <v>18</v>
      </c>
      <c r="J1570" s="34" t="s">
        <v>13</v>
      </c>
      <c r="K1570" s="9"/>
      <c r="L1570" s="45">
        <v>88.5</v>
      </c>
      <c r="M1570" s="45">
        <v>88.5</v>
      </c>
    </row>
    <row r="1571">
      <c r="A1571" s="34" t="s">
        <v>70</v>
      </c>
      <c r="B1571" s="34" t="s">
        <v>284</v>
      </c>
      <c r="C1571" s="34">
        <v>16.0</v>
      </c>
      <c r="D1571" s="34" t="s">
        <v>285</v>
      </c>
      <c r="E1571" s="34" t="s">
        <v>4080</v>
      </c>
      <c r="F1571" s="34" t="s">
        <v>4081</v>
      </c>
      <c r="G1571" s="34">
        <v>16015.0</v>
      </c>
      <c r="H1571" s="34" t="s">
        <v>288</v>
      </c>
      <c r="I1571" s="34" t="s">
        <v>17</v>
      </c>
      <c r="J1571" s="34" t="s">
        <v>15</v>
      </c>
      <c r="K1571" s="45">
        <v>125.2</v>
      </c>
      <c r="L1571" s="9"/>
      <c r="M1571" s="45">
        <v>125.2</v>
      </c>
    </row>
    <row r="1572">
      <c r="A1572" s="34" t="s">
        <v>70</v>
      </c>
      <c r="B1572" s="34" t="s">
        <v>284</v>
      </c>
      <c r="C1572" s="34">
        <v>16.0</v>
      </c>
      <c r="D1572" s="34" t="s">
        <v>285</v>
      </c>
      <c r="E1572" s="34" t="s">
        <v>4082</v>
      </c>
      <c r="F1572" s="34" t="s">
        <v>4083</v>
      </c>
      <c r="G1572" s="34">
        <v>16358.0</v>
      </c>
      <c r="H1572" s="34" t="s">
        <v>4084</v>
      </c>
      <c r="I1572" s="34" t="s">
        <v>17</v>
      </c>
      <c r="J1572" s="34" t="s">
        <v>14</v>
      </c>
      <c r="K1572" s="45">
        <v>108.3</v>
      </c>
      <c r="L1572" s="45">
        <v>87.5</v>
      </c>
      <c r="M1572" s="45">
        <v>88.1</v>
      </c>
    </row>
    <row r="1573">
      <c r="A1573" s="34" t="s">
        <v>70</v>
      </c>
      <c r="B1573" s="34" t="s">
        <v>284</v>
      </c>
      <c r="C1573" s="34">
        <v>16.0</v>
      </c>
      <c r="D1573" s="34" t="s">
        <v>285</v>
      </c>
      <c r="E1573" s="34" t="s">
        <v>4085</v>
      </c>
      <c r="F1573" s="34" t="s">
        <v>4086</v>
      </c>
      <c r="G1573" s="34">
        <v>16292.0</v>
      </c>
      <c r="H1573" s="34" t="s">
        <v>4087</v>
      </c>
      <c r="I1573" s="34" t="s">
        <v>18</v>
      </c>
      <c r="J1573" s="34" t="s">
        <v>13</v>
      </c>
      <c r="K1573" s="9"/>
      <c r="L1573" s="45">
        <v>90.0</v>
      </c>
      <c r="M1573" s="45">
        <v>90.0</v>
      </c>
    </row>
    <row r="1574">
      <c r="A1574" s="34" t="s">
        <v>70</v>
      </c>
      <c r="B1574" s="34" t="s">
        <v>284</v>
      </c>
      <c r="C1574" s="34">
        <v>17.0</v>
      </c>
      <c r="D1574" s="34" t="s">
        <v>291</v>
      </c>
      <c r="E1574" s="34" t="s">
        <v>4088</v>
      </c>
      <c r="F1574" s="34" t="s">
        <v>4089</v>
      </c>
      <c r="G1574" s="34">
        <v>17299.0</v>
      </c>
      <c r="H1574" s="34" t="s">
        <v>2322</v>
      </c>
      <c r="I1574" s="34" t="s">
        <v>18</v>
      </c>
      <c r="J1574" s="34" t="s">
        <v>15</v>
      </c>
      <c r="K1574" s="45">
        <v>116.8</v>
      </c>
      <c r="L1574" s="9"/>
      <c r="M1574" s="45">
        <v>116.8</v>
      </c>
    </row>
    <row r="1575">
      <c r="A1575" s="34" t="s">
        <v>70</v>
      </c>
      <c r="B1575" s="34" t="s">
        <v>284</v>
      </c>
      <c r="C1575" s="34">
        <v>17.0</v>
      </c>
      <c r="D1575" s="34" t="s">
        <v>291</v>
      </c>
      <c r="E1575" s="34" t="s">
        <v>4090</v>
      </c>
      <c r="F1575" s="34" t="s">
        <v>4091</v>
      </c>
      <c r="G1575" s="34">
        <v>17347.0</v>
      </c>
      <c r="H1575" s="34" t="s">
        <v>4092</v>
      </c>
      <c r="I1575" s="34" t="s">
        <v>18</v>
      </c>
      <c r="J1575" s="34" t="s">
        <v>14</v>
      </c>
      <c r="K1575" s="45">
        <v>106.4</v>
      </c>
      <c r="L1575" s="45">
        <v>90.2</v>
      </c>
      <c r="M1575" s="45">
        <v>101.3</v>
      </c>
    </row>
    <row r="1576">
      <c r="A1576" s="34" t="s">
        <v>70</v>
      </c>
      <c r="B1576" s="34" t="s">
        <v>284</v>
      </c>
      <c r="C1576" s="34">
        <v>17.0</v>
      </c>
      <c r="D1576" s="34" t="s">
        <v>291</v>
      </c>
      <c r="E1576" s="34" t="s">
        <v>4093</v>
      </c>
      <c r="F1576" s="34" t="s">
        <v>4094</v>
      </c>
      <c r="G1576" s="34">
        <v>17347.0</v>
      </c>
      <c r="H1576" s="34" t="s">
        <v>4092</v>
      </c>
      <c r="I1576" s="34" t="s">
        <v>18</v>
      </c>
      <c r="J1576" s="34" t="s">
        <v>13</v>
      </c>
      <c r="K1576" s="9"/>
      <c r="L1576" s="45">
        <v>93.2</v>
      </c>
      <c r="M1576" s="45">
        <v>93.2</v>
      </c>
    </row>
    <row r="1577">
      <c r="A1577" s="34" t="s">
        <v>70</v>
      </c>
      <c r="B1577" s="34" t="s">
        <v>284</v>
      </c>
      <c r="C1577" s="34">
        <v>17.0</v>
      </c>
      <c r="D1577" s="34" t="s">
        <v>291</v>
      </c>
      <c r="E1577" s="34" t="s">
        <v>4095</v>
      </c>
      <c r="F1577" s="34" t="s">
        <v>4096</v>
      </c>
      <c r="G1577" s="34">
        <v>17197.0</v>
      </c>
      <c r="H1577" s="34" t="s">
        <v>4097</v>
      </c>
      <c r="I1577" s="34" t="s">
        <v>18</v>
      </c>
      <c r="J1577" s="34" t="s">
        <v>14</v>
      </c>
      <c r="K1577" s="45">
        <v>103.1</v>
      </c>
      <c r="L1577" s="45">
        <v>85.6</v>
      </c>
      <c r="M1577" s="45">
        <v>99.4</v>
      </c>
    </row>
    <row r="1578">
      <c r="A1578" s="34" t="s">
        <v>70</v>
      </c>
      <c r="B1578" s="34" t="s">
        <v>284</v>
      </c>
      <c r="C1578" s="34">
        <v>17.0</v>
      </c>
      <c r="D1578" s="34" t="s">
        <v>291</v>
      </c>
      <c r="E1578" s="34" t="s">
        <v>4098</v>
      </c>
      <c r="F1578" s="34" t="s">
        <v>4099</v>
      </c>
      <c r="G1578" s="34">
        <v>17300.0</v>
      </c>
      <c r="H1578" s="34" t="s">
        <v>297</v>
      </c>
      <c r="I1578" s="34" t="s">
        <v>18</v>
      </c>
      <c r="J1578" s="34" t="s">
        <v>13</v>
      </c>
      <c r="K1578" s="9"/>
      <c r="L1578" s="45">
        <v>95.4</v>
      </c>
      <c r="M1578" s="45">
        <v>95.4</v>
      </c>
    </row>
    <row r="1579">
      <c r="A1579" s="34" t="s">
        <v>70</v>
      </c>
      <c r="B1579" s="34" t="s">
        <v>284</v>
      </c>
      <c r="C1579" s="34">
        <v>17.0</v>
      </c>
      <c r="D1579" s="34" t="s">
        <v>291</v>
      </c>
      <c r="E1579" s="34" t="s">
        <v>4100</v>
      </c>
      <c r="F1579" s="34" t="s">
        <v>4101</v>
      </c>
      <c r="G1579" s="34">
        <v>17058.0</v>
      </c>
      <c r="H1579" s="34" t="s">
        <v>4102</v>
      </c>
      <c r="I1579" s="34" t="s">
        <v>18</v>
      </c>
      <c r="J1579" s="34" t="s">
        <v>14</v>
      </c>
      <c r="K1579" s="45">
        <v>109.0</v>
      </c>
      <c r="L1579" s="45">
        <v>96.9</v>
      </c>
      <c r="M1579" s="45">
        <v>106.9</v>
      </c>
    </row>
    <row r="1580">
      <c r="A1580" s="34" t="s">
        <v>70</v>
      </c>
      <c r="B1580" s="34" t="s">
        <v>313</v>
      </c>
      <c r="C1580" s="34">
        <v>18.0</v>
      </c>
      <c r="D1580" s="34" t="s">
        <v>314</v>
      </c>
      <c r="E1580" s="34" t="s">
        <v>4103</v>
      </c>
      <c r="F1580" s="34" t="s">
        <v>4104</v>
      </c>
      <c r="G1580" s="34">
        <v>18033.0</v>
      </c>
      <c r="H1580" s="34" t="s">
        <v>4105</v>
      </c>
      <c r="I1580" s="34" t="s">
        <v>18</v>
      </c>
      <c r="J1580" s="34" t="s">
        <v>15</v>
      </c>
      <c r="K1580" s="45">
        <v>111.7</v>
      </c>
      <c r="L1580" s="9"/>
      <c r="M1580" s="45">
        <v>111.7</v>
      </c>
    </row>
    <row r="1581">
      <c r="A1581" s="34" t="s">
        <v>70</v>
      </c>
      <c r="B1581" s="34" t="s">
        <v>313</v>
      </c>
      <c r="C1581" s="34">
        <v>18.0</v>
      </c>
      <c r="D1581" s="34" t="s">
        <v>314</v>
      </c>
      <c r="E1581" s="34" t="s">
        <v>4106</v>
      </c>
      <c r="F1581" s="34" t="s">
        <v>4107</v>
      </c>
      <c r="G1581" s="34">
        <v>18033.0</v>
      </c>
      <c r="H1581" s="34" t="s">
        <v>4105</v>
      </c>
      <c r="I1581" s="34" t="s">
        <v>18</v>
      </c>
      <c r="J1581" s="34" t="s">
        <v>13</v>
      </c>
      <c r="K1581" s="9"/>
      <c r="L1581" s="45">
        <v>83.3</v>
      </c>
      <c r="M1581" s="45">
        <v>83.3</v>
      </c>
    </row>
    <row r="1582">
      <c r="A1582" s="34" t="s">
        <v>70</v>
      </c>
      <c r="B1582" s="34" t="s">
        <v>313</v>
      </c>
      <c r="C1582" s="34">
        <v>18.0</v>
      </c>
      <c r="D1582" s="34" t="s">
        <v>314</v>
      </c>
      <c r="E1582" s="34" t="s">
        <v>4108</v>
      </c>
      <c r="F1582" s="34" t="s">
        <v>2355</v>
      </c>
      <c r="G1582" s="34">
        <v>18197.0</v>
      </c>
      <c r="H1582" s="34" t="s">
        <v>317</v>
      </c>
      <c r="I1582" s="34" t="s">
        <v>18</v>
      </c>
      <c r="J1582" s="34" t="s">
        <v>13</v>
      </c>
      <c r="K1582" s="9"/>
      <c r="L1582" s="45">
        <v>82.1</v>
      </c>
      <c r="M1582" s="45">
        <v>82.1</v>
      </c>
    </row>
    <row r="1583">
      <c r="A1583" s="34" t="s">
        <v>70</v>
      </c>
      <c r="B1583" s="34" t="s">
        <v>313</v>
      </c>
      <c r="C1583" s="34">
        <v>18.0</v>
      </c>
      <c r="D1583" s="34" t="s">
        <v>314</v>
      </c>
      <c r="E1583" s="34" t="s">
        <v>4109</v>
      </c>
      <c r="F1583" s="34" t="s">
        <v>4110</v>
      </c>
      <c r="G1583" s="34">
        <v>18033.0</v>
      </c>
      <c r="H1583" s="34" t="s">
        <v>4105</v>
      </c>
      <c r="I1583" s="34" t="s">
        <v>17</v>
      </c>
      <c r="J1583" s="34" t="s">
        <v>15</v>
      </c>
      <c r="K1583" s="45">
        <v>124.9</v>
      </c>
      <c r="L1583" s="9"/>
      <c r="M1583" s="45">
        <v>124.9</v>
      </c>
    </row>
    <row r="1584">
      <c r="A1584" s="34" t="s">
        <v>70</v>
      </c>
      <c r="B1584" s="34" t="s">
        <v>313</v>
      </c>
      <c r="C1584" s="34">
        <v>18.0</v>
      </c>
      <c r="D1584" s="34" t="s">
        <v>314</v>
      </c>
      <c r="E1584" s="34" t="s">
        <v>4111</v>
      </c>
      <c r="F1584" s="34" t="s">
        <v>4112</v>
      </c>
      <c r="G1584" s="34">
        <v>18033.0</v>
      </c>
      <c r="H1584" s="34" t="s">
        <v>4105</v>
      </c>
      <c r="I1584" s="34" t="s">
        <v>18</v>
      </c>
      <c r="J1584" s="34" t="s">
        <v>13</v>
      </c>
      <c r="K1584" s="9"/>
      <c r="L1584" s="45">
        <v>88.0</v>
      </c>
      <c r="M1584" s="45">
        <v>88.0</v>
      </c>
    </row>
    <row r="1585">
      <c r="A1585" s="34" t="s">
        <v>70</v>
      </c>
      <c r="B1585" s="34" t="s">
        <v>322</v>
      </c>
      <c r="C1585" s="34">
        <v>19.0</v>
      </c>
      <c r="D1585" s="34" t="s">
        <v>323</v>
      </c>
      <c r="E1585" s="34" t="s">
        <v>4113</v>
      </c>
      <c r="F1585" s="34" t="s">
        <v>4114</v>
      </c>
      <c r="G1585" s="34">
        <v>19031.0</v>
      </c>
      <c r="H1585" s="34" t="s">
        <v>332</v>
      </c>
      <c r="I1585" s="34" t="s">
        <v>18</v>
      </c>
      <c r="J1585" s="34" t="s">
        <v>15</v>
      </c>
      <c r="K1585" s="45">
        <v>114.6</v>
      </c>
      <c r="L1585" s="9"/>
      <c r="M1585" s="45">
        <v>114.6</v>
      </c>
    </row>
    <row r="1586">
      <c r="A1586" s="34" t="s">
        <v>70</v>
      </c>
      <c r="B1586" s="34" t="s">
        <v>322</v>
      </c>
      <c r="C1586" s="34">
        <v>19.0</v>
      </c>
      <c r="D1586" s="34" t="s">
        <v>323</v>
      </c>
      <c r="E1586" s="34" t="s">
        <v>4115</v>
      </c>
      <c r="F1586" s="34" t="s">
        <v>2889</v>
      </c>
      <c r="G1586" s="34">
        <v>19272.0</v>
      </c>
      <c r="H1586" s="34" t="s">
        <v>4116</v>
      </c>
      <c r="I1586" s="34" t="s">
        <v>18</v>
      </c>
      <c r="J1586" s="34" t="s">
        <v>13</v>
      </c>
      <c r="K1586" s="9"/>
      <c r="L1586" s="45">
        <v>89.1</v>
      </c>
      <c r="M1586" s="45">
        <v>89.1</v>
      </c>
    </row>
    <row r="1587">
      <c r="A1587" s="34" t="s">
        <v>70</v>
      </c>
      <c r="B1587" s="34" t="s">
        <v>322</v>
      </c>
      <c r="C1587" s="34">
        <v>19.0</v>
      </c>
      <c r="D1587" s="34" t="s">
        <v>323</v>
      </c>
      <c r="E1587" s="34" t="s">
        <v>4117</v>
      </c>
      <c r="F1587" s="34" t="s">
        <v>4118</v>
      </c>
      <c r="G1587" s="34">
        <v>19031.0</v>
      </c>
      <c r="H1587" s="34" t="s">
        <v>332</v>
      </c>
      <c r="I1587" s="34" t="s">
        <v>18</v>
      </c>
      <c r="J1587" s="34" t="s">
        <v>13</v>
      </c>
      <c r="K1587" s="9"/>
      <c r="L1587" s="45">
        <v>93.8</v>
      </c>
      <c r="M1587" s="45">
        <v>93.8</v>
      </c>
    </row>
    <row r="1588">
      <c r="A1588" s="34" t="s">
        <v>70</v>
      </c>
      <c r="B1588" s="34" t="s">
        <v>322</v>
      </c>
      <c r="C1588" s="34">
        <v>19.0</v>
      </c>
      <c r="D1588" s="34" t="s">
        <v>323</v>
      </c>
      <c r="E1588" s="34" t="s">
        <v>4119</v>
      </c>
      <c r="F1588" s="34" t="s">
        <v>4120</v>
      </c>
      <c r="G1588" s="34">
        <v>19275.0</v>
      </c>
      <c r="H1588" s="34" t="s">
        <v>329</v>
      </c>
      <c r="I1588" s="34" t="s">
        <v>18</v>
      </c>
      <c r="J1588" s="34" t="s">
        <v>13</v>
      </c>
      <c r="K1588" s="9"/>
      <c r="L1588" s="45">
        <v>84.3</v>
      </c>
      <c r="M1588" s="45">
        <v>84.3</v>
      </c>
    </row>
    <row r="1589">
      <c r="A1589" s="34" t="s">
        <v>70</v>
      </c>
      <c r="B1589" s="34" t="s">
        <v>322</v>
      </c>
      <c r="C1589" s="34">
        <v>19.0</v>
      </c>
      <c r="D1589" s="34" t="s">
        <v>323</v>
      </c>
      <c r="E1589" s="34" t="s">
        <v>4121</v>
      </c>
      <c r="F1589" s="34" t="s">
        <v>4122</v>
      </c>
      <c r="G1589" s="34">
        <v>19269.0</v>
      </c>
      <c r="H1589" s="34" t="s">
        <v>4123</v>
      </c>
      <c r="I1589" s="34" t="s">
        <v>17</v>
      </c>
      <c r="J1589" s="34" t="s">
        <v>13</v>
      </c>
      <c r="K1589" s="9"/>
      <c r="L1589" s="45">
        <v>68.7</v>
      </c>
      <c r="M1589" s="45">
        <v>68.7</v>
      </c>
    </row>
    <row r="1590">
      <c r="A1590" s="34" t="s">
        <v>70</v>
      </c>
      <c r="B1590" s="34" t="s">
        <v>333</v>
      </c>
      <c r="C1590" s="34">
        <v>21.0</v>
      </c>
      <c r="D1590" s="34" t="s">
        <v>334</v>
      </c>
      <c r="E1590" s="34" t="s">
        <v>4124</v>
      </c>
      <c r="F1590" s="34" t="s">
        <v>4125</v>
      </c>
      <c r="G1590" s="34">
        <v>21038.0</v>
      </c>
      <c r="H1590" s="34" t="s">
        <v>4126</v>
      </c>
      <c r="I1590" s="34" t="s">
        <v>18</v>
      </c>
      <c r="J1590" s="34" t="s">
        <v>14</v>
      </c>
      <c r="K1590" s="45">
        <v>108.8</v>
      </c>
      <c r="L1590" s="45">
        <v>83.1</v>
      </c>
      <c r="M1590" s="45">
        <v>105.5</v>
      </c>
    </row>
    <row r="1591">
      <c r="A1591" s="34" t="s">
        <v>70</v>
      </c>
      <c r="B1591" s="34" t="s">
        <v>333</v>
      </c>
      <c r="C1591" s="34">
        <v>21.0</v>
      </c>
      <c r="D1591" s="34" t="s">
        <v>334</v>
      </c>
      <c r="E1591" s="34" t="s">
        <v>4127</v>
      </c>
      <c r="F1591" s="34" t="s">
        <v>4128</v>
      </c>
      <c r="G1591" s="34">
        <v>21054.0</v>
      </c>
      <c r="H1591" s="34" t="s">
        <v>337</v>
      </c>
      <c r="I1591" s="34" t="s">
        <v>17</v>
      </c>
      <c r="J1591" s="34" t="s">
        <v>15</v>
      </c>
      <c r="K1591" s="45">
        <v>126.2</v>
      </c>
      <c r="L1591" s="9"/>
      <c r="M1591" s="45">
        <v>126.2</v>
      </c>
    </row>
    <row r="1592">
      <c r="A1592" s="34" t="s">
        <v>70</v>
      </c>
      <c r="B1592" s="34" t="s">
        <v>333</v>
      </c>
      <c r="C1592" s="34">
        <v>21.0</v>
      </c>
      <c r="D1592" s="34" t="s">
        <v>334</v>
      </c>
      <c r="E1592" s="34" t="s">
        <v>4129</v>
      </c>
      <c r="F1592" s="34" t="s">
        <v>4130</v>
      </c>
      <c r="G1592" s="34">
        <v>21054.0</v>
      </c>
      <c r="H1592" s="34" t="s">
        <v>337</v>
      </c>
      <c r="I1592" s="34" t="s">
        <v>18</v>
      </c>
      <c r="J1592" s="34" t="s">
        <v>14</v>
      </c>
      <c r="K1592" s="45">
        <v>112.9</v>
      </c>
      <c r="L1592" s="45">
        <v>89.9</v>
      </c>
      <c r="M1592" s="45">
        <v>105.5</v>
      </c>
    </row>
    <row r="1593">
      <c r="A1593" s="34" t="s">
        <v>70</v>
      </c>
      <c r="B1593" s="34" t="s">
        <v>354</v>
      </c>
      <c r="C1593" s="34">
        <v>22.0</v>
      </c>
      <c r="D1593" s="34" t="s">
        <v>355</v>
      </c>
      <c r="E1593" s="34" t="s">
        <v>4131</v>
      </c>
      <c r="F1593" s="34" t="s">
        <v>4132</v>
      </c>
      <c r="G1593" s="34">
        <v>22278.0</v>
      </c>
      <c r="H1593" s="34" t="s">
        <v>361</v>
      </c>
      <c r="I1593" s="34" t="s">
        <v>18</v>
      </c>
      <c r="J1593" s="34" t="s">
        <v>14</v>
      </c>
      <c r="K1593" s="45">
        <v>117.6</v>
      </c>
      <c r="L1593" s="45">
        <v>87.2</v>
      </c>
      <c r="M1593" s="45">
        <v>102.5</v>
      </c>
    </row>
    <row r="1594">
      <c r="A1594" s="34" t="s">
        <v>70</v>
      </c>
      <c r="B1594" s="34" t="s">
        <v>354</v>
      </c>
      <c r="C1594" s="34">
        <v>22.0</v>
      </c>
      <c r="D1594" s="34" t="s">
        <v>355</v>
      </c>
      <c r="E1594" s="34" t="s">
        <v>4133</v>
      </c>
      <c r="F1594" s="34" t="s">
        <v>4134</v>
      </c>
      <c r="G1594" s="34">
        <v>22262.0</v>
      </c>
      <c r="H1594" s="34" t="s">
        <v>2362</v>
      </c>
      <c r="I1594" s="34" t="s">
        <v>18</v>
      </c>
      <c r="J1594" s="34" t="s">
        <v>13</v>
      </c>
      <c r="K1594" s="9"/>
      <c r="L1594" s="45">
        <v>92.1</v>
      </c>
      <c r="M1594" s="45">
        <v>92.1</v>
      </c>
    </row>
    <row r="1595">
      <c r="A1595" s="34" t="s">
        <v>70</v>
      </c>
      <c r="B1595" s="34" t="s">
        <v>354</v>
      </c>
      <c r="C1595" s="34">
        <v>22.0</v>
      </c>
      <c r="D1595" s="34" t="s">
        <v>355</v>
      </c>
      <c r="E1595" s="34" t="s">
        <v>4135</v>
      </c>
      <c r="F1595" s="34" t="s">
        <v>4136</v>
      </c>
      <c r="G1595" s="34">
        <v>22050.0</v>
      </c>
      <c r="H1595" s="34" t="s">
        <v>2348</v>
      </c>
      <c r="I1595" s="34" t="s">
        <v>17</v>
      </c>
      <c r="J1595" s="34" t="s">
        <v>15</v>
      </c>
      <c r="K1595" s="45">
        <v>120.8</v>
      </c>
      <c r="L1595" s="9"/>
      <c r="M1595" s="45">
        <v>120.8</v>
      </c>
    </row>
    <row r="1596">
      <c r="A1596" s="34" t="s">
        <v>70</v>
      </c>
      <c r="B1596" s="34" t="s">
        <v>354</v>
      </c>
      <c r="C1596" s="34">
        <v>22.0</v>
      </c>
      <c r="D1596" s="34" t="s">
        <v>355</v>
      </c>
      <c r="E1596" s="34" t="s">
        <v>4137</v>
      </c>
      <c r="F1596" s="34" t="s">
        <v>1617</v>
      </c>
      <c r="G1596" s="34">
        <v>22070.0</v>
      </c>
      <c r="H1596" s="34" t="s">
        <v>2351</v>
      </c>
      <c r="I1596" s="34" t="s">
        <v>17</v>
      </c>
      <c r="J1596" s="34" t="s">
        <v>15</v>
      </c>
      <c r="K1596" s="45">
        <v>115.9</v>
      </c>
      <c r="L1596" s="9"/>
      <c r="M1596" s="45">
        <v>115.9</v>
      </c>
    </row>
    <row r="1597">
      <c r="A1597" s="34" t="s">
        <v>70</v>
      </c>
      <c r="B1597" s="34" t="s">
        <v>354</v>
      </c>
      <c r="C1597" s="34">
        <v>22.0</v>
      </c>
      <c r="D1597" s="34" t="s">
        <v>355</v>
      </c>
      <c r="E1597" s="34" t="s">
        <v>4138</v>
      </c>
      <c r="F1597" s="34" t="s">
        <v>4139</v>
      </c>
      <c r="G1597" s="34">
        <v>22093.0</v>
      </c>
      <c r="H1597" s="34" t="s">
        <v>4140</v>
      </c>
      <c r="I1597" s="34" t="s">
        <v>17</v>
      </c>
      <c r="J1597" s="34" t="s">
        <v>15</v>
      </c>
      <c r="K1597" s="45">
        <v>109.3</v>
      </c>
      <c r="L1597" s="9"/>
      <c r="M1597" s="45">
        <v>109.3</v>
      </c>
    </row>
    <row r="1598">
      <c r="A1598" s="34" t="s">
        <v>70</v>
      </c>
      <c r="B1598" s="34" t="s">
        <v>354</v>
      </c>
      <c r="C1598" s="34">
        <v>22.0</v>
      </c>
      <c r="D1598" s="34" t="s">
        <v>355</v>
      </c>
      <c r="E1598" s="34" t="s">
        <v>4141</v>
      </c>
      <c r="F1598" s="34" t="s">
        <v>4142</v>
      </c>
      <c r="G1598" s="34">
        <v>22113.0</v>
      </c>
      <c r="H1598" s="34" t="s">
        <v>358</v>
      </c>
      <c r="I1598" s="34" t="s">
        <v>17</v>
      </c>
      <c r="J1598" s="34" t="s">
        <v>15</v>
      </c>
      <c r="K1598" s="45">
        <v>124.0</v>
      </c>
      <c r="L1598" s="9"/>
      <c r="M1598" s="45">
        <v>124.0</v>
      </c>
    </row>
    <row r="1599">
      <c r="A1599" s="34" t="s">
        <v>70</v>
      </c>
      <c r="B1599" s="34" t="s">
        <v>354</v>
      </c>
      <c r="C1599" s="34">
        <v>22.0</v>
      </c>
      <c r="D1599" s="34" t="s">
        <v>355</v>
      </c>
      <c r="E1599" s="34" t="s">
        <v>4143</v>
      </c>
      <c r="F1599" s="34" t="s">
        <v>4144</v>
      </c>
      <c r="G1599" s="34">
        <v>22266.0</v>
      </c>
      <c r="H1599" s="34" t="s">
        <v>4145</v>
      </c>
      <c r="I1599" s="34" t="s">
        <v>17</v>
      </c>
      <c r="J1599" s="34" t="s">
        <v>14</v>
      </c>
      <c r="K1599" s="45">
        <v>99.6</v>
      </c>
      <c r="L1599" s="45">
        <v>93.2</v>
      </c>
      <c r="M1599" s="45">
        <v>98.6</v>
      </c>
    </row>
    <row r="1600">
      <c r="A1600" s="34" t="s">
        <v>70</v>
      </c>
      <c r="B1600" s="34" t="s">
        <v>322</v>
      </c>
      <c r="C1600" s="34">
        <v>23.0</v>
      </c>
      <c r="D1600" s="34" t="s">
        <v>370</v>
      </c>
      <c r="E1600" s="34" t="s">
        <v>4146</v>
      </c>
      <c r="F1600" s="34" t="s">
        <v>4147</v>
      </c>
      <c r="G1600" s="34">
        <v>23096.0</v>
      </c>
      <c r="H1600" s="34" t="s">
        <v>4148</v>
      </c>
      <c r="I1600" s="34" t="s">
        <v>18</v>
      </c>
      <c r="J1600" s="34" t="s">
        <v>14</v>
      </c>
      <c r="K1600" s="45">
        <v>116.8</v>
      </c>
      <c r="L1600" s="45">
        <v>103.8</v>
      </c>
      <c r="M1600" s="45">
        <v>116.6</v>
      </c>
    </row>
    <row r="1601">
      <c r="A1601" s="34" t="s">
        <v>70</v>
      </c>
      <c r="B1601" s="34" t="s">
        <v>322</v>
      </c>
      <c r="C1601" s="34">
        <v>23.0</v>
      </c>
      <c r="D1601" s="34" t="s">
        <v>370</v>
      </c>
      <c r="E1601" s="34" t="s">
        <v>4149</v>
      </c>
      <c r="F1601" s="34" t="s">
        <v>4150</v>
      </c>
      <c r="G1601" s="34">
        <v>23096.0</v>
      </c>
      <c r="H1601" s="34" t="s">
        <v>4148</v>
      </c>
      <c r="I1601" s="34" t="s">
        <v>18</v>
      </c>
      <c r="J1601" s="34" t="s">
        <v>14</v>
      </c>
      <c r="K1601" s="45">
        <v>115.4</v>
      </c>
      <c r="L1601" s="45">
        <v>88.8</v>
      </c>
      <c r="M1601" s="45">
        <v>111.4</v>
      </c>
    </row>
    <row r="1602">
      <c r="A1602" s="34" t="s">
        <v>70</v>
      </c>
      <c r="B1602" s="34" t="s">
        <v>377</v>
      </c>
      <c r="C1602" s="34">
        <v>24.0</v>
      </c>
      <c r="D1602" s="34" t="s">
        <v>378</v>
      </c>
      <c r="E1602" s="34" t="s">
        <v>4151</v>
      </c>
      <c r="F1602" s="34" t="s">
        <v>4152</v>
      </c>
      <c r="G1602" s="34">
        <v>24322.0</v>
      </c>
      <c r="H1602" s="34" t="s">
        <v>2384</v>
      </c>
      <c r="I1602" s="34" t="s">
        <v>18</v>
      </c>
      <c r="J1602" s="34" t="s">
        <v>14</v>
      </c>
      <c r="K1602" s="45">
        <v>117.4</v>
      </c>
      <c r="L1602" s="45">
        <v>102.3</v>
      </c>
      <c r="M1602" s="45">
        <v>117.1</v>
      </c>
    </row>
    <row r="1603">
      <c r="A1603" s="34" t="s">
        <v>70</v>
      </c>
      <c r="B1603" s="34" t="s">
        <v>377</v>
      </c>
      <c r="C1603" s="34">
        <v>24.0</v>
      </c>
      <c r="D1603" s="34" t="s">
        <v>378</v>
      </c>
      <c r="E1603" s="34" t="s">
        <v>4153</v>
      </c>
      <c r="F1603" s="34" t="s">
        <v>4154</v>
      </c>
      <c r="G1603" s="34">
        <v>24322.0</v>
      </c>
      <c r="H1603" s="34" t="s">
        <v>2384</v>
      </c>
      <c r="I1603" s="34" t="s">
        <v>18</v>
      </c>
      <c r="J1603" s="34" t="s">
        <v>13</v>
      </c>
      <c r="K1603" s="9"/>
      <c r="L1603" s="45">
        <v>85.2</v>
      </c>
      <c r="M1603" s="45">
        <v>85.2</v>
      </c>
    </row>
    <row r="1604">
      <c r="A1604" s="34" t="s">
        <v>70</v>
      </c>
      <c r="B1604" s="34" t="s">
        <v>377</v>
      </c>
      <c r="C1604" s="34">
        <v>24.0</v>
      </c>
      <c r="D1604" s="34" t="s">
        <v>378</v>
      </c>
      <c r="E1604" s="34" t="s">
        <v>4155</v>
      </c>
      <c r="F1604" s="34" t="s">
        <v>4156</v>
      </c>
      <c r="G1604" s="34">
        <v>24037.0</v>
      </c>
      <c r="H1604" s="34" t="s">
        <v>2376</v>
      </c>
      <c r="I1604" s="34" t="s">
        <v>17</v>
      </c>
      <c r="J1604" s="34" t="s">
        <v>15</v>
      </c>
      <c r="K1604" s="45">
        <v>111.3</v>
      </c>
      <c r="L1604" s="9"/>
      <c r="M1604" s="45">
        <v>111.3</v>
      </c>
    </row>
    <row r="1605">
      <c r="A1605" s="34" t="s">
        <v>70</v>
      </c>
      <c r="B1605" s="34" t="s">
        <v>377</v>
      </c>
      <c r="C1605" s="34">
        <v>24.0</v>
      </c>
      <c r="D1605" s="34" t="s">
        <v>378</v>
      </c>
      <c r="E1605" s="34" t="s">
        <v>4157</v>
      </c>
      <c r="F1605" s="34" t="s">
        <v>4158</v>
      </c>
      <c r="G1605" s="34">
        <v>24037.0</v>
      </c>
      <c r="H1605" s="34" t="s">
        <v>2376</v>
      </c>
      <c r="I1605" s="34" t="s">
        <v>17</v>
      </c>
      <c r="J1605" s="34" t="s">
        <v>13</v>
      </c>
      <c r="K1605" s="9"/>
      <c r="L1605" s="45">
        <v>84.5</v>
      </c>
      <c r="M1605" s="45">
        <v>84.5</v>
      </c>
    </row>
    <row r="1606">
      <c r="A1606" s="34" t="s">
        <v>70</v>
      </c>
      <c r="B1606" s="34" t="s">
        <v>377</v>
      </c>
      <c r="C1606" s="34">
        <v>24.0</v>
      </c>
      <c r="D1606" s="34" t="s">
        <v>378</v>
      </c>
      <c r="E1606" s="34" t="s">
        <v>4159</v>
      </c>
      <c r="F1606" s="34" t="s">
        <v>4160</v>
      </c>
      <c r="G1606" s="34">
        <v>24322.0</v>
      </c>
      <c r="H1606" s="34" t="s">
        <v>2384</v>
      </c>
      <c r="I1606" s="34" t="s">
        <v>18</v>
      </c>
      <c r="J1606" s="34" t="s">
        <v>13</v>
      </c>
      <c r="K1606" s="9"/>
      <c r="L1606" s="45">
        <v>89.9</v>
      </c>
      <c r="M1606" s="45">
        <v>89.9</v>
      </c>
    </row>
    <row r="1607">
      <c r="A1607" s="34" t="s">
        <v>70</v>
      </c>
      <c r="B1607" s="34" t="s">
        <v>393</v>
      </c>
      <c r="C1607" s="34">
        <v>25.0</v>
      </c>
      <c r="D1607" s="34" t="s">
        <v>394</v>
      </c>
      <c r="E1607" s="34" t="s">
        <v>4161</v>
      </c>
      <c r="F1607" s="34" t="s">
        <v>4162</v>
      </c>
      <c r="G1607" s="34">
        <v>25056.0</v>
      </c>
      <c r="H1607" s="34" t="s">
        <v>393</v>
      </c>
      <c r="I1607" s="34" t="s">
        <v>17</v>
      </c>
      <c r="J1607" s="34" t="s">
        <v>15</v>
      </c>
      <c r="K1607" s="45">
        <v>124.8</v>
      </c>
      <c r="L1607" s="9"/>
      <c r="M1607" s="45">
        <v>124.8</v>
      </c>
    </row>
    <row r="1608">
      <c r="A1608" s="34" t="s">
        <v>70</v>
      </c>
      <c r="B1608" s="34" t="s">
        <v>393</v>
      </c>
      <c r="C1608" s="34">
        <v>25.0</v>
      </c>
      <c r="D1608" s="34" t="s">
        <v>394</v>
      </c>
      <c r="E1608" s="34" t="s">
        <v>4163</v>
      </c>
      <c r="F1608" s="34" t="s">
        <v>4164</v>
      </c>
      <c r="G1608" s="34">
        <v>25462.0</v>
      </c>
      <c r="H1608" s="34" t="s">
        <v>399</v>
      </c>
      <c r="I1608" s="34" t="s">
        <v>17</v>
      </c>
      <c r="J1608" s="34" t="s">
        <v>15</v>
      </c>
      <c r="K1608" s="45">
        <v>112.6</v>
      </c>
      <c r="L1608" s="9"/>
      <c r="M1608" s="45">
        <v>112.6</v>
      </c>
    </row>
    <row r="1609">
      <c r="A1609" s="34" t="s">
        <v>70</v>
      </c>
      <c r="B1609" s="34" t="s">
        <v>161</v>
      </c>
      <c r="C1609" s="34">
        <v>26.0</v>
      </c>
      <c r="D1609" s="34" t="s">
        <v>402</v>
      </c>
      <c r="E1609" s="34" t="s">
        <v>4165</v>
      </c>
      <c r="F1609" s="34" t="s">
        <v>4166</v>
      </c>
      <c r="G1609" s="34">
        <v>26362.0</v>
      </c>
      <c r="H1609" s="34" t="s">
        <v>411</v>
      </c>
      <c r="I1609" s="34" t="s">
        <v>18</v>
      </c>
      <c r="J1609" s="34" t="s">
        <v>13</v>
      </c>
      <c r="K1609" s="9"/>
      <c r="L1609" s="45">
        <v>81.2</v>
      </c>
      <c r="M1609" s="45">
        <v>81.2</v>
      </c>
    </row>
    <row r="1610">
      <c r="A1610" s="34" t="s">
        <v>70</v>
      </c>
      <c r="B1610" s="34" t="s">
        <v>161</v>
      </c>
      <c r="C1610" s="34">
        <v>26.0</v>
      </c>
      <c r="D1610" s="34" t="s">
        <v>402</v>
      </c>
      <c r="E1610" s="34" t="s">
        <v>4167</v>
      </c>
      <c r="F1610" s="34" t="s">
        <v>4168</v>
      </c>
      <c r="G1610" s="34">
        <v>26083.0</v>
      </c>
      <c r="H1610" s="34" t="s">
        <v>4169</v>
      </c>
      <c r="I1610" s="34" t="s">
        <v>17</v>
      </c>
      <c r="J1610" s="34" t="s">
        <v>15</v>
      </c>
      <c r="K1610" s="45">
        <v>138.2</v>
      </c>
      <c r="L1610" s="9"/>
      <c r="M1610" s="45">
        <v>138.2</v>
      </c>
    </row>
    <row r="1611">
      <c r="A1611" s="34" t="s">
        <v>70</v>
      </c>
      <c r="B1611" s="34" t="s">
        <v>161</v>
      </c>
      <c r="C1611" s="34">
        <v>26.0</v>
      </c>
      <c r="D1611" s="34" t="s">
        <v>402</v>
      </c>
      <c r="E1611" s="34" t="s">
        <v>4170</v>
      </c>
      <c r="F1611" s="34" t="s">
        <v>307</v>
      </c>
      <c r="G1611" s="34">
        <v>26108.0</v>
      </c>
      <c r="H1611" s="34" t="s">
        <v>405</v>
      </c>
      <c r="I1611" s="34" t="s">
        <v>17</v>
      </c>
      <c r="J1611" s="34" t="s">
        <v>15</v>
      </c>
      <c r="K1611" s="45">
        <v>120.8</v>
      </c>
      <c r="L1611" s="9"/>
      <c r="M1611" s="45">
        <v>120.8</v>
      </c>
    </row>
    <row r="1612">
      <c r="A1612" s="34" t="s">
        <v>70</v>
      </c>
      <c r="B1612" s="34" t="s">
        <v>161</v>
      </c>
      <c r="C1612" s="34">
        <v>26.0</v>
      </c>
      <c r="D1612" s="34" t="s">
        <v>402</v>
      </c>
      <c r="E1612" s="34" t="s">
        <v>4171</v>
      </c>
      <c r="F1612" s="34" t="s">
        <v>4172</v>
      </c>
      <c r="G1612" s="34">
        <v>26362.0</v>
      </c>
      <c r="H1612" s="34" t="s">
        <v>411</v>
      </c>
      <c r="I1612" s="34" t="s">
        <v>17</v>
      </c>
      <c r="J1612" s="34" t="s">
        <v>15</v>
      </c>
      <c r="K1612" s="45">
        <v>115.4</v>
      </c>
      <c r="L1612" s="9"/>
      <c r="M1612" s="45">
        <v>115.4</v>
      </c>
    </row>
    <row r="1613">
      <c r="A1613" s="34" t="s">
        <v>70</v>
      </c>
      <c r="B1613" s="34" t="s">
        <v>161</v>
      </c>
      <c r="C1613" s="34">
        <v>26.0</v>
      </c>
      <c r="D1613" s="34" t="s">
        <v>402</v>
      </c>
      <c r="E1613" s="34" t="s">
        <v>4173</v>
      </c>
      <c r="F1613" s="34" t="s">
        <v>4174</v>
      </c>
      <c r="G1613" s="34">
        <v>26362.0</v>
      </c>
      <c r="H1613" s="34" t="s">
        <v>411</v>
      </c>
      <c r="I1613" s="34" t="s">
        <v>17</v>
      </c>
      <c r="J1613" s="34" t="s">
        <v>13</v>
      </c>
      <c r="K1613" s="9"/>
      <c r="L1613" s="45">
        <v>103.9</v>
      </c>
      <c r="M1613" s="45">
        <v>103.9</v>
      </c>
    </row>
    <row r="1614">
      <c r="A1614" s="34" t="s">
        <v>70</v>
      </c>
      <c r="B1614" s="34" t="s">
        <v>161</v>
      </c>
      <c r="C1614" s="34">
        <v>26.0</v>
      </c>
      <c r="D1614" s="34" t="s">
        <v>402</v>
      </c>
      <c r="E1614" s="34" t="s">
        <v>4175</v>
      </c>
      <c r="F1614" s="34" t="s">
        <v>4176</v>
      </c>
      <c r="G1614" s="34">
        <v>26347.0</v>
      </c>
      <c r="H1614" s="34" t="s">
        <v>4177</v>
      </c>
      <c r="I1614" s="34" t="s">
        <v>18</v>
      </c>
      <c r="J1614" s="34" t="s">
        <v>13</v>
      </c>
      <c r="K1614" s="9"/>
      <c r="L1614" s="45">
        <v>99.8</v>
      </c>
      <c r="M1614" s="45">
        <v>99.8</v>
      </c>
    </row>
    <row r="1615">
      <c r="A1615" s="34" t="s">
        <v>70</v>
      </c>
      <c r="B1615" s="34" t="s">
        <v>161</v>
      </c>
      <c r="C1615" s="34">
        <v>26.0</v>
      </c>
      <c r="D1615" s="34" t="s">
        <v>402</v>
      </c>
      <c r="E1615" s="34" t="s">
        <v>4178</v>
      </c>
      <c r="F1615" s="34" t="s">
        <v>4179</v>
      </c>
      <c r="G1615" s="34">
        <v>26362.0</v>
      </c>
      <c r="H1615" s="34" t="s">
        <v>411</v>
      </c>
      <c r="I1615" s="34" t="s">
        <v>18</v>
      </c>
      <c r="J1615" s="34" t="s">
        <v>14</v>
      </c>
      <c r="K1615" s="45">
        <v>113.9</v>
      </c>
      <c r="L1615" s="45">
        <v>90.9</v>
      </c>
      <c r="M1615" s="45">
        <v>110.6</v>
      </c>
    </row>
    <row r="1616">
      <c r="A1616" s="34" t="s">
        <v>70</v>
      </c>
      <c r="B1616" s="34" t="s">
        <v>269</v>
      </c>
      <c r="C1616" s="34">
        <v>27.0</v>
      </c>
      <c r="D1616" s="34" t="s">
        <v>417</v>
      </c>
      <c r="E1616" s="34" t="s">
        <v>4180</v>
      </c>
      <c r="F1616" s="34" t="s">
        <v>4181</v>
      </c>
      <c r="G1616" s="34">
        <v>27229.0</v>
      </c>
      <c r="H1616" s="34" t="s">
        <v>420</v>
      </c>
      <c r="I1616" s="34" t="s">
        <v>18</v>
      </c>
      <c r="J1616" s="34" t="s">
        <v>15</v>
      </c>
      <c r="K1616" s="45">
        <v>119.8</v>
      </c>
      <c r="L1616" s="9"/>
      <c r="M1616" s="45">
        <v>119.8</v>
      </c>
    </row>
    <row r="1617">
      <c r="A1617" s="34" t="s">
        <v>70</v>
      </c>
      <c r="B1617" s="34" t="s">
        <v>269</v>
      </c>
      <c r="C1617" s="34">
        <v>27.0</v>
      </c>
      <c r="D1617" s="34" t="s">
        <v>417</v>
      </c>
      <c r="E1617" s="34" t="s">
        <v>4182</v>
      </c>
      <c r="F1617" s="34" t="s">
        <v>4183</v>
      </c>
      <c r="G1617" s="34">
        <v>27229.0</v>
      </c>
      <c r="H1617" s="34" t="s">
        <v>420</v>
      </c>
      <c r="I1617" s="34" t="s">
        <v>17</v>
      </c>
      <c r="J1617" s="34" t="s">
        <v>14</v>
      </c>
      <c r="K1617" s="45">
        <v>116.3</v>
      </c>
      <c r="L1617" s="45">
        <v>91.2</v>
      </c>
      <c r="M1617" s="45">
        <v>101.5</v>
      </c>
    </row>
    <row r="1618">
      <c r="A1618" s="34" t="s">
        <v>70</v>
      </c>
      <c r="B1618" s="34" t="s">
        <v>269</v>
      </c>
      <c r="C1618" s="34">
        <v>27.0</v>
      </c>
      <c r="D1618" s="34" t="s">
        <v>417</v>
      </c>
      <c r="E1618" s="34" t="s">
        <v>4184</v>
      </c>
      <c r="F1618" s="34" t="s">
        <v>4185</v>
      </c>
      <c r="G1618" s="34">
        <v>27467.0</v>
      </c>
      <c r="H1618" s="34" t="s">
        <v>426</v>
      </c>
      <c r="I1618" s="34" t="s">
        <v>18</v>
      </c>
      <c r="J1618" s="34" t="s">
        <v>15</v>
      </c>
      <c r="K1618" s="45">
        <v>113.7</v>
      </c>
      <c r="L1618" s="9"/>
      <c r="M1618" s="45">
        <v>113.7</v>
      </c>
    </row>
    <row r="1619">
      <c r="A1619" s="34" t="s">
        <v>70</v>
      </c>
      <c r="B1619" s="34" t="s">
        <v>269</v>
      </c>
      <c r="C1619" s="34">
        <v>27.0</v>
      </c>
      <c r="D1619" s="34" t="s">
        <v>417</v>
      </c>
      <c r="E1619" s="34" t="s">
        <v>4186</v>
      </c>
      <c r="F1619" s="34" t="s">
        <v>4187</v>
      </c>
      <c r="G1619" s="34">
        <v>27116.0</v>
      </c>
      <c r="H1619" s="34" t="s">
        <v>4188</v>
      </c>
      <c r="I1619" s="34" t="s">
        <v>18</v>
      </c>
      <c r="J1619" s="34" t="s">
        <v>14</v>
      </c>
      <c r="K1619" s="45">
        <v>102.8</v>
      </c>
      <c r="L1619" s="45">
        <v>92.2</v>
      </c>
      <c r="M1619" s="45">
        <v>93.1</v>
      </c>
    </row>
    <row r="1620">
      <c r="A1620" s="34" t="s">
        <v>70</v>
      </c>
      <c r="B1620" s="34" t="s">
        <v>313</v>
      </c>
      <c r="C1620" s="34">
        <v>28.0</v>
      </c>
      <c r="D1620" s="34" t="s">
        <v>434</v>
      </c>
      <c r="E1620" s="34" t="s">
        <v>4189</v>
      </c>
      <c r="F1620" s="34" t="s">
        <v>4190</v>
      </c>
      <c r="G1620" s="34">
        <v>28085.0</v>
      </c>
      <c r="H1620" s="34" t="s">
        <v>437</v>
      </c>
      <c r="I1620" s="34" t="s">
        <v>18</v>
      </c>
      <c r="J1620" s="34" t="s">
        <v>14</v>
      </c>
      <c r="K1620" s="45">
        <v>113.7</v>
      </c>
      <c r="L1620" s="45">
        <v>93.7</v>
      </c>
      <c r="M1620" s="45">
        <v>107.5</v>
      </c>
    </row>
    <row r="1621">
      <c r="A1621" s="34" t="s">
        <v>70</v>
      </c>
      <c r="B1621" s="34" t="s">
        <v>313</v>
      </c>
      <c r="C1621" s="34">
        <v>28.0</v>
      </c>
      <c r="D1621" s="34" t="s">
        <v>434</v>
      </c>
      <c r="E1621" s="34" t="s">
        <v>4191</v>
      </c>
      <c r="F1621" s="34" t="s">
        <v>1526</v>
      </c>
      <c r="G1621" s="34">
        <v>28354.0</v>
      </c>
      <c r="H1621" s="34" t="s">
        <v>4192</v>
      </c>
      <c r="I1621" s="34" t="s">
        <v>17</v>
      </c>
      <c r="J1621" s="34" t="s">
        <v>13</v>
      </c>
      <c r="K1621" s="9"/>
      <c r="L1621" s="45">
        <v>81.0</v>
      </c>
      <c r="M1621" s="45">
        <v>81.0</v>
      </c>
    </row>
    <row r="1622">
      <c r="A1622" s="34" t="s">
        <v>70</v>
      </c>
      <c r="B1622" s="34" t="s">
        <v>313</v>
      </c>
      <c r="C1622" s="34">
        <v>28.0</v>
      </c>
      <c r="D1622" s="34" t="s">
        <v>434</v>
      </c>
      <c r="E1622" s="34" t="s">
        <v>4193</v>
      </c>
      <c r="F1622" s="34" t="s">
        <v>4194</v>
      </c>
      <c r="G1622" s="34">
        <v>28134.0</v>
      </c>
      <c r="H1622" s="34" t="s">
        <v>440</v>
      </c>
      <c r="I1622" s="34" t="s">
        <v>17</v>
      </c>
      <c r="J1622" s="34" t="s">
        <v>13</v>
      </c>
      <c r="K1622" s="9"/>
      <c r="L1622" s="45">
        <v>80.9</v>
      </c>
      <c r="M1622" s="45">
        <v>80.9</v>
      </c>
    </row>
    <row r="1623">
      <c r="A1623" s="34" t="s">
        <v>70</v>
      </c>
      <c r="B1623" s="34" t="s">
        <v>313</v>
      </c>
      <c r="C1623" s="34">
        <v>28.0</v>
      </c>
      <c r="D1623" s="34" t="s">
        <v>434</v>
      </c>
      <c r="E1623" s="34" t="s">
        <v>4195</v>
      </c>
      <c r="F1623" s="34" t="s">
        <v>4196</v>
      </c>
      <c r="G1623" s="34">
        <v>28088.0</v>
      </c>
      <c r="H1623" s="34" t="s">
        <v>2450</v>
      </c>
      <c r="I1623" s="34" t="s">
        <v>18</v>
      </c>
      <c r="J1623" s="34" t="s">
        <v>13</v>
      </c>
      <c r="K1623" s="9"/>
      <c r="L1623" s="45">
        <v>80.2</v>
      </c>
      <c r="M1623" s="45">
        <v>80.2</v>
      </c>
    </row>
    <row r="1624">
      <c r="A1624" s="34" t="s">
        <v>70</v>
      </c>
      <c r="B1624" s="34" t="s">
        <v>313</v>
      </c>
      <c r="C1624" s="34">
        <v>28.0</v>
      </c>
      <c r="D1624" s="34" t="s">
        <v>434</v>
      </c>
      <c r="E1624" s="34" t="s">
        <v>4197</v>
      </c>
      <c r="F1624" s="34" t="s">
        <v>4198</v>
      </c>
      <c r="G1624" s="34">
        <v>28134.0</v>
      </c>
      <c r="H1624" s="34" t="s">
        <v>440</v>
      </c>
      <c r="I1624" s="34" t="s">
        <v>18</v>
      </c>
      <c r="J1624" s="34" t="s">
        <v>13</v>
      </c>
      <c r="K1624" s="9"/>
      <c r="L1624" s="45">
        <v>88.0</v>
      </c>
      <c r="M1624" s="45">
        <v>88.0</v>
      </c>
    </row>
    <row r="1625">
      <c r="A1625" s="34" t="s">
        <v>70</v>
      </c>
      <c r="B1625" s="34" t="s">
        <v>354</v>
      </c>
      <c r="C1625" s="34">
        <v>29.0</v>
      </c>
      <c r="D1625" s="34" t="s">
        <v>446</v>
      </c>
      <c r="E1625" s="34" t="s">
        <v>4199</v>
      </c>
      <c r="F1625" s="34" t="s">
        <v>1194</v>
      </c>
      <c r="G1625" s="34">
        <v>29019.0</v>
      </c>
      <c r="H1625" s="34" t="s">
        <v>449</v>
      </c>
      <c r="I1625" s="34" t="s">
        <v>18</v>
      </c>
      <c r="J1625" s="34" t="s">
        <v>14</v>
      </c>
      <c r="K1625" s="45">
        <v>119.8</v>
      </c>
      <c r="L1625" s="45">
        <v>87.5</v>
      </c>
      <c r="M1625" s="45">
        <v>103.7</v>
      </c>
    </row>
    <row r="1626">
      <c r="A1626" s="34" t="s">
        <v>70</v>
      </c>
      <c r="B1626" s="34" t="s">
        <v>354</v>
      </c>
      <c r="C1626" s="34">
        <v>29.0</v>
      </c>
      <c r="D1626" s="34" t="s">
        <v>446</v>
      </c>
      <c r="E1626" s="34" t="s">
        <v>4200</v>
      </c>
      <c r="F1626" s="34" t="s">
        <v>4201</v>
      </c>
      <c r="G1626" s="34">
        <v>29039.0</v>
      </c>
      <c r="H1626" s="34" t="s">
        <v>4202</v>
      </c>
      <c r="I1626" s="34" t="s">
        <v>18</v>
      </c>
      <c r="J1626" s="34" t="s">
        <v>14</v>
      </c>
      <c r="K1626" s="45">
        <v>117.0</v>
      </c>
      <c r="L1626" s="45">
        <v>96.8</v>
      </c>
      <c r="M1626" s="45">
        <v>112.1</v>
      </c>
    </row>
    <row r="1627">
      <c r="A1627" s="34" t="s">
        <v>70</v>
      </c>
      <c r="B1627" s="34" t="s">
        <v>354</v>
      </c>
      <c r="C1627" s="34">
        <v>29.0</v>
      </c>
      <c r="D1627" s="34" t="s">
        <v>446</v>
      </c>
      <c r="E1627" s="34" t="s">
        <v>4203</v>
      </c>
      <c r="F1627" s="34" t="s">
        <v>4204</v>
      </c>
      <c r="G1627" s="34">
        <v>29046.0</v>
      </c>
      <c r="H1627" s="34" t="s">
        <v>480</v>
      </c>
      <c r="I1627" s="34" t="s">
        <v>18</v>
      </c>
      <c r="J1627" s="34" t="s">
        <v>15</v>
      </c>
      <c r="K1627" s="45">
        <v>115.1</v>
      </c>
      <c r="L1627" s="9"/>
      <c r="M1627" s="45">
        <v>115.1</v>
      </c>
    </row>
    <row r="1628">
      <c r="A1628" s="34" t="s">
        <v>70</v>
      </c>
      <c r="B1628" s="34" t="s">
        <v>354</v>
      </c>
      <c r="C1628" s="34">
        <v>29.0</v>
      </c>
      <c r="D1628" s="34" t="s">
        <v>446</v>
      </c>
      <c r="E1628" s="34" t="s">
        <v>4205</v>
      </c>
      <c r="F1628" s="34" t="s">
        <v>4206</v>
      </c>
      <c r="G1628" s="34">
        <v>29233.0</v>
      </c>
      <c r="H1628" s="34" t="s">
        <v>4207</v>
      </c>
      <c r="I1628" s="34" t="s">
        <v>18</v>
      </c>
      <c r="J1628" s="34" t="s">
        <v>15</v>
      </c>
      <c r="K1628" s="45">
        <v>115.5</v>
      </c>
      <c r="L1628" s="9"/>
      <c r="M1628" s="45">
        <v>115.5</v>
      </c>
    </row>
    <row r="1629">
      <c r="A1629" s="34" t="s">
        <v>70</v>
      </c>
      <c r="B1629" s="34" t="s">
        <v>354</v>
      </c>
      <c r="C1629" s="34">
        <v>29.0</v>
      </c>
      <c r="D1629" s="34" t="s">
        <v>446</v>
      </c>
      <c r="E1629" s="34" t="s">
        <v>4208</v>
      </c>
      <c r="F1629" s="34" t="s">
        <v>4209</v>
      </c>
      <c r="G1629" s="34">
        <v>29151.0</v>
      </c>
      <c r="H1629" s="34" t="s">
        <v>471</v>
      </c>
      <c r="I1629" s="34" t="s">
        <v>18</v>
      </c>
      <c r="J1629" s="34" t="s">
        <v>13</v>
      </c>
      <c r="K1629" s="9"/>
      <c r="L1629" s="45">
        <v>96.7</v>
      </c>
      <c r="M1629" s="45">
        <v>96.7</v>
      </c>
    </row>
    <row r="1630">
      <c r="A1630" s="34" t="s">
        <v>70</v>
      </c>
      <c r="B1630" s="34" t="s">
        <v>354</v>
      </c>
      <c r="C1630" s="34">
        <v>29.0</v>
      </c>
      <c r="D1630" s="34" t="s">
        <v>446</v>
      </c>
      <c r="E1630" s="34" t="s">
        <v>4210</v>
      </c>
      <c r="F1630" s="34" t="s">
        <v>307</v>
      </c>
      <c r="G1630" s="34">
        <v>29026.0</v>
      </c>
      <c r="H1630" s="34" t="s">
        <v>457</v>
      </c>
      <c r="I1630" s="34" t="s">
        <v>17</v>
      </c>
      <c r="J1630" s="34" t="s">
        <v>15</v>
      </c>
      <c r="K1630" s="45">
        <v>110.3</v>
      </c>
      <c r="L1630" s="9"/>
      <c r="M1630" s="45">
        <v>110.3</v>
      </c>
    </row>
    <row r="1631">
      <c r="A1631" s="34" t="s">
        <v>70</v>
      </c>
      <c r="B1631" s="34" t="s">
        <v>354</v>
      </c>
      <c r="C1631" s="34">
        <v>29.0</v>
      </c>
      <c r="D1631" s="34" t="s">
        <v>446</v>
      </c>
      <c r="E1631" s="34" t="s">
        <v>4211</v>
      </c>
      <c r="F1631" s="34" t="s">
        <v>4212</v>
      </c>
      <c r="G1631" s="34">
        <v>29151.0</v>
      </c>
      <c r="H1631" s="34" t="s">
        <v>471</v>
      </c>
      <c r="I1631" s="34" t="s">
        <v>17</v>
      </c>
      <c r="J1631" s="34" t="s">
        <v>13</v>
      </c>
      <c r="K1631" s="9"/>
      <c r="L1631" s="45">
        <v>95.3</v>
      </c>
      <c r="M1631" s="45">
        <v>95.3</v>
      </c>
    </row>
    <row r="1632">
      <c r="A1632" s="34" t="s">
        <v>70</v>
      </c>
      <c r="B1632" s="34" t="s">
        <v>354</v>
      </c>
      <c r="C1632" s="34">
        <v>29.0</v>
      </c>
      <c r="D1632" s="34" t="s">
        <v>446</v>
      </c>
      <c r="E1632" s="34" t="s">
        <v>4213</v>
      </c>
      <c r="F1632" s="34" t="s">
        <v>4214</v>
      </c>
      <c r="G1632" s="34">
        <v>29019.0</v>
      </c>
      <c r="H1632" s="34" t="s">
        <v>449</v>
      </c>
      <c r="I1632" s="34" t="s">
        <v>17</v>
      </c>
      <c r="J1632" s="34" t="s">
        <v>14</v>
      </c>
      <c r="K1632" s="45">
        <v>119.7</v>
      </c>
      <c r="L1632" s="45">
        <v>100.7</v>
      </c>
      <c r="M1632" s="45">
        <v>113.8</v>
      </c>
    </row>
    <row r="1633">
      <c r="A1633" s="34" t="s">
        <v>70</v>
      </c>
      <c r="B1633" s="34" t="s">
        <v>354</v>
      </c>
      <c r="C1633" s="34">
        <v>29.0</v>
      </c>
      <c r="D1633" s="34" t="s">
        <v>446</v>
      </c>
      <c r="E1633" s="34" t="s">
        <v>4215</v>
      </c>
      <c r="F1633" s="34" t="s">
        <v>4216</v>
      </c>
      <c r="G1633" s="34">
        <v>29019.0</v>
      </c>
      <c r="H1633" s="34" t="s">
        <v>449</v>
      </c>
      <c r="I1633" s="34" t="s">
        <v>17</v>
      </c>
      <c r="J1633" s="34" t="s">
        <v>15</v>
      </c>
      <c r="K1633" s="45">
        <v>142.9</v>
      </c>
      <c r="L1633" s="9"/>
      <c r="M1633" s="45">
        <v>142.9</v>
      </c>
    </row>
    <row r="1634">
      <c r="A1634" s="34" t="s">
        <v>70</v>
      </c>
      <c r="B1634" s="34" t="s">
        <v>354</v>
      </c>
      <c r="C1634" s="34">
        <v>29.0</v>
      </c>
      <c r="D1634" s="34" t="s">
        <v>446</v>
      </c>
      <c r="E1634" s="34" t="s">
        <v>4217</v>
      </c>
      <c r="F1634" s="34" t="s">
        <v>4218</v>
      </c>
      <c r="G1634" s="34">
        <v>29019.0</v>
      </c>
      <c r="H1634" s="34" t="s">
        <v>449</v>
      </c>
      <c r="I1634" s="34" t="s">
        <v>17</v>
      </c>
      <c r="J1634" s="34" t="s">
        <v>14</v>
      </c>
      <c r="K1634" s="45">
        <v>113.0</v>
      </c>
      <c r="L1634" s="45">
        <v>99.1</v>
      </c>
      <c r="M1634" s="45">
        <v>106.3</v>
      </c>
    </row>
    <row r="1635">
      <c r="A1635" s="34" t="s">
        <v>70</v>
      </c>
      <c r="B1635" s="34" t="s">
        <v>354</v>
      </c>
      <c r="C1635" s="34">
        <v>29.0</v>
      </c>
      <c r="D1635" s="34" t="s">
        <v>446</v>
      </c>
      <c r="E1635" s="34" t="s">
        <v>4219</v>
      </c>
      <c r="F1635" s="34" t="s">
        <v>4220</v>
      </c>
      <c r="G1635" s="34">
        <v>29019.0</v>
      </c>
      <c r="H1635" s="34" t="s">
        <v>449</v>
      </c>
      <c r="I1635" s="34" t="s">
        <v>17</v>
      </c>
      <c r="J1635" s="34" t="s">
        <v>13</v>
      </c>
      <c r="K1635" s="9"/>
      <c r="L1635" s="45">
        <v>97.8</v>
      </c>
      <c r="M1635" s="45">
        <v>97.8</v>
      </c>
    </row>
    <row r="1636">
      <c r="A1636" s="34" t="s">
        <v>70</v>
      </c>
      <c r="B1636" s="34" t="s">
        <v>483</v>
      </c>
      <c r="C1636" s="34">
        <v>30.0</v>
      </c>
      <c r="D1636" s="34" t="s">
        <v>484</v>
      </c>
      <c r="E1636" s="34" t="s">
        <v>4221</v>
      </c>
      <c r="F1636" s="34" t="s">
        <v>4222</v>
      </c>
      <c r="G1636" s="34">
        <v>30007.0</v>
      </c>
      <c r="H1636" s="34" t="s">
        <v>2476</v>
      </c>
      <c r="I1636" s="34" t="s">
        <v>17</v>
      </c>
      <c r="J1636" s="34" t="s">
        <v>13</v>
      </c>
      <c r="K1636" s="9"/>
      <c r="L1636" s="45">
        <v>78.4</v>
      </c>
      <c r="M1636" s="45">
        <v>78.4</v>
      </c>
    </row>
    <row r="1637">
      <c r="A1637" s="34" t="s">
        <v>70</v>
      </c>
      <c r="B1637" s="34" t="s">
        <v>483</v>
      </c>
      <c r="C1637" s="34">
        <v>30.0</v>
      </c>
      <c r="D1637" s="34" t="s">
        <v>484</v>
      </c>
      <c r="E1637" s="34" t="s">
        <v>4223</v>
      </c>
      <c r="F1637" s="34" t="s">
        <v>4224</v>
      </c>
      <c r="G1637" s="34">
        <v>30028.0</v>
      </c>
      <c r="H1637" s="34" t="s">
        <v>507</v>
      </c>
      <c r="I1637" s="34" t="s">
        <v>17</v>
      </c>
      <c r="J1637" s="34" t="s">
        <v>13</v>
      </c>
      <c r="K1637" s="9"/>
      <c r="L1637" s="45">
        <v>90.4</v>
      </c>
      <c r="M1637" s="45">
        <v>90.4</v>
      </c>
    </row>
    <row r="1638">
      <c r="A1638" s="34" t="s">
        <v>70</v>
      </c>
      <c r="B1638" s="34" t="s">
        <v>483</v>
      </c>
      <c r="C1638" s="34">
        <v>30.0</v>
      </c>
      <c r="D1638" s="34" t="s">
        <v>484</v>
      </c>
      <c r="E1638" s="34" t="s">
        <v>4225</v>
      </c>
      <c r="F1638" s="34" t="s">
        <v>3454</v>
      </c>
      <c r="G1638" s="34">
        <v>30351.0</v>
      </c>
      <c r="H1638" s="34" t="s">
        <v>4226</v>
      </c>
      <c r="I1638" s="34" t="s">
        <v>18</v>
      </c>
      <c r="J1638" s="34" t="s">
        <v>15</v>
      </c>
      <c r="K1638" s="45">
        <v>125.4</v>
      </c>
      <c r="L1638" s="9"/>
      <c r="M1638" s="45">
        <v>125.4</v>
      </c>
    </row>
    <row r="1639">
      <c r="A1639" s="34" t="s">
        <v>70</v>
      </c>
      <c r="B1639" s="34" t="s">
        <v>483</v>
      </c>
      <c r="C1639" s="34">
        <v>30.0</v>
      </c>
      <c r="D1639" s="34" t="s">
        <v>484</v>
      </c>
      <c r="E1639" s="34" t="s">
        <v>4227</v>
      </c>
      <c r="F1639" s="34" t="s">
        <v>4228</v>
      </c>
      <c r="G1639" s="34">
        <v>30243.0</v>
      </c>
      <c r="H1639" s="34" t="s">
        <v>4229</v>
      </c>
      <c r="I1639" s="34" t="s">
        <v>18</v>
      </c>
      <c r="J1639" s="34" t="s">
        <v>14</v>
      </c>
      <c r="K1639" s="45">
        <v>106.4</v>
      </c>
      <c r="L1639" s="45">
        <v>86.0</v>
      </c>
      <c r="M1639" s="45">
        <v>101.1</v>
      </c>
    </row>
    <row r="1640">
      <c r="A1640" s="34" t="s">
        <v>70</v>
      </c>
      <c r="B1640" s="34" t="s">
        <v>182</v>
      </c>
      <c r="C1640" s="34">
        <v>31.0</v>
      </c>
      <c r="D1640" s="34" t="s">
        <v>508</v>
      </c>
      <c r="E1640" s="34" t="s">
        <v>4230</v>
      </c>
      <c r="F1640" s="34" t="s">
        <v>4231</v>
      </c>
      <c r="G1640" s="34">
        <v>31224.0</v>
      </c>
      <c r="H1640" s="34" t="s">
        <v>4232</v>
      </c>
      <c r="I1640" s="34" t="s">
        <v>18</v>
      </c>
      <c r="J1640" s="34" t="s">
        <v>14</v>
      </c>
      <c r="K1640" s="45">
        <v>111.6</v>
      </c>
      <c r="L1640" s="45">
        <v>96.1</v>
      </c>
      <c r="M1640" s="45">
        <v>104.8</v>
      </c>
    </row>
    <row r="1641">
      <c r="A1641" s="34" t="s">
        <v>70</v>
      </c>
      <c r="B1641" s="34" t="s">
        <v>182</v>
      </c>
      <c r="C1641" s="34">
        <v>31.0</v>
      </c>
      <c r="D1641" s="34" t="s">
        <v>508</v>
      </c>
      <c r="E1641" s="34" t="s">
        <v>4233</v>
      </c>
      <c r="F1641" s="34" t="s">
        <v>4234</v>
      </c>
      <c r="G1641" s="34">
        <v>31451.0</v>
      </c>
      <c r="H1641" s="34" t="s">
        <v>4235</v>
      </c>
      <c r="I1641" s="34" t="s">
        <v>18</v>
      </c>
      <c r="J1641" s="34" t="s">
        <v>15</v>
      </c>
      <c r="K1641" s="45">
        <v>119.5</v>
      </c>
      <c r="L1641" s="9"/>
      <c r="M1641" s="45">
        <v>119.5</v>
      </c>
    </row>
    <row r="1642">
      <c r="A1642" s="34" t="s">
        <v>70</v>
      </c>
      <c r="B1642" s="34" t="s">
        <v>182</v>
      </c>
      <c r="C1642" s="34">
        <v>31.0</v>
      </c>
      <c r="D1642" s="34" t="s">
        <v>508</v>
      </c>
      <c r="E1642" s="34" t="s">
        <v>4236</v>
      </c>
      <c r="F1642" s="34" t="s">
        <v>4237</v>
      </c>
      <c r="G1642" s="34">
        <v>31483.0</v>
      </c>
      <c r="H1642" s="34" t="s">
        <v>4238</v>
      </c>
      <c r="I1642" s="34" t="s">
        <v>18</v>
      </c>
      <c r="J1642" s="34" t="s">
        <v>15</v>
      </c>
      <c r="K1642" s="45">
        <v>112.7</v>
      </c>
      <c r="L1642" s="9"/>
      <c r="M1642" s="45">
        <v>112.7</v>
      </c>
    </row>
    <row r="1643">
      <c r="A1643" s="34" t="s">
        <v>70</v>
      </c>
      <c r="B1643" s="34" t="s">
        <v>182</v>
      </c>
      <c r="C1643" s="34">
        <v>31.0</v>
      </c>
      <c r="D1643" s="34" t="s">
        <v>508</v>
      </c>
      <c r="E1643" s="34" t="s">
        <v>4239</v>
      </c>
      <c r="F1643" s="34" t="s">
        <v>4240</v>
      </c>
      <c r="G1643" s="34">
        <v>31555.0</v>
      </c>
      <c r="H1643" s="34" t="s">
        <v>182</v>
      </c>
      <c r="I1643" s="34" t="s">
        <v>18</v>
      </c>
      <c r="J1643" s="34" t="s">
        <v>15</v>
      </c>
      <c r="K1643" s="45">
        <v>133.9</v>
      </c>
      <c r="L1643" s="9"/>
      <c r="M1643" s="45">
        <v>133.9</v>
      </c>
    </row>
    <row r="1644">
      <c r="A1644" s="34" t="s">
        <v>70</v>
      </c>
      <c r="B1644" s="34" t="s">
        <v>182</v>
      </c>
      <c r="C1644" s="34">
        <v>31.0</v>
      </c>
      <c r="D1644" s="34" t="s">
        <v>508</v>
      </c>
      <c r="E1644" s="34" t="s">
        <v>4241</v>
      </c>
      <c r="F1644" s="34" t="s">
        <v>4242</v>
      </c>
      <c r="G1644" s="34">
        <v>31555.0</v>
      </c>
      <c r="H1644" s="34" t="s">
        <v>182</v>
      </c>
      <c r="I1644" s="34" t="s">
        <v>18</v>
      </c>
      <c r="J1644" s="34" t="s">
        <v>13</v>
      </c>
      <c r="K1644" s="9"/>
      <c r="L1644" s="45">
        <v>89.9</v>
      </c>
      <c r="M1644" s="45">
        <v>89.9</v>
      </c>
    </row>
    <row r="1645">
      <c r="A1645" s="34" t="s">
        <v>70</v>
      </c>
      <c r="B1645" s="34" t="s">
        <v>182</v>
      </c>
      <c r="C1645" s="34">
        <v>31.0</v>
      </c>
      <c r="D1645" s="34" t="s">
        <v>508</v>
      </c>
      <c r="E1645" s="34" t="s">
        <v>4243</v>
      </c>
      <c r="F1645" s="34" t="s">
        <v>4244</v>
      </c>
      <c r="G1645" s="34">
        <v>31483.0</v>
      </c>
      <c r="H1645" s="34" t="s">
        <v>4238</v>
      </c>
      <c r="I1645" s="34" t="s">
        <v>17</v>
      </c>
      <c r="J1645" s="34" t="s">
        <v>14</v>
      </c>
      <c r="K1645" s="45">
        <v>110.3</v>
      </c>
      <c r="L1645" s="45">
        <v>81.6</v>
      </c>
      <c r="M1645" s="45">
        <v>102.3</v>
      </c>
    </row>
    <row r="1646">
      <c r="A1646" s="34" t="s">
        <v>70</v>
      </c>
      <c r="B1646" s="34" t="s">
        <v>182</v>
      </c>
      <c r="C1646" s="34">
        <v>31.0</v>
      </c>
      <c r="D1646" s="34" t="s">
        <v>508</v>
      </c>
      <c r="E1646" s="34" t="s">
        <v>4245</v>
      </c>
      <c r="F1646" s="34" t="s">
        <v>4246</v>
      </c>
      <c r="G1646" s="34">
        <v>31555.0</v>
      </c>
      <c r="H1646" s="34" t="s">
        <v>182</v>
      </c>
      <c r="I1646" s="34" t="s">
        <v>17</v>
      </c>
      <c r="J1646" s="34" t="s">
        <v>14</v>
      </c>
      <c r="K1646" s="45">
        <v>138.3</v>
      </c>
      <c r="L1646" s="45">
        <v>101.4</v>
      </c>
      <c r="M1646" s="45">
        <v>135.2</v>
      </c>
    </row>
    <row r="1647">
      <c r="A1647" s="34" t="s">
        <v>70</v>
      </c>
      <c r="B1647" s="34" t="s">
        <v>182</v>
      </c>
      <c r="C1647" s="34">
        <v>31.0</v>
      </c>
      <c r="D1647" s="34" t="s">
        <v>508</v>
      </c>
      <c r="E1647" s="34" t="s">
        <v>4247</v>
      </c>
      <c r="F1647" s="34" t="s">
        <v>4248</v>
      </c>
      <c r="G1647" s="34">
        <v>31555.0</v>
      </c>
      <c r="H1647" s="34" t="s">
        <v>182</v>
      </c>
      <c r="I1647" s="34" t="s">
        <v>17</v>
      </c>
      <c r="J1647" s="34" t="s">
        <v>15</v>
      </c>
      <c r="K1647" s="45">
        <v>143.1</v>
      </c>
      <c r="L1647" s="9"/>
      <c r="M1647" s="45">
        <v>143.1</v>
      </c>
    </row>
    <row r="1648">
      <c r="A1648" s="34" t="s">
        <v>70</v>
      </c>
      <c r="B1648" s="34" t="s">
        <v>182</v>
      </c>
      <c r="C1648" s="34">
        <v>31.0</v>
      </c>
      <c r="D1648" s="34" t="s">
        <v>508</v>
      </c>
      <c r="E1648" s="34" t="s">
        <v>4249</v>
      </c>
      <c r="F1648" s="34" t="s">
        <v>3555</v>
      </c>
      <c r="G1648" s="34">
        <v>31555.0</v>
      </c>
      <c r="H1648" s="34" t="s">
        <v>182</v>
      </c>
      <c r="I1648" s="34" t="s">
        <v>18</v>
      </c>
      <c r="J1648" s="34" t="s">
        <v>15</v>
      </c>
      <c r="K1648" s="45">
        <v>119.3</v>
      </c>
      <c r="L1648" s="9"/>
      <c r="M1648" s="45">
        <v>119.3</v>
      </c>
    </row>
    <row r="1649">
      <c r="A1649" s="34" t="s">
        <v>70</v>
      </c>
      <c r="B1649" s="34" t="s">
        <v>182</v>
      </c>
      <c r="C1649" s="34">
        <v>31.0</v>
      </c>
      <c r="D1649" s="34" t="s">
        <v>508</v>
      </c>
      <c r="E1649" s="34" t="s">
        <v>4250</v>
      </c>
      <c r="F1649" s="34" t="s">
        <v>4251</v>
      </c>
      <c r="G1649" s="34">
        <v>31291.0</v>
      </c>
      <c r="H1649" s="34" t="s">
        <v>4252</v>
      </c>
      <c r="I1649" s="34" t="s">
        <v>17</v>
      </c>
      <c r="J1649" s="34" t="s">
        <v>13</v>
      </c>
      <c r="K1649" s="9"/>
      <c r="L1649" s="45">
        <v>101.7</v>
      </c>
      <c r="M1649" s="45">
        <v>101.7</v>
      </c>
    </row>
    <row r="1650">
      <c r="A1650" s="34" t="s">
        <v>70</v>
      </c>
      <c r="B1650" s="34" t="s">
        <v>182</v>
      </c>
      <c r="C1650" s="34">
        <v>31.0</v>
      </c>
      <c r="D1650" s="34" t="s">
        <v>508</v>
      </c>
      <c r="E1650" s="34" t="s">
        <v>4253</v>
      </c>
      <c r="F1650" s="34" t="s">
        <v>4254</v>
      </c>
      <c r="G1650" s="34">
        <v>31555.0</v>
      </c>
      <c r="H1650" s="34" t="s">
        <v>182</v>
      </c>
      <c r="I1650" s="34" t="s">
        <v>18</v>
      </c>
      <c r="J1650" s="34" t="s">
        <v>15</v>
      </c>
      <c r="K1650" s="45">
        <v>112.8</v>
      </c>
      <c r="L1650" s="9"/>
      <c r="M1650" s="45">
        <v>112.8</v>
      </c>
    </row>
    <row r="1651">
      <c r="A1651" s="34" t="s">
        <v>70</v>
      </c>
      <c r="B1651" s="34" t="s">
        <v>182</v>
      </c>
      <c r="C1651" s="34">
        <v>31.0</v>
      </c>
      <c r="D1651" s="34" t="s">
        <v>508</v>
      </c>
      <c r="E1651" s="34" t="s">
        <v>4255</v>
      </c>
      <c r="F1651" s="34" t="s">
        <v>4256</v>
      </c>
      <c r="G1651" s="34">
        <v>31506.0</v>
      </c>
      <c r="H1651" s="34" t="s">
        <v>4257</v>
      </c>
      <c r="I1651" s="34" t="s">
        <v>18</v>
      </c>
      <c r="J1651" s="34" t="s">
        <v>15</v>
      </c>
      <c r="K1651" s="45">
        <v>140.2</v>
      </c>
      <c r="L1651" s="9"/>
      <c r="M1651" s="45">
        <v>140.2</v>
      </c>
    </row>
    <row r="1652">
      <c r="A1652" s="34" t="s">
        <v>70</v>
      </c>
      <c r="B1652" s="34" t="s">
        <v>182</v>
      </c>
      <c r="C1652" s="34">
        <v>31.0</v>
      </c>
      <c r="D1652" s="34" t="s">
        <v>508</v>
      </c>
      <c r="E1652" s="34" t="s">
        <v>4258</v>
      </c>
      <c r="F1652" s="34" t="s">
        <v>4259</v>
      </c>
      <c r="G1652" s="34">
        <v>31149.0</v>
      </c>
      <c r="H1652" s="34" t="s">
        <v>521</v>
      </c>
      <c r="I1652" s="34" t="s">
        <v>17</v>
      </c>
      <c r="J1652" s="34" t="s">
        <v>15</v>
      </c>
      <c r="K1652" s="45">
        <v>114.5</v>
      </c>
      <c r="L1652" s="9"/>
      <c r="M1652" s="45">
        <v>114.5</v>
      </c>
    </row>
    <row r="1653">
      <c r="A1653" s="34" t="s">
        <v>70</v>
      </c>
      <c r="B1653" s="34" t="s">
        <v>182</v>
      </c>
      <c r="C1653" s="34">
        <v>31.0</v>
      </c>
      <c r="D1653" s="34" t="s">
        <v>508</v>
      </c>
      <c r="E1653" s="34" t="s">
        <v>4260</v>
      </c>
      <c r="F1653" s="34" t="s">
        <v>4261</v>
      </c>
      <c r="G1653" s="34">
        <v>31069.0</v>
      </c>
      <c r="H1653" s="34" t="s">
        <v>4262</v>
      </c>
      <c r="I1653" s="34" t="s">
        <v>18</v>
      </c>
      <c r="J1653" s="34" t="s">
        <v>14</v>
      </c>
      <c r="K1653" s="45">
        <v>127.9</v>
      </c>
      <c r="L1653" s="45">
        <v>97.6</v>
      </c>
      <c r="M1653" s="45">
        <v>121.0</v>
      </c>
    </row>
    <row r="1654">
      <c r="A1654" s="34" t="s">
        <v>70</v>
      </c>
      <c r="B1654" s="34" t="s">
        <v>182</v>
      </c>
      <c r="C1654" s="34">
        <v>31.0</v>
      </c>
      <c r="D1654" s="34" t="s">
        <v>508</v>
      </c>
      <c r="E1654" s="34" t="s">
        <v>4263</v>
      </c>
      <c r="F1654" s="34" t="s">
        <v>4264</v>
      </c>
      <c r="G1654" s="34">
        <v>31555.0</v>
      </c>
      <c r="H1654" s="34" t="s">
        <v>182</v>
      </c>
      <c r="I1654" s="34" t="s">
        <v>18</v>
      </c>
      <c r="J1654" s="34" t="s">
        <v>14</v>
      </c>
      <c r="K1654" s="45">
        <v>84.0</v>
      </c>
      <c r="L1654" s="45">
        <v>78.5</v>
      </c>
      <c r="M1654" s="45">
        <v>79.2</v>
      </c>
    </row>
    <row r="1655">
      <c r="A1655" s="34" t="s">
        <v>70</v>
      </c>
      <c r="B1655" s="34" t="s">
        <v>182</v>
      </c>
      <c r="C1655" s="34">
        <v>31.0</v>
      </c>
      <c r="D1655" s="34" t="s">
        <v>508</v>
      </c>
      <c r="E1655" s="34" t="s">
        <v>4265</v>
      </c>
      <c r="F1655" s="34" t="s">
        <v>4266</v>
      </c>
      <c r="G1655" s="34">
        <v>31395.0</v>
      </c>
      <c r="H1655" s="34" t="s">
        <v>4267</v>
      </c>
      <c r="I1655" s="34" t="s">
        <v>18</v>
      </c>
      <c r="J1655" s="34" t="s">
        <v>14</v>
      </c>
      <c r="K1655" s="45">
        <v>122.8</v>
      </c>
      <c r="L1655" s="45">
        <v>95.0</v>
      </c>
      <c r="M1655" s="45">
        <v>114.0</v>
      </c>
    </row>
    <row r="1656">
      <c r="A1656" s="34" t="s">
        <v>70</v>
      </c>
      <c r="B1656" s="34" t="s">
        <v>182</v>
      </c>
      <c r="C1656" s="34">
        <v>31.0</v>
      </c>
      <c r="D1656" s="34" t="s">
        <v>508</v>
      </c>
      <c r="E1656" s="34" t="s">
        <v>4268</v>
      </c>
      <c r="F1656" s="34" t="s">
        <v>3243</v>
      </c>
      <c r="G1656" s="34">
        <v>31582.0</v>
      </c>
      <c r="H1656" s="34" t="s">
        <v>4269</v>
      </c>
      <c r="I1656" s="34" t="s">
        <v>18</v>
      </c>
      <c r="J1656" s="34" t="s">
        <v>14</v>
      </c>
      <c r="K1656" s="45">
        <v>130.8</v>
      </c>
      <c r="L1656" s="45">
        <v>99.2</v>
      </c>
      <c r="M1656" s="45">
        <v>128.4</v>
      </c>
    </row>
    <row r="1657">
      <c r="A1657" s="34" t="s">
        <v>70</v>
      </c>
      <c r="B1657" s="34" t="s">
        <v>182</v>
      </c>
      <c r="C1657" s="34">
        <v>31.0</v>
      </c>
      <c r="D1657" s="34" t="s">
        <v>508</v>
      </c>
      <c r="E1657" s="34" t="s">
        <v>4270</v>
      </c>
      <c r="F1657" s="34" t="s">
        <v>4271</v>
      </c>
      <c r="G1657" s="34">
        <v>31135.0</v>
      </c>
      <c r="H1657" s="34" t="s">
        <v>4272</v>
      </c>
      <c r="I1657" s="34" t="s">
        <v>18</v>
      </c>
      <c r="J1657" s="34" t="s">
        <v>14</v>
      </c>
      <c r="K1657" s="45">
        <v>118.1</v>
      </c>
      <c r="L1657" s="45">
        <v>79.8</v>
      </c>
      <c r="M1657" s="45">
        <v>115.7</v>
      </c>
    </row>
    <row r="1658">
      <c r="A1658" s="34" t="s">
        <v>70</v>
      </c>
      <c r="B1658" s="34" t="s">
        <v>182</v>
      </c>
      <c r="C1658" s="34">
        <v>32.0</v>
      </c>
      <c r="D1658" s="34" t="s">
        <v>539</v>
      </c>
      <c r="E1658" s="34" t="s">
        <v>4273</v>
      </c>
      <c r="F1658" s="34" t="s">
        <v>4274</v>
      </c>
      <c r="G1658" s="34">
        <v>32013.0</v>
      </c>
      <c r="H1658" s="34" t="s">
        <v>551</v>
      </c>
      <c r="I1658" s="34" t="s">
        <v>18</v>
      </c>
      <c r="J1658" s="34" t="s">
        <v>15</v>
      </c>
      <c r="K1658" s="45">
        <v>120.9</v>
      </c>
      <c r="L1658" s="9"/>
      <c r="M1658" s="45">
        <v>120.9</v>
      </c>
    </row>
    <row r="1659">
      <c r="A1659" s="34" t="s">
        <v>70</v>
      </c>
      <c r="B1659" s="34" t="s">
        <v>182</v>
      </c>
      <c r="C1659" s="34">
        <v>32.0</v>
      </c>
      <c r="D1659" s="34" t="s">
        <v>539</v>
      </c>
      <c r="E1659" s="34" t="s">
        <v>4275</v>
      </c>
      <c r="F1659" s="34" t="s">
        <v>4276</v>
      </c>
      <c r="G1659" s="34">
        <v>32013.0</v>
      </c>
      <c r="H1659" s="34" t="s">
        <v>551</v>
      </c>
      <c r="I1659" s="34" t="s">
        <v>18</v>
      </c>
      <c r="J1659" s="34" t="s">
        <v>14</v>
      </c>
      <c r="K1659" s="45">
        <v>120.5</v>
      </c>
      <c r="L1659" s="45">
        <v>95.0</v>
      </c>
      <c r="M1659" s="45">
        <v>112.8</v>
      </c>
    </row>
    <row r="1660">
      <c r="A1660" s="34" t="s">
        <v>70</v>
      </c>
      <c r="B1660" s="34" t="s">
        <v>377</v>
      </c>
      <c r="C1660" s="34">
        <v>33.0</v>
      </c>
      <c r="D1660" s="34" t="s">
        <v>560</v>
      </c>
      <c r="E1660" s="34" t="s">
        <v>4277</v>
      </c>
      <c r="F1660" s="34" t="s">
        <v>1631</v>
      </c>
      <c r="G1660" s="34">
        <v>33056.0</v>
      </c>
      <c r="H1660" s="34" t="s">
        <v>4278</v>
      </c>
      <c r="I1660" s="34" t="s">
        <v>18</v>
      </c>
      <c r="J1660" s="34" t="s">
        <v>14</v>
      </c>
      <c r="K1660" s="45">
        <v>110.7</v>
      </c>
      <c r="L1660" s="45">
        <v>94.8</v>
      </c>
      <c r="M1660" s="45">
        <v>97.4</v>
      </c>
    </row>
    <row r="1661">
      <c r="A1661" s="34" t="s">
        <v>70</v>
      </c>
      <c r="B1661" s="34" t="s">
        <v>377</v>
      </c>
      <c r="C1661" s="34">
        <v>33.0</v>
      </c>
      <c r="D1661" s="34" t="s">
        <v>560</v>
      </c>
      <c r="E1661" s="34" t="s">
        <v>4279</v>
      </c>
      <c r="F1661" s="34" t="s">
        <v>4280</v>
      </c>
      <c r="G1661" s="34">
        <v>33063.0</v>
      </c>
      <c r="H1661" s="34" t="s">
        <v>377</v>
      </c>
      <c r="I1661" s="34" t="s">
        <v>18</v>
      </c>
      <c r="J1661" s="34" t="s">
        <v>14</v>
      </c>
      <c r="K1661" s="45">
        <v>127.1</v>
      </c>
      <c r="L1661" s="45">
        <v>96.4</v>
      </c>
      <c r="M1661" s="45">
        <v>125.6</v>
      </c>
    </row>
    <row r="1662">
      <c r="A1662" s="34" t="s">
        <v>70</v>
      </c>
      <c r="B1662" s="34" t="s">
        <v>377</v>
      </c>
      <c r="C1662" s="34">
        <v>33.0</v>
      </c>
      <c r="D1662" s="34" t="s">
        <v>560</v>
      </c>
      <c r="E1662" s="34" t="s">
        <v>4281</v>
      </c>
      <c r="F1662" s="34" t="s">
        <v>4282</v>
      </c>
      <c r="G1662" s="34">
        <v>33063.0</v>
      </c>
      <c r="H1662" s="34" t="s">
        <v>377</v>
      </c>
      <c r="I1662" s="34" t="s">
        <v>18</v>
      </c>
      <c r="J1662" s="34" t="s">
        <v>15</v>
      </c>
      <c r="K1662" s="45">
        <v>119.7</v>
      </c>
      <c r="L1662" s="9"/>
      <c r="M1662" s="45">
        <v>119.7</v>
      </c>
    </row>
    <row r="1663">
      <c r="A1663" s="34" t="s">
        <v>70</v>
      </c>
      <c r="B1663" s="34" t="s">
        <v>377</v>
      </c>
      <c r="C1663" s="34">
        <v>33.0</v>
      </c>
      <c r="D1663" s="34" t="s">
        <v>560</v>
      </c>
      <c r="E1663" s="34" t="s">
        <v>4283</v>
      </c>
      <c r="F1663" s="34" t="s">
        <v>4284</v>
      </c>
      <c r="G1663" s="34">
        <v>33119.0</v>
      </c>
      <c r="H1663" s="34" t="s">
        <v>4285</v>
      </c>
      <c r="I1663" s="34" t="s">
        <v>18</v>
      </c>
      <c r="J1663" s="34" t="s">
        <v>13</v>
      </c>
      <c r="K1663" s="9"/>
      <c r="L1663" s="45">
        <v>85.9</v>
      </c>
      <c r="M1663" s="45">
        <v>85.9</v>
      </c>
    </row>
    <row r="1664">
      <c r="A1664" s="34" t="s">
        <v>70</v>
      </c>
      <c r="B1664" s="34" t="s">
        <v>377</v>
      </c>
      <c r="C1664" s="34">
        <v>33.0</v>
      </c>
      <c r="D1664" s="34" t="s">
        <v>560</v>
      </c>
      <c r="E1664" s="34" t="s">
        <v>4286</v>
      </c>
      <c r="F1664" s="34" t="s">
        <v>4287</v>
      </c>
      <c r="G1664" s="34">
        <v>33402.0</v>
      </c>
      <c r="H1664" s="34" t="s">
        <v>2522</v>
      </c>
      <c r="I1664" s="34" t="s">
        <v>18</v>
      </c>
      <c r="J1664" s="34" t="s">
        <v>15</v>
      </c>
      <c r="K1664" s="45">
        <v>100.6</v>
      </c>
      <c r="L1664" s="9"/>
      <c r="M1664" s="45">
        <v>100.6</v>
      </c>
    </row>
    <row r="1665">
      <c r="A1665" s="34" t="s">
        <v>70</v>
      </c>
      <c r="B1665" s="34" t="s">
        <v>377</v>
      </c>
      <c r="C1665" s="34">
        <v>33.0</v>
      </c>
      <c r="D1665" s="34" t="s">
        <v>560</v>
      </c>
      <c r="E1665" s="34" t="s">
        <v>4288</v>
      </c>
      <c r="F1665" s="34" t="s">
        <v>4289</v>
      </c>
      <c r="G1665" s="34">
        <v>33063.0</v>
      </c>
      <c r="H1665" s="34" t="s">
        <v>377</v>
      </c>
      <c r="I1665" s="34" t="s">
        <v>18</v>
      </c>
      <c r="J1665" s="34" t="s">
        <v>13</v>
      </c>
      <c r="K1665" s="9"/>
      <c r="L1665" s="45">
        <v>75.4</v>
      </c>
      <c r="M1665" s="45">
        <v>75.4</v>
      </c>
    </row>
    <row r="1666">
      <c r="A1666" s="34" t="s">
        <v>70</v>
      </c>
      <c r="B1666" s="34" t="s">
        <v>377</v>
      </c>
      <c r="C1666" s="34">
        <v>33.0</v>
      </c>
      <c r="D1666" s="34" t="s">
        <v>560</v>
      </c>
      <c r="E1666" s="34" t="s">
        <v>4290</v>
      </c>
      <c r="F1666" s="34" t="s">
        <v>4291</v>
      </c>
      <c r="G1666" s="34">
        <v>33063.0</v>
      </c>
      <c r="H1666" s="34" t="s">
        <v>377</v>
      </c>
      <c r="I1666" s="34" t="s">
        <v>18</v>
      </c>
      <c r="J1666" s="34" t="s">
        <v>13</v>
      </c>
      <c r="K1666" s="9"/>
      <c r="L1666" s="45">
        <v>85.5</v>
      </c>
      <c r="M1666" s="45">
        <v>85.5</v>
      </c>
    </row>
    <row r="1667">
      <c r="A1667" s="34" t="s">
        <v>70</v>
      </c>
      <c r="B1667" s="34" t="s">
        <v>377</v>
      </c>
      <c r="C1667" s="34">
        <v>33.0</v>
      </c>
      <c r="D1667" s="34" t="s">
        <v>560</v>
      </c>
      <c r="E1667" s="34" t="s">
        <v>4292</v>
      </c>
      <c r="F1667" s="34" t="s">
        <v>4293</v>
      </c>
      <c r="G1667" s="34">
        <v>33063.0</v>
      </c>
      <c r="H1667" s="34" t="s">
        <v>377</v>
      </c>
      <c r="I1667" s="34" t="s">
        <v>17</v>
      </c>
      <c r="J1667" s="34" t="s">
        <v>15</v>
      </c>
      <c r="K1667" s="45">
        <v>135.2</v>
      </c>
      <c r="L1667" s="9"/>
      <c r="M1667" s="45">
        <v>135.2</v>
      </c>
    </row>
    <row r="1668">
      <c r="A1668" s="34" t="s">
        <v>70</v>
      </c>
      <c r="B1668" s="34" t="s">
        <v>377</v>
      </c>
      <c r="C1668" s="34">
        <v>33.0</v>
      </c>
      <c r="D1668" s="34" t="s">
        <v>560</v>
      </c>
      <c r="E1668" s="34" t="s">
        <v>4294</v>
      </c>
      <c r="F1668" s="34" t="s">
        <v>4295</v>
      </c>
      <c r="G1668" s="34">
        <v>33063.0</v>
      </c>
      <c r="H1668" s="34" t="s">
        <v>377</v>
      </c>
      <c r="I1668" s="34" t="s">
        <v>17</v>
      </c>
      <c r="J1668" s="34" t="s">
        <v>15</v>
      </c>
      <c r="K1668" s="45">
        <v>139.9</v>
      </c>
      <c r="L1668" s="9"/>
      <c r="M1668" s="45">
        <v>139.9</v>
      </c>
    </row>
    <row r="1669">
      <c r="A1669" s="34" t="s">
        <v>70</v>
      </c>
      <c r="B1669" s="34" t="s">
        <v>377</v>
      </c>
      <c r="C1669" s="34">
        <v>33.0</v>
      </c>
      <c r="D1669" s="34" t="s">
        <v>560</v>
      </c>
      <c r="E1669" s="34" t="s">
        <v>4296</v>
      </c>
      <c r="F1669" s="34" t="s">
        <v>2869</v>
      </c>
      <c r="G1669" s="34">
        <v>33056.0</v>
      </c>
      <c r="H1669" s="34" t="s">
        <v>4278</v>
      </c>
      <c r="I1669" s="34" t="s">
        <v>17</v>
      </c>
      <c r="J1669" s="34" t="s">
        <v>13</v>
      </c>
      <c r="K1669" s="9"/>
      <c r="L1669" s="45">
        <v>95.0</v>
      </c>
      <c r="M1669" s="45">
        <v>95.0</v>
      </c>
    </row>
    <row r="1670">
      <c r="A1670" s="34" t="s">
        <v>70</v>
      </c>
      <c r="B1670" s="34" t="s">
        <v>377</v>
      </c>
      <c r="C1670" s="34">
        <v>33.0</v>
      </c>
      <c r="D1670" s="34" t="s">
        <v>560</v>
      </c>
      <c r="E1670" s="34" t="s">
        <v>4297</v>
      </c>
      <c r="F1670" s="34" t="s">
        <v>4298</v>
      </c>
      <c r="G1670" s="34">
        <v>33281.0</v>
      </c>
      <c r="H1670" s="34" t="s">
        <v>4299</v>
      </c>
      <c r="I1670" s="34" t="s">
        <v>18</v>
      </c>
      <c r="J1670" s="34" t="s">
        <v>13</v>
      </c>
      <c r="K1670" s="9"/>
      <c r="L1670" s="45">
        <v>92.6</v>
      </c>
      <c r="M1670" s="45">
        <v>92.6</v>
      </c>
    </row>
    <row r="1671">
      <c r="A1671" s="34" t="s">
        <v>70</v>
      </c>
      <c r="B1671" s="34" t="s">
        <v>377</v>
      </c>
      <c r="C1671" s="34">
        <v>33.0</v>
      </c>
      <c r="D1671" s="34" t="s">
        <v>560</v>
      </c>
      <c r="E1671" s="34" t="s">
        <v>4300</v>
      </c>
      <c r="F1671" s="34" t="s">
        <v>4301</v>
      </c>
      <c r="G1671" s="34">
        <v>33522.0</v>
      </c>
      <c r="H1671" s="34" t="s">
        <v>586</v>
      </c>
      <c r="I1671" s="34" t="s">
        <v>18</v>
      </c>
      <c r="J1671" s="34" t="s">
        <v>14</v>
      </c>
      <c r="K1671" s="45">
        <v>119.8</v>
      </c>
      <c r="L1671" s="45">
        <v>95.2</v>
      </c>
      <c r="M1671" s="45">
        <v>103.6</v>
      </c>
    </row>
    <row r="1672">
      <c r="A1672" s="34" t="s">
        <v>70</v>
      </c>
      <c r="B1672" s="34" t="s">
        <v>377</v>
      </c>
      <c r="C1672" s="34">
        <v>33.0</v>
      </c>
      <c r="D1672" s="34" t="s">
        <v>560</v>
      </c>
      <c r="E1672" s="34" t="s">
        <v>4302</v>
      </c>
      <c r="F1672" s="34" t="s">
        <v>4303</v>
      </c>
      <c r="G1672" s="34">
        <v>33318.0</v>
      </c>
      <c r="H1672" s="34" t="s">
        <v>605</v>
      </c>
      <c r="I1672" s="34" t="s">
        <v>18</v>
      </c>
      <c r="J1672" s="34" t="s">
        <v>13</v>
      </c>
      <c r="K1672" s="9"/>
      <c r="L1672" s="45">
        <v>87.9</v>
      </c>
      <c r="M1672" s="45">
        <v>87.9</v>
      </c>
    </row>
    <row r="1673">
      <c r="A1673" s="34" t="s">
        <v>70</v>
      </c>
      <c r="B1673" s="34" t="s">
        <v>377</v>
      </c>
      <c r="C1673" s="34">
        <v>33.0</v>
      </c>
      <c r="D1673" s="34" t="s">
        <v>560</v>
      </c>
      <c r="E1673" s="34" t="s">
        <v>4304</v>
      </c>
      <c r="F1673" s="34" t="s">
        <v>4305</v>
      </c>
      <c r="G1673" s="34">
        <v>33063.0</v>
      </c>
      <c r="H1673" s="34" t="s">
        <v>377</v>
      </c>
      <c r="I1673" s="34" t="s">
        <v>17</v>
      </c>
      <c r="J1673" s="34" t="s">
        <v>13</v>
      </c>
      <c r="K1673" s="9"/>
      <c r="L1673" s="45">
        <v>105.1</v>
      </c>
      <c r="M1673" s="45">
        <v>105.1</v>
      </c>
    </row>
    <row r="1674">
      <c r="A1674" s="34" t="s">
        <v>70</v>
      </c>
      <c r="B1674" s="34" t="s">
        <v>483</v>
      </c>
      <c r="C1674" s="34">
        <v>34.0</v>
      </c>
      <c r="D1674" s="34" t="s">
        <v>609</v>
      </c>
      <c r="E1674" s="34" t="s">
        <v>4306</v>
      </c>
      <c r="F1674" s="34" t="s">
        <v>4307</v>
      </c>
      <c r="G1674" s="34">
        <v>34028.0</v>
      </c>
      <c r="H1674" s="34" t="s">
        <v>4308</v>
      </c>
      <c r="I1674" s="34" t="s">
        <v>18</v>
      </c>
      <c r="J1674" s="34" t="s">
        <v>15</v>
      </c>
      <c r="K1674" s="45">
        <v>108.9</v>
      </c>
      <c r="L1674" s="9"/>
      <c r="M1674" s="45">
        <v>108.9</v>
      </c>
    </row>
    <row r="1675">
      <c r="A1675" s="34" t="s">
        <v>70</v>
      </c>
      <c r="B1675" s="34" t="s">
        <v>483</v>
      </c>
      <c r="C1675" s="34">
        <v>34.0</v>
      </c>
      <c r="D1675" s="34" t="s">
        <v>609</v>
      </c>
      <c r="E1675" s="34" t="s">
        <v>4309</v>
      </c>
      <c r="F1675" s="34" t="s">
        <v>4310</v>
      </c>
      <c r="G1675" s="34">
        <v>34028.0</v>
      </c>
      <c r="H1675" s="34" t="s">
        <v>4308</v>
      </c>
      <c r="I1675" s="34" t="s">
        <v>18</v>
      </c>
      <c r="J1675" s="34" t="s">
        <v>13</v>
      </c>
      <c r="K1675" s="9"/>
      <c r="L1675" s="45">
        <v>91.3</v>
      </c>
      <c r="M1675" s="45">
        <v>91.3</v>
      </c>
    </row>
    <row r="1676">
      <c r="A1676" s="34" t="s">
        <v>70</v>
      </c>
      <c r="B1676" s="34" t="s">
        <v>483</v>
      </c>
      <c r="C1676" s="34">
        <v>34.0</v>
      </c>
      <c r="D1676" s="34" t="s">
        <v>609</v>
      </c>
      <c r="E1676" s="34" t="s">
        <v>4311</v>
      </c>
      <c r="F1676" s="34" t="s">
        <v>2446</v>
      </c>
      <c r="G1676" s="34">
        <v>34032.0</v>
      </c>
      <c r="H1676" s="34" t="s">
        <v>2545</v>
      </c>
      <c r="I1676" s="34" t="s">
        <v>18</v>
      </c>
      <c r="J1676" s="34" t="s">
        <v>14</v>
      </c>
      <c r="K1676" s="45">
        <v>92.6</v>
      </c>
      <c r="L1676" s="45">
        <v>79.8</v>
      </c>
      <c r="M1676" s="45">
        <v>88.1</v>
      </c>
    </row>
    <row r="1677">
      <c r="A1677" s="34" t="s">
        <v>70</v>
      </c>
      <c r="B1677" s="34" t="s">
        <v>483</v>
      </c>
      <c r="C1677" s="34">
        <v>34.0</v>
      </c>
      <c r="D1677" s="34" t="s">
        <v>609</v>
      </c>
      <c r="E1677" s="34" t="s">
        <v>4312</v>
      </c>
      <c r="F1677" s="34" t="s">
        <v>4313</v>
      </c>
      <c r="G1677" s="34">
        <v>34032.0</v>
      </c>
      <c r="H1677" s="34" t="s">
        <v>2545</v>
      </c>
      <c r="I1677" s="34" t="s">
        <v>18</v>
      </c>
      <c r="J1677" s="34" t="s">
        <v>13</v>
      </c>
      <c r="K1677" s="9"/>
      <c r="L1677" s="45">
        <v>73.4</v>
      </c>
      <c r="M1677" s="45">
        <v>73.4</v>
      </c>
    </row>
    <row r="1678">
      <c r="A1678" s="34" t="s">
        <v>70</v>
      </c>
      <c r="B1678" s="34" t="s">
        <v>483</v>
      </c>
      <c r="C1678" s="34">
        <v>34.0</v>
      </c>
      <c r="D1678" s="34" t="s">
        <v>609</v>
      </c>
      <c r="E1678" s="34" t="s">
        <v>4314</v>
      </c>
      <c r="F1678" s="34" t="s">
        <v>4315</v>
      </c>
      <c r="G1678" s="34">
        <v>34145.0</v>
      </c>
      <c r="H1678" s="34" t="s">
        <v>4316</v>
      </c>
      <c r="I1678" s="34" t="s">
        <v>18</v>
      </c>
      <c r="J1678" s="34" t="s">
        <v>14</v>
      </c>
      <c r="K1678" s="45">
        <v>105.7</v>
      </c>
      <c r="L1678" s="45">
        <v>82.3</v>
      </c>
      <c r="M1678" s="45">
        <v>99.7</v>
      </c>
    </row>
    <row r="1679">
      <c r="A1679" s="34" t="s">
        <v>70</v>
      </c>
      <c r="B1679" s="34" t="s">
        <v>483</v>
      </c>
      <c r="C1679" s="34">
        <v>34.0</v>
      </c>
      <c r="D1679" s="34" t="s">
        <v>609</v>
      </c>
      <c r="E1679" s="34" t="s">
        <v>4317</v>
      </c>
      <c r="F1679" s="34" t="s">
        <v>4318</v>
      </c>
      <c r="G1679" s="34">
        <v>34172.0</v>
      </c>
      <c r="H1679" s="34" t="s">
        <v>483</v>
      </c>
      <c r="I1679" s="34" t="s">
        <v>18</v>
      </c>
      <c r="J1679" s="34" t="s">
        <v>14</v>
      </c>
      <c r="K1679" s="45">
        <v>113.4</v>
      </c>
      <c r="L1679" s="45">
        <v>73.5</v>
      </c>
      <c r="M1679" s="45">
        <v>110.0</v>
      </c>
    </row>
    <row r="1680">
      <c r="A1680" s="34" t="s">
        <v>70</v>
      </c>
      <c r="B1680" s="34" t="s">
        <v>483</v>
      </c>
      <c r="C1680" s="34">
        <v>34.0</v>
      </c>
      <c r="D1680" s="34" t="s">
        <v>609</v>
      </c>
      <c r="E1680" s="34" t="s">
        <v>4319</v>
      </c>
      <c r="F1680" s="34" t="s">
        <v>4320</v>
      </c>
      <c r="G1680" s="34">
        <v>34172.0</v>
      </c>
      <c r="H1680" s="34" t="s">
        <v>483</v>
      </c>
      <c r="I1680" s="34" t="s">
        <v>18</v>
      </c>
      <c r="J1680" s="34" t="s">
        <v>13</v>
      </c>
      <c r="K1680" s="9"/>
      <c r="L1680" s="45">
        <v>79.0</v>
      </c>
      <c r="M1680" s="45">
        <v>79.0</v>
      </c>
    </row>
    <row r="1681">
      <c r="A1681" s="34" t="s">
        <v>70</v>
      </c>
      <c r="B1681" s="34" t="s">
        <v>483</v>
      </c>
      <c r="C1681" s="34">
        <v>34.0</v>
      </c>
      <c r="D1681" s="34" t="s">
        <v>609</v>
      </c>
      <c r="E1681" s="34" t="s">
        <v>4321</v>
      </c>
      <c r="F1681" s="34" t="s">
        <v>4322</v>
      </c>
      <c r="G1681" s="34">
        <v>34199.0</v>
      </c>
      <c r="H1681" s="34" t="s">
        <v>4323</v>
      </c>
      <c r="I1681" s="34" t="s">
        <v>18</v>
      </c>
      <c r="J1681" s="34" t="s">
        <v>13</v>
      </c>
      <c r="K1681" s="9"/>
      <c r="L1681" s="45">
        <v>88.1</v>
      </c>
      <c r="M1681" s="45">
        <v>88.1</v>
      </c>
    </row>
    <row r="1682">
      <c r="A1682" s="34" t="s">
        <v>70</v>
      </c>
      <c r="B1682" s="34" t="s">
        <v>483</v>
      </c>
      <c r="C1682" s="34">
        <v>34.0</v>
      </c>
      <c r="D1682" s="34" t="s">
        <v>609</v>
      </c>
      <c r="E1682" s="34" t="s">
        <v>4324</v>
      </c>
      <c r="F1682" s="34" t="s">
        <v>4325</v>
      </c>
      <c r="G1682" s="34">
        <v>34301.0</v>
      </c>
      <c r="H1682" s="34" t="s">
        <v>615</v>
      </c>
      <c r="I1682" s="34" t="s">
        <v>18</v>
      </c>
      <c r="J1682" s="34" t="s">
        <v>13</v>
      </c>
      <c r="K1682" s="9"/>
      <c r="L1682" s="45">
        <v>93.4</v>
      </c>
      <c r="M1682" s="45">
        <v>93.4</v>
      </c>
    </row>
    <row r="1683">
      <c r="A1683" s="34" t="s">
        <v>70</v>
      </c>
      <c r="B1683" s="34" t="s">
        <v>483</v>
      </c>
      <c r="C1683" s="34">
        <v>34.0</v>
      </c>
      <c r="D1683" s="34" t="s">
        <v>609</v>
      </c>
      <c r="E1683" s="34" t="s">
        <v>4326</v>
      </c>
      <c r="F1683" s="34" t="s">
        <v>4327</v>
      </c>
      <c r="G1683" s="34">
        <v>34028.0</v>
      </c>
      <c r="H1683" s="34" t="s">
        <v>4308</v>
      </c>
      <c r="I1683" s="34" t="s">
        <v>17</v>
      </c>
      <c r="J1683" s="34" t="s">
        <v>13</v>
      </c>
      <c r="K1683" s="9"/>
      <c r="L1683" s="45">
        <v>91.3</v>
      </c>
      <c r="M1683" s="45">
        <v>91.3</v>
      </c>
    </row>
    <row r="1684">
      <c r="A1684" s="34" t="s">
        <v>70</v>
      </c>
      <c r="B1684" s="34" t="s">
        <v>483</v>
      </c>
      <c r="C1684" s="34">
        <v>34.0</v>
      </c>
      <c r="D1684" s="34" t="s">
        <v>609</v>
      </c>
      <c r="E1684" s="34" t="s">
        <v>4328</v>
      </c>
      <c r="F1684" s="34" t="s">
        <v>4329</v>
      </c>
      <c r="G1684" s="34">
        <v>34172.0</v>
      </c>
      <c r="H1684" s="34" t="s">
        <v>483</v>
      </c>
      <c r="I1684" s="34" t="s">
        <v>17</v>
      </c>
      <c r="J1684" s="34" t="s">
        <v>14</v>
      </c>
      <c r="K1684" s="45">
        <v>131.3</v>
      </c>
      <c r="L1684" s="45">
        <v>115.7</v>
      </c>
      <c r="M1684" s="45">
        <v>128.8</v>
      </c>
    </row>
    <row r="1685">
      <c r="A1685" s="34" t="s">
        <v>70</v>
      </c>
      <c r="B1685" s="34" t="s">
        <v>483</v>
      </c>
      <c r="C1685" s="34">
        <v>34.0</v>
      </c>
      <c r="D1685" s="34" t="s">
        <v>609</v>
      </c>
      <c r="E1685" s="34" t="s">
        <v>4330</v>
      </c>
      <c r="F1685" s="34" t="s">
        <v>4331</v>
      </c>
      <c r="G1685" s="34">
        <v>34172.0</v>
      </c>
      <c r="H1685" s="34" t="s">
        <v>483</v>
      </c>
      <c r="I1685" s="34" t="s">
        <v>17</v>
      </c>
      <c r="J1685" s="34" t="s">
        <v>15</v>
      </c>
      <c r="K1685" s="45">
        <v>108.5</v>
      </c>
      <c r="L1685" s="9"/>
      <c r="M1685" s="45">
        <v>108.5</v>
      </c>
    </row>
    <row r="1686">
      <c r="A1686" s="34" t="s">
        <v>70</v>
      </c>
      <c r="B1686" s="34" t="s">
        <v>483</v>
      </c>
      <c r="C1686" s="34">
        <v>34.0</v>
      </c>
      <c r="D1686" s="34" t="s">
        <v>609</v>
      </c>
      <c r="E1686" s="34" t="s">
        <v>4332</v>
      </c>
      <c r="F1686" s="34" t="s">
        <v>4333</v>
      </c>
      <c r="G1686" s="34">
        <v>34247.0</v>
      </c>
      <c r="H1686" s="34" t="s">
        <v>4334</v>
      </c>
      <c r="I1686" s="34" t="s">
        <v>18</v>
      </c>
      <c r="J1686" s="34" t="s">
        <v>14</v>
      </c>
      <c r="K1686" s="45">
        <v>133.2</v>
      </c>
      <c r="L1686" s="45">
        <v>87.7</v>
      </c>
      <c r="M1686" s="45">
        <v>126.3</v>
      </c>
    </row>
    <row r="1687">
      <c r="A1687" s="34" t="s">
        <v>70</v>
      </c>
      <c r="B1687" s="34" t="s">
        <v>483</v>
      </c>
      <c r="C1687" s="34">
        <v>34.0</v>
      </c>
      <c r="D1687" s="34" t="s">
        <v>609</v>
      </c>
      <c r="E1687" s="34" t="s">
        <v>4335</v>
      </c>
      <c r="F1687" s="34" t="s">
        <v>4336</v>
      </c>
      <c r="G1687" s="34">
        <v>34114.0</v>
      </c>
      <c r="H1687" s="34" t="s">
        <v>4337</v>
      </c>
      <c r="I1687" s="34" t="s">
        <v>18</v>
      </c>
      <c r="J1687" s="34" t="s">
        <v>14</v>
      </c>
      <c r="K1687" s="45">
        <v>119.6</v>
      </c>
      <c r="L1687" s="45">
        <v>97.2</v>
      </c>
      <c r="M1687" s="45">
        <v>115.4</v>
      </c>
    </row>
    <row r="1688">
      <c r="A1688" s="34" t="s">
        <v>70</v>
      </c>
      <c r="B1688" s="34" t="s">
        <v>354</v>
      </c>
      <c r="C1688" s="34">
        <v>35.0</v>
      </c>
      <c r="D1688" s="34" t="s">
        <v>622</v>
      </c>
      <c r="E1688" s="34" t="s">
        <v>4338</v>
      </c>
      <c r="F1688" s="34" t="s">
        <v>4339</v>
      </c>
      <c r="G1688" s="34">
        <v>35095.0</v>
      </c>
      <c r="H1688" s="34" t="s">
        <v>4340</v>
      </c>
      <c r="I1688" s="34" t="s">
        <v>18</v>
      </c>
      <c r="J1688" s="34" t="s">
        <v>13</v>
      </c>
      <c r="K1688" s="9"/>
      <c r="L1688" s="45">
        <v>87.6</v>
      </c>
      <c r="M1688" s="45">
        <v>87.6</v>
      </c>
    </row>
    <row r="1689">
      <c r="A1689" s="34" t="s">
        <v>70</v>
      </c>
      <c r="B1689" s="34" t="s">
        <v>354</v>
      </c>
      <c r="C1689" s="34">
        <v>35.0</v>
      </c>
      <c r="D1689" s="34" t="s">
        <v>622</v>
      </c>
      <c r="E1689" s="34" t="s">
        <v>4341</v>
      </c>
      <c r="F1689" s="34" t="s">
        <v>4342</v>
      </c>
      <c r="G1689" s="34">
        <v>35238.0</v>
      </c>
      <c r="H1689" s="34" t="s">
        <v>354</v>
      </c>
      <c r="I1689" s="34" t="s">
        <v>18</v>
      </c>
      <c r="J1689" s="34" t="s">
        <v>15</v>
      </c>
      <c r="K1689" s="45">
        <v>127.5</v>
      </c>
      <c r="L1689" s="9"/>
      <c r="M1689" s="45">
        <v>127.5</v>
      </c>
    </row>
    <row r="1690">
      <c r="A1690" s="34" t="s">
        <v>70</v>
      </c>
      <c r="B1690" s="34" t="s">
        <v>354</v>
      </c>
      <c r="C1690" s="34">
        <v>35.0</v>
      </c>
      <c r="D1690" s="34" t="s">
        <v>622</v>
      </c>
      <c r="E1690" s="34" t="s">
        <v>4343</v>
      </c>
      <c r="F1690" s="34" t="s">
        <v>4344</v>
      </c>
      <c r="G1690" s="34">
        <v>35238.0</v>
      </c>
      <c r="H1690" s="34" t="s">
        <v>354</v>
      </c>
      <c r="I1690" s="34" t="s">
        <v>18</v>
      </c>
      <c r="J1690" s="34" t="s">
        <v>14</v>
      </c>
      <c r="K1690" s="45">
        <v>125.2</v>
      </c>
      <c r="L1690" s="45">
        <v>88.9</v>
      </c>
      <c r="M1690" s="45">
        <v>106.4</v>
      </c>
    </row>
    <row r="1691">
      <c r="A1691" s="34" t="s">
        <v>70</v>
      </c>
      <c r="B1691" s="34" t="s">
        <v>354</v>
      </c>
      <c r="C1691" s="34">
        <v>35.0</v>
      </c>
      <c r="D1691" s="34" t="s">
        <v>622</v>
      </c>
      <c r="E1691" s="34" t="s">
        <v>4345</v>
      </c>
      <c r="F1691" s="34" t="s">
        <v>4346</v>
      </c>
      <c r="G1691" s="34">
        <v>35238.0</v>
      </c>
      <c r="H1691" s="34" t="s">
        <v>354</v>
      </c>
      <c r="I1691" s="34" t="s">
        <v>18</v>
      </c>
      <c r="J1691" s="34" t="s">
        <v>13</v>
      </c>
      <c r="K1691" s="9"/>
      <c r="L1691" s="45">
        <v>91.3</v>
      </c>
      <c r="M1691" s="45">
        <v>91.3</v>
      </c>
    </row>
    <row r="1692">
      <c r="A1692" s="34" t="s">
        <v>70</v>
      </c>
      <c r="B1692" s="34" t="s">
        <v>354</v>
      </c>
      <c r="C1692" s="34">
        <v>35.0</v>
      </c>
      <c r="D1692" s="34" t="s">
        <v>622</v>
      </c>
      <c r="E1692" s="34" t="s">
        <v>4347</v>
      </c>
      <c r="F1692" s="34" t="s">
        <v>4348</v>
      </c>
      <c r="G1692" s="34">
        <v>35238.0</v>
      </c>
      <c r="H1692" s="34" t="s">
        <v>354</v>
      </c>
      <c r="I1692" s="34" t="s">
        <v>18</v>
      </c>
      <c r="J1692" s="34" t="s">
        <v>13</v>
      </c>
      <c r="K1692" s="9"/>
      <c r="L1692" s="45">
        <v>91.7</v>
      </c>
      <c r="M1692" s="45">
        <v>91.7</v>
      </c>
    </row>
    <row r="1693">
      <c r="A1693" s="34" t="s">
        <v>70</v>
      </c>
      <c r="B1693" s="34" t="s">
        <v>354</v>
      </c>
      <c r="C1693" s="34">
        <v>35.0</v>
      </c>
      <c r="D1693" s="34" t="s">
        <v>622</v>
      </c>
      <c r="E1693" s="34" t="s">
        <v>4349</v>
      </c>
      <c r="F1693" s="34" t="s">
        <v>4350</v>
      </c>
      <c r="G1693" s="34">
        <v>35288.0</v>
      </c>
      <c r="H1693" s="34" t="s">
        <v>2559</v>
      </c>
      <c r="I1693" s="34" t="s">
        <v>18</v>
      </c>
      <c r="J1693" s="34" t="s">
        <v>14</v>
      </c>
      <c r="K1693" s="45">
        <v>116.3</v>
      </c>
      <c r="L1693" s="45">
        <v>89.2</v>
      </c>
      <c r="M1693" s="45">
        <v>110.9</v>
      </c>
    </row>
    <row r="1694">
      <c r="A1694" s="34" t="s">
        <v>70</v>
      </c>
      <c r="B1694" s="34" t="s">
        <v>354</v>
      </c>
      <c r="C1694" s="34">
        <v>35.0</v>
      </c>
      <c r="D1694" s="34" t="s">
        <v>622</v>
      </c>
      <c r="E1694" s="34" t="s">
        <v>4351</v>
      </c>
      <c r="F1694" s="34" t="s">
        <v>4352</v>
      </c>
      <c r="G1694" s="34">
        <v>35360.0</v>
      </c>
      <c r="H1694" s="34" t="s">
        <v>4353</v>
      </c>
      <c r="I1694" s="34" t="s">
        <v>18</v>
      </c>
      <c r="J1694" s="34" t="s">
        <v>15</v>
      </c>
      <c r="K1694" s="45">
        <v>111.8</v>
      </c>
      <c r="L1694" s="9"/>
      <c r="M1694" s="45">
        <v>111.8</v>
      </c>
    </row>
    <row r="1695">
      <c r="A1695" s="34" t="s">
        <v>70</v>
      </c>
      <c r="B1695" s="34" t="s">
        <v>354</v>
      </c>
      <c r="C1695" s="34">
        <v>35.0</v>
      </c>
      <c r="D1695" s="34" t="s">
        <v>622</v>
      </c>
      <c r="E1695" s="34" t="s">
        <v>4354</v>
      </c>
      <c r="F1695" s="34" t="s">
        <v>4355</v>
      </c>
      <c r="G1695" s="34">
        <v>35236.0</v>
      </c>
      <c r="H1695" s="34" t="s">
        <v>2563</v>
      </c>
      <c r="I1695" s="34" t="s">
        <v>18</v>
      </c>
      <c r="J1695" s="34" t="s">
        <v>13</v>
      </c>
      <c r="K1695" s="9"/>
      <c r="L1695" s="45">
        <v>83.6</v>
      </c>
      <c r="M1695" s="45">
        <v>83.6</v>
      </c>
    </row>
    <row r="1696">
      <c r="A1696" s="34" t="s">
        <v>70</v>
      </c>
      <c r="B1696" s="34" t="s">
        <v>354</v>
      </c>
      <c r="C1696" s="34">
        <v>35.0</v>
      </c>
      <c r="D1696" s="34" t="s">
        <v>622</v>
      </c>
      <c r="E1696" s="34" t="s">
        <v>4356</v>
      </c>
      <c r="F1696" s="34" t="s">
        <v>2854</v>
      </c>
      <c r="G1696" s="34">
        <v>35115.0</v>
      </c>
      <c r="H1696" s="34" t="s">
        <v>2552</v>
      </c>
      <c r="I1696" s="34" t="s">
        <v>18</v>
      </c>
      <c r="J1696" s="34" t="s">
        <v>13</v>
      </c>
      <c r="K1696" s="9"/>
      <c r="L1696" s="45">
        <v>91.8</v>
      </c>
      <c r="M1696" s="45">
        <v>91.8</v>
      </c>
    </row>
    <row r="1697">
      <c r="A1697" s="34" t="s">
        <v>70</v>
      </c>
      <c r="B1697" s="34" t="s">
        <v>354</v>
      </c>
      <c r="C1697" s="34">
        <v>35.0</v>
      </c>
      <c r="D1697" s="34" t="s">
        <v>622</v>
      </c>
      <c r="E1697" s="34" t="s">
        <v>4357</v>
      </c>
      <c r="F1697" s="34" t="s">
        <v>4358</v>
      </c>
      <c r="G1697" s="34">
        <v>35238.0</v>
      </c>
      <c r="H1697" s="34" t="s">
        <v>354</v>
      </c>
      <c r="I1697" s="34" t="s">
        <v>17</v>
      </c>
      <c r="J1697" s="34" t="s">
        <v>15</v>
      </c>
      <c r="K1697" s="45">
        <v>130.1</v>
      </c>
      <c r="L1697" s="9"/>
      <c r="M1697" s="45">
        <v>130.1</v>
      </c>
    </row>
    <row r="1698">
      <c r="A1698" s="34" t="s">
        <v>70</v>
      </c>
      <c r="B1698" s="34" t="s">
        <v>354</v>
      </c>
      <c r="C1698" s="34">
        <v>35.0</v>
      </c>
      <c r="D1698" s="34" t="s">
        <v>622</v>
      </c>
      <c r="E1698" s="34" t="s">
        <v>4359</v>
      </c>
      <c r="F1698" s="34" t="s">
        <v>4360</v>
      </c>
      <c r="G1698" s="34">
        <v>35238.0</v>
      </c>
      <c r="H1698" s="34" t="s">
        <v>354</v>
      </c>
      <c r="I1698" s="34" t="s">
        <v>17</v>
      </c>
      <c r="J1698" s="34" t="s">
        <v>15</v>
      </c>
      <c r="K1698" s="45">
        <v>136.8</v>
      </c>
      <c r="L1698" s="9"/>
      <c r="M1698" s="45">
        <v>136.8</v>
      </c>
    </row>
    <row r="1699">
      <c r="A1699" s="34" t="s">
        <v>70</v>
      </c>
      <c r="B1699" s="34" t="s">
        <v>354</v>
      </c>
      <c r="C1699" s="34">
        <v>35.0</v>
      </c>
      <c r="D1699" s="34" t="s">
        <v>622</v>
      </c>
      <c r="E1699" s="34" t="s">
        <v>4361</v>
      </c>
      <c r="F1699" s="34" t="s">
        <v>4362</v>
      </c>
      <c r="G1699" s="34">
        <v>35288.0</v>
      </c>
      <c r="H1699" s="34" t="s">
        <v>2559</v>
      </c>
      <c r="I1699" s="34" t="s">
        <v>17</v>
      </c>
      <c r="J1699" s="34" t="s">
        <v>15</v>
      </c>
      <c r="K1699" s="45">
        <v>129.1</v>
      </c>
      <c r="L1699" s="9"/>
      <c r="M1699" s="45">
        <v>129.1</v>
      </c>
    </row>
    <row r="1700">
      <c r="A1700" s="34" t="s">
        <v>70</v>
      </c>
      <c r="B1700" s="34" t="s">
        <v>354</v>
      </c>
      <c r="C1700" s="34">
        <v>35.0</v>
      </c>
      <c r="D1700" s="34" t="s">
        <v>622</v>
      </c>
      <c r="E1700" s="34" t="s">
        <v>4363</v>
      </c>
      <c r="F1700" s="34" t="s">
        <v>4364</v>
      </c>
      <c r="G1700" s="34">
        <v>35236.0</v>
      </c>
      <c r="H1700" s="34" t="s">
        <v>2563</v>
      </c>
      <c r="I1700" s="34" t="s">
        <v>17</v>
      </c>
      <c r="J1700" s="34" t="s">
        <v>14</v>
      </c>
      <c r="K1700" s="45">
        <v>119.7</v>
      </c>
      <c r="L1700" s="45">
        <v>105.1</v>
      </c>
      <c r="M1700" s="45">
        <v>111.8</v>
      </c>
    </row>
    <row r="1701">
      <c r="A1701" s="34" t="s">
        <v>70</v>
      </c>
      <c r="B1701" s="34" t="s">
        <v>354</v>
      </c>
      <c r="C1701" s="34">
        <v>35.0</v>
      </c>
      <c r="D1701" s="34" t="s">
        <v>622</v>
      </c>
      <c r="E1701" s="34" t="s">
        <v>4365</v>
      </c>
      <c r="F1701" s="34" t="s">
        <v>889</v>
      </c>
      <c r="G1701" s="34">
        <v>35278.0</v>
      </c>
      <c r="H1701" s="34" t="s">
        <v>4366</v>
      </c>
      <c r="I1701" s="34" t="s">
        <v>17</v>
      </c>
      <c r="J1701" s="34" t="s">
        <v>15</v>
      </c>
      <c r="K1701" s="45">
        <v>133.7</v>
      </c>
      <c r="L1701" s="9"/>
      <c r="M1701" s="45">
        <v>133.7</v>
      </c>
    </row>
    <row r="1702">
      <c r="A1702" s="34" t="s">
        <v>70</v>
      </c>
      <c r="B1702" s="34" t="s">
        <v>354</v>
      </c>
      <c r="C1702" s="34">
        <v>35.0</v>
      </c>
      <c r="D1702" s="34" t="s">
        <v>622</v>
      </c>
      <c r="E1702" s="34" t="s">
        <v>4367</v>
      </c>
      <c r="F1702" s="34" t="s">
        <v>4368</v>
      </c>
      <c r="G1702" s="34">
        <v>35297.0</v>
      </c>
      <c r="H1702" s="34" t="s">
        <v>4369</v>
      </c>
      <c r="I1702" s="34" t="s">
        <v>17</v>
      </c>
      <c r="J1702" s="34" t="s">
        <v>13</v>
      </c>
      <c r="K1702" s="9"/>
      <c r="L1702" s="45">
        <v>108.6</v>
      </c>
      <c r="M1702" s="45">
        <v>108.6</v>
      </c>
    </row>
    <row r="1703">
      <c r="A1703" s="34" t="s">
        <v>70</v>
      </c>
      <c r="B1703" s="34" t="s">
        <v>354</v>
      </c>
      <c r="C1703" s="34">
        <v>35.0</v>
      </c>
      <c r="D1703" s="34" t="s">
        <v>622</v>
      </c>
      <c r="E1703" s="34" t="s">
        <v>4370</v>
      </c>
      <c r="F1703" s="34" t="s">
        <v>4371</v>
      </c>
      <c r="G1703" s="34">
        <v>35238.0</v>
      </c>
      <c r="H1703" s="34" t="s">
        <v>354</v>
      </c>
      <c r="I1703" s="34" t="s">
        <v>18</v>
      </c>
      <c r="J1703" s="34" t="s">
        <v>13</v>
      </c>
      <c r="K1703" s="9"/>
      <c r="L1703" s="45">
        <v>89.5</v>
      </c>
      <c r="M1703" s="45">
        <v>89.5</v>
      </c>
    </row>
    <row r="1704">
      <c r="A1704" s="34" t="s">
        <v>70</v>
      </c>
      <c r="B1704" s="34" t="s">
        <v>354</v>
      </c>
      <c r="C1704" s="34">
        <v>35.0</v>
      </c>
      <c r="D1704" s="34" t="s">
        <v>622</v>
      </c>
      <c r="E1704" s="34" t="s">
        <v>4372</v>
      </c>
      <c r="F1704" s="34" t="s">
        <v>4373</v>
      </c>
      <c r="G1704" s="34">
        <v>35184.0</v>
      </c>
      <c r="H1704" s="34" t="s">
        <v>4374</v>
      </c>
      <c r="I1704" s="34" t="s">
        <v>17</v>
      </c>
      <c r="J1704" s="34" t="s">
        <v>14</v>
      </c>
      <c r="K1704" s="45">
        <v>112.2</v>
      </c>
      <c r="L1704" s="45">
        <v>92.1</v>
      </c>
      <c r="M1704" s="45">
        <v>110.3</v>
      </c>
    </row>
    <row r="1705">
      <c r="A1705" s="34" t="s">
        <v>70</v>
      </c>
      <c r="B1705" s="34" t="s">
        <v>354</v>
      </c>
      <c r="C1705" s="34">
        <v>35.0</v>
      </c>
      <c r="D1705" s="34" t="s">
        <v>622</v>
      </c>
      <c r="E1705" s="34" t="s">
        <v>4375</v>
      </c>
      <c r="F1705" s="34" t="s">
        <v>4376</v>
      </c>
      <c r="G1705" s="34">
        <v>35238.0</v>
      </c>
      <c r="H1705" s="34" t="s">
        <v>354</v>
      </c>
      <c r="I1705" s="34" t="s">
        <v>18</v>
      </c>
      <c r="J1705" s="34" t="s">
        <v>15</v>
      </c>
      <c r="K1705" s="45">
        <v>119.3</v>
      </c>
      <c r="L1705" s="9"/>
      <c r="M1705" s="45">
        <v>119.3</v>
      </c>
    </row>
    <row r="1706">
      <c r="A1706" s="34" t="s">
        <v>70</v>
      </c>
      <c r="B1706" s="34" t="s">
        <v>354</v>
      </c>
      <c r="C1706" s="34">
        <v>35.0</v>
      </c>
      <c r="D1706" s="34" t="s">
        <v>622</v>
      </c>
      <c r="E1706" s="34" t="s">
        <v>4377</v>
      </c>
      <c r="F1706" s="34" t="s">
        <v>4378</v>
      </c>
      <c r="G1706" s="34">
        <v>35288.0</v>
      </c>
      <c r="H1706" s="34" t="s">
        <v>2559</v>
      </c>
      <c r="I1706" s="34" t="s">
        <v>17</v>
      </c>
      <c r="J1706" s="34" t="s">
        <v>14</v>
      </c>
      <c r="K1706" s="45">
        <v>124.9</v>
      </c>
      <c r="L1706" s="45">
        <v>105.0</v>
      </c>
      <c r="M1706" s="45">
        <v>120.1</v>
      </c>
    </row>
    <row r="1707">
      <c r="A1707" s="34" t="s">
        <v>70</v>
      </c>
      <c r="B1707" s="34" t="s">
        <v>354</v>
      </c>
      <c r="C1707" s="34">
        <v>35.0</v>
      </c>
      <c r="D1707" s="34" t="s">
        <v>622</v>
      </c>
      <c r="E1707" s="34" t="s">
        <v>4379</v>
      </c>
      <c r="F1707" s="34" t="s">
        <v>4380</v>
      </c>
      <c r="G1707" s="34">
        <v>35188.0</v>
      </c>
      <c r="H1707" s="34" t="s">
        <v>4381</v>
      </c>
      <c r="I1707" s="34" t="s">
        <v>18</v>
      </c>
      <c r="J1707" s="34" t="s">
        <v>15</v>
      </c>
      <c r="K1707" s="45">
        <v>120.7</v>
      </c>
      <c r="L1707" s="9"/>
      <c r="M1707" s="45">
        <v>120.7</v>
      </c>
    </row>
    <row r="1708">
      <c r="A1708" s="34" t="s">
        <v>70</v>
      </c>
      <c r="B1708" s="34" t="s">
        <v>354</v>
      </c>
      <c r="C1708" s="34">
        <v>35.0</v>
      </c>
      <c r="D1708" s="34" t="s">
        <v>622</v>
      </c>
      <c r="E1708" s="34" t="s">
        <v>4382</v>
      </c>
      <c r="F1708" s="34" t="s">
        <v>4383</v>
      </c>
      <c r="G1708" s="34">
        <v>35012.0</v>
      </c>
      <c r="H1708" s="34" t="s">
        <v>4384</v>
      </c>
      <c r="I1708" s="34" t="s">
        <v>18</v>
      </c>
      <c r="J1708" s="34" t="s">
        <v>15</v>
      </c>
      <c r="K1708" s="45">
        <v>118.2</v>
      </c>
      <c r="L1708" s="9"/>
      <c r="M1708" s="45">
        <v>118.2</v>
      </c>
    </row>
    <row r="1709">
      <c r="A1709" s="34" t="s">
        <v>70</v>
      </c>
      <c r="B1709" s="34" t="s">
        <v>354</v>
      </c>
      <c r="C1709" s="34">
        <v>35.0</v>
      </c>
      <c r="D1709" s="34" t="s">
        <v>622</v>
      </c>
      <c r="E1709" s="34" t="s">
        <v>4385</v>
      </c>
      <c r="F1709" s="34" t="s">
        <v>4386</v>
      </c>
      <c r="G1709" s="34">
        <v>35095.0</v>
      </c>
      <c r="H1709" s="34" t="s">
        <v>4340</v>
      </c>
      <c r="I1709" s="34" t="s">
        <v>17</v>
      </c>
      <c r="J1709" s="34" t="s">
        <v>15</v>
      </c>
      <c r="K1709" s="45">
        <v>101.8</v>
      </c>
      <c r="L1709" s="9"/>
      <c r="M1709" s="45">
        <v>101.8</v>
      </c>
    </row>
    <row r="1710">
      <c r="A1710" s="34" t="s">
        <v>70</v>
      </c>
      <c r="B1710" s="34" t="s">
        <v>313</v>
      </c>
      <c r="C1710" s="34">
        <v>37.0</v>
      </c>
      <c r="D1710" s="34" t="s">
        <v>637</v>
      </c>
      <c r="E1710" s="34" t="s">
        <v>4387</v>
      </c>
      <c r="F1710" s="34" t="s">
        <v>4388</v>
      </c>
      <c r="G1710" s="34">
        <v>37132.0</v>
      </c>
      <c r="H1710" s="34" t="s">
        <v>4389</v>
      </c>
      <c r="I1710" s="34" t="s">
        <v>18</v>
      </c>
      <c r="J1710" s="34" t="s">
        <v>14</v>
      </c>
      <c r="K1710" s="45">
        <v>114.6</v>
      </c>
      <c r="L1710" s="45">
        <v>90.4</v>
      </c>
      <c r="M1710" s="45">
        <v>109.1</v>
      </c>
    </row>
    <row r="1711">
      <c r="A1711" s="34" t="s">
        <v>70</v>
      </c>
      <c r="B1711" s="34" t="s">
        <v>313</v>
      </c>
      <c r="C1711" s="34">
        <v>37.0</v>
      </c>
      <c r="D1711" s="34" t="s">
        <v>637</v>
      </c>
      <c r="E1711" s="34" t="s">
        <v>4390</v>
      </c>
      <c r="F1711" s="34" t="s">
        <v>4391</v>
      </c>
      <c r="G1711" s="34">
        <v>37261.0</v>
      </c>
      <c r="H1711" s="34" t="s">
        <v>640</v>
      </c>
      <c r="I1711" s="34" t="s">
        <v>18</v>
      </c>
      <c r="J1711" s="34" t="s">
        <v>13</v>
      </c>
      <c r="K1711" s="9"/>
      <c r="L1711" s="45">
        <v>94.1</v>
      </c>
      <c r="M1711" s="45">
        <v>94.1</v>
      </c>
    </row>
    <row r="1712">
      <c r="A1712" s="34" t="s">
        <v>70</v>
      </c>
      <c r="B1712" s="34" t="s">
        <v>313</v>
      </c>
      <c r="C1712" s="34">
        <v>37.0</v>
      </c>
      <c r="D1712" s="34" t="s">
        <v>637</v>
      </c>
      <c r="E1712" s="34" t="s">
        <v>4392</v>
      </c>
      <c r="F1712" s="34" t="s">
        <v>4393</v>
      </c>
      <c r="G1712" s="34">
        <v>37261.0</v>
      </c>
      <c r="H1712" s="34" t="s">
        <v>640</v>
      </c>
      <c r="I1712" s="34" t="s">
        <v>17</v>
      </c>
      <c r="J1712" s="34" t="s">
        <v>15</v>
      </c>
      <c r="K1712" s="45">
        <v>142.3</v>
      </c>
      <c r="L1712" s="9"/>
      <c r="M1712" s="45">
        <v>142.3</v>
      </c>
    </row>
    <row r="1713">
      <c r="A1713" s="34" t="s">
        <v>70</v>
      </c>
      <c r="B1713" s="34" t="s">
        <v>313</v>
      </c>
      <c r="C1713" s="34">
        <v>37.0</v>
      </c>
      <c r="D1713" s="34" t="s">
        <v>637</v>
      </c>
      <c r="E1713" s="34" t="s">
        <v>4394</v>
      </c>
      <c r="F1713" s="34" t="s">
        <v>4395</v>
      </c>
      <c r="G1713" s="34">
        <v>37122.0</v>
      </c>
      <c r="H1713" s="34" t="s">
        <v>645</v>
      </c>
      <c r="I1713" s="34" t="s">
        <v>18</v>
      </c>
      <c r="J1713" s="34" t="s">
        <v>15</v>
      </c>
      <c r="K1713" s="45">
        <v>116.0</v>
      </c>
      <c r="L1713" s="9"/>
      <c r="M1713" s="45">
        <v>116.0</v>
      </c>
    </row>
    <row r="1714">
      <c r="A1714" s="34" t="s">
        <v>70</v>
      </c>
      <c r="B1714" s="34" t="s">
        <v>161</v>
      </c>
      <c r="C1714" s="34">
        <v>38.0</v>
      </c>
      <c r="D1714" s="34" t="s">
        <v>663</v>
      </c>
      <c r="E1714" s="34" t="s">
        <v>4396</v>
      </c>
      <c r="F1714" s="34" t="s">
        <v>4397</v>
      </c>
      <c r="G1714" s="34">
        <v>38185.0</v>
      </c>
      <c r="H1714" s="34" t="s">
        <v>161</v>
      </c>
      <c r="I1714" s="34" t="s">
        <v>17</v>
      </c>
      <c r="J1714" s="34" t="s">
        <v>15</v>
      </c>
      <c r="K1714" s="45">
        <v>99.1</v>
      </c>
      <c r="L1714" s="9"/>
      <c r="M1714" s="45">
        <v>99.1</v>
      </c>
    </row>
    <row r="1715">
      <c r="A1715" s="34" t="s">
        <v>70</v>
      </c>
      <c r="B1715" s="34" t="s">
        <v>161</v>
      </c>
      <c r="C1715" s="34">
        <v>38.0</v>
      </c>
      <c r="D1715" s="34" t="s">
        <v>663</v>
      </c>
      <c r="E1715" s="34" t="s">
        <v>4398</v>
      </c>
      <c r="F1715" s="34" t="s">
        <v>4399</v>
      </c>
      <c r="G1715" s="34">
        <v>38269.0</v>
      </c>
      <c r="H1715" s="34" t="s">
        <v>4400</v>
      </c>
      <c r="I1715" s="34" t="s">
        <v>18</v>
      </c>
      <c r="J1715" s="34" t="s">
        <v>14</v>
      </c>
      <c r="K1715" s="45">
        <v>122.7</v>
      </c>
      <c r="L1715" s="45">
        <v>91.8</v>
      </c>
      <c r="M1715" s="45">
        <v>114.4</v>
      </c>
    </row>
    <row r="1716">
      <c r="A1716" s="34" t="s">
        <v>70</v>
      </c>
      <c r="B1716" s="34" t="s">
        <v>161</v>
      </c>
      <c r="C1716" s="34">
        <v>38.0</v>
      </c>
      <c r="D1716" s="34" t="s">
        <v>663</v>
      </c>
      <c r="E1716" s="34" t="s">
        <v>4401</v>
      </c>
      <c r="F1716" s="34" t="s">
        <v>4402</v>
      </c>
      <c r="G1716" s="34">
        <v>38509.0</v>
      </c>
      <c r="H1716" s="34" t="s">
        <v>4403</v>
      </c>
      <c r="I1716" s="34" t="s">
        <v>18</v>
      </c>
      <c r="J1716" s="34" t="s">
        <v>14</v>
      </c>
      <c r="K1716" s="45">
        <v>117.8</v>
      </c>
      <c r="L1716" s="45">
        <v>91.6</v>
      </c>
      <c r="M1716" s="45">
        <v>113.1</v>
      </c>
    </row>
    <row r="1717">
      <c r="A1717" s="34" t="s">
        <v>70</v>
      </c>
      <c r="B1717" s="34" t="s">
        <v>161</v>
      </c>
      <c r="C1717" s="34">
        <v>38.0</v>
      </c>
      <c r="D1717" s="34" t="s">
        <v>663</v>
      </c>
      <c r="E1717" s="34" t="s">
        <v>4404</v>
      </c>
      <c r="F1717" s="34" t="s">
        <v>4405</v>
      </c>
      <c r="G1717" s="34">
        <v>38516.0</v>
      </c>
      <c r="H1717" s="34" t="s">
        <v>704</v>
      </c>
      <c r="I1717" s="34" t="s">
        <v>18</v>
      </c>
      <c r="J1717" s="34" t="s">
        <v>15</v>
      </c>
      <c r="K1717" s="45">
        <v>130.9</v>
      </c>
      <c r="L1717" s="9"/>
      <c r="M1717" s="45">
        <v>130.9</v>
      </c>
    </row>
    <row r="1718">
      <c r="A1718" s="34" t="s">
        <v>70</v>
      </c>
      <c r="B1718" s="34" t="s">
        <v>161</v>
      </c>
      <c r="C1718" s="34">
        <v>38.0</v>
      </c>
      <c r="D1718" s="34" t="s">
        <v>663</v>
      </c>
      <c r="E1718" s="34" t="s">
        <v>4406</v>
      </c>
      <c r="F1718" s="34" t="s">
        <v>4407</v>
      </c>
      <c r="G1718" s="34">
        <v>38565.0</v>
      </c>
      <c r="H1718" s="34" t="s">
        <v>4408</v>
      </c>
      <c r="I1718" s="34" t="s">
        <v>17</v>
      </c>
      <c r="J1718" s="34" t="s">
        <v>13</v>
      </c>
      <c r="K1718" s="9"/>
      <c r="L1718" s="45">
        <v>107.6</v>
      </c>
      <c r="M1718" s="45">
        <v>107.6</v>
      </c>
    </row>
    <row r="1719">
      <c r="A1719" s="34" t="s">
        <v>70</v>
      </c>
      <c r="B1719" s="34" t="s">
        <v>161</v>
      </c>
      <c r="C1719" s="34">
        <v>38.0</v>
      </c>
      <c r="D1719" s="34" t="s">
        <v>663</v>
      </c>
      <c r="E1719" s="34" t="s">
        <v>4409</v>
      </c>
      <c r="F1719" s="34" t="s">
        <v>4410</v>
      </c>
      <c r="G1719" s="34">
        <v>38474.0</v>
      </c>
      <c r="H1719" s="34" t="s">
        <v>4411</v>
      </c>
      <c r="I1719" s="34" t="s">
        <v>18</v>
      </c>
      <c r="J1719" s="34" t="s">
        <v>13</v>
      </c>
      <c r="K1719" s="9"/>
      <c r="L1719" s="45">
        <v>89.7</v>
      </c>
      <c r="M1719" s="45">
        <v>89.7</v>
      </c>
    </row>
    <row r="1720">
      <c r="A1720" s="34" t="s">
        <v>70</v>
      </c>
      <c r="B1720" s="34" t="s">
        <v>161</v>
      </c>
      <c r="C1720" s="34">
        <v>38.0</v>
      </c>
      <c r="D1720" s="34" t="s">
        <v>663</v>
      </c>
      <c r="E1720" s="34" t="s">
        <v>4412</v>
      </c>
      <c r="F1720" s="34" t="s">
        <v>4413</v>
      </c>
      <c r="G1720" s="34">
        <v>38229.0</v>
      </c>
      <c r="H1720" s="34" t="s">
        <v>4414</v>
      </c>
      <c r="I1720" s="34" t="s">
        <v>18</v>
      </c>
      <c r="J1720" s="34" t="s">
        <v>14</v>
      </c>
      <c r="K1720" s="45">
        <v>144.6</v>
      </c>
      <c r="L1720" s="45">
        <v>118.1</v>
      </c>
      <c r="M1720" s="45">
        <v>143.8</v>
      </c>
    </row>
    <row r="1721">
      <c r="A1721" s="34" t="s">
        <v>70</v>
      </c>
      <c r="B1721" s="34" t="s">
        <v>393</v>
      </c>
      <c r="C1721" s="34">
        <v>39.0</v>
      </c>
      <c r="D1721" s="34" t="s">
        <v>708</v>
      </c>
      <c r="E1721" s="34" t="s">
        <v>4415</v>
      </c>
      <c r="F1721" s="34" t="s">
        <v>4416</v>
      </c>
      <c r="G1721" s="34">
        <v>39500.0</v>
      </c>
      <c r="H1721" s="34" t="s">
        <v>4417</v>
      </c>
      <c r="I1721" s="34" t="s">
        <v>18</v>
      </c>
      <c r="J1721" s="34" t="s">
        <v>15</v>
      </c>
      <c r="K1721" s="45">
        <v>123.6</v>
      </c>
      <c r="L1721" s="9"/>
      <c r="M1721" s="45">
        <v>123.6</v>
      </c>
    </row>
    <row r="1722">
      <c r="A1722" s="34" t="s">
        <v>70</v>
      </c>
      <c r="B1722" s="34" t="s">
        <v>393</v>
      </c>
      <c r="C1722" s="34">
        <v>39.0</v>
      </c>
      <c r="D1722" s="34" t="s">
        <v>708</v>
      </c>
      <c r="E1722" s="34" t="s">
        <v>4418</v>
      </c>
      <c r="F1722" s="34" t="s">
        <v>2778</v>
      </c>
      <c r="G1722" s="34">
        <v>39300.0</v>
      </c>
      <c r="H1722" s="34" t="s">
        <v>2637</v>
      </c>
      <c r="I1722" s="34" t="s">
        <v>17</v>
      </c>
      <c r="J1722" s="34" t="s">
        <v>15</v>
      </c>
      <c r="K1722" s="45">
        <v>111.1</v>
      </c>
      <c r="L1722" s="9"/>
      <c r="M1722" s="45">
        <v>111.1</v>
      </c>
    </row>
    <row r="1723">
      <c r="A1723" s="34" t="s">
        <v>70</v>
      </c>
      <c r="B1723" s="34" t="s">
        <v>377</v>
      </c>
      <c r="C1723" s="34">
        <v>40.0</v>
      </c>
      <c r="D1723" s="34" t="s">
        <v>717</v>
      </c>
      <c r="E1723" s="34" t="s">
        <v>4419</v>
      </c>
      <c r="F1723" s="34" t="s">
        <v>4420</v>
      </c>
      <c r="G1723" s="34">
        <v>40001.0</v>
      </c>
      <c r="H1723" s="34" t="s">
        <v>4421</v>
      </c>
      <c r="I1723" s="34" t="s">
        <v>18</v>
      </c>
      <c r="J1723" s="34" t="s">
        <v>14</v>
      </c>
      <c r="K1723" s="45">
        <v>108.8</v>
      </c>
      <c r="L1723" s="45">
        <v>97.1</v>
      </c>
      <c r="M1723" s="45">
        <v>106.8</v>
      </c>
    </row>
    <row r="1724">
      <c r="A1724" s="34" t="s">
        <v>70</v>
      </c>
      <c r="B1724" s="34" t="s">
        <v>377</v>
      </c>
      <c r="C1724" s="34">
        <v>40.0</v>
      </c>
      <c r="D1724" s="34" t="s">
        <v>717</v>
      </c>
      <c r="E1724" s="34" t="s">
        <v>4422</v>
      </c>
      <c r="F1724" s="34" t="s">
        <v>4423</v>
      </c>
      <c r="G1724" s="34">
        <v>40065.0</v>
      </c>
      <c r="H1724" s="34" t="s">
        <v>4424</v>
      </c>
      <c r="I1724" s="34" t="s">
        <v>18</v>
      </c>
      <c r="J1724" s="34" t="s">
        <v>13</v>
      </c>
      <c r="K1724" s="9"/>
      <c r="L1724" s="45">
        <v>94.9</v>
      </c>
      <c r="M1724" s="45">
        <v>94.9</v>
      </c>
    </row>
    <row r="1725">
      <c r="A1725" s="34" t="s">
        <v>70</v>
      </c>
      <c r="B1725" s="34" t="s">
        <v>377</v>
      </c>
      <c r="C1725" s="34">
        <v>40.0</v>
      </c>
      <c r="D1725" s="34" t="s">
        <v>717</v>
      </c>
      <c r="E1725" s="34" t="s">
        <v>4425</v>
      </c>
      <c r="F1725" s="34" t="s">
        <v>4426</v>
      </c>
      <c r="G1725" s="34">
        <v>40192.0</v>
      </c>
      <c r="H1725" s="34" t="s">
        <v>4427</v>
      </c>
      <c r="I1725" s="34" t="s">
        <v>18</v>
      </c>
      <c r="J1725" s="34" t="s">
        <v>13</v>
      </c>
      <c r="K1725" s="9"/>
      <c r="L1725" s="45">
        <v>89.2</v>
      </c>
      <c r="M1725" s="45">
        <v>89.2</v>
      </c>
    </row>
    <row r="1726">
      <c r="A1726" s="34" t="s">
        <v>70</v>
      </c>
      <c r="B1726" s="34" t="s">
        <v>377</v>
      </c>
      <c r="C1726" s="34">
        <v>40.0</v>
      </c>
      <c r="D1726" s="34" t="s">
        <v>717</v>
      </c>
      <c r="E1726" s="34" t="s">
        <v>4428</v>
      </c>
      <c r="F1726" s="34" t="s">
        <v>4429</v>
      </c>
      <c r="G1726" s="34">
        <v>40192.0</v>
      </c>
      <c r="H1726" s="34" t="s">
        <v>4427</v>
      </c>
      <c r="I1726" s="34" t="s">
        <v>18</v>
      </c>
      <c r="J1726" s="34" t="s">
        <v>13</v>
      </c>
      <c r="K1726" s="9"/>
      <c r="L1726" s="45">
        <v>83.5</v>
      </c>
      <c r="M1726" s="45">
        <v>83.5</v>
      </c>
    </row>
    <row r="1727">
      <c r="A1727" s="34" t="s">
        <v>70</v>
      </c>
      <c r="B1727" s="34" t="s">
        <v>377</v>
      </c>
      <c r="C1727" s="34">
        <v>40.0</v>
      </c>
      <c r="D1727" s="34" t="s">
        <v>717</v>
      </c>
      <c r="E1727" s="34" t="s">
        <v>4430</v>
      </c>
      <c r="F1727" s="34" t="s">
        <v>4431</v>
      </c>
      <c r="G1727" s="34">
        <v>40001.0</v>
      </c>
      <c r="H1727" s="34" t="s">
        <v>4421</v>
      </c>
      <c r="I1727" s="34" t="s">
        <v>18</v>
      </c>
      <c r="J1727" s="34" t="s">
        <v>13</v>
      </c>
      <c r="K1727" s="9"/>
      <c r="L1727" s="45">
        <v>83.0</v>
      </c>
      <c r="M1727" s="45">
        <v>83.0</v>
      </c>
    </row>
    <row r="1728">
      <c r="A1728" s="34" t="s">
        <v>70</v>
      </c>
      <c r="B1728" s="34" t="s">
        <v>377</v>
      </c>
      <c r="C1728" s="34">
        <v>40.0</v>
      </c>
      <c r="D1728" s="34" t="s">
        <v>717</v>
      </c>
      <c r="E1728" s="34" t="s">
        <v>4432</v>
      </c>
      <c r="F1728" s="34" t="s">
        <v>4433</v>
      </c>
      <c r="G1728" s="34">
        <v>40217.0</v>
      </c>
      <c r="H1728" s="34" t="s">
        <v>723</v>
      </c>
      <c r="I1728" s="34" t="s">
        <v>18</v>
      </c>
      <c r="J1728" s="34" t="s">
        <v>13</v>
      </c>
      <c r="K1728" s="9"/>
      <c r="L1728" s="45">
        <v>89.0</v>
      </c>
      <c r="M1728" s="45">
        <v>89.0</v>
      </c>
    </row>
    <row r="1729">
      <c r="A1729" s="34" t="s">
        <v>70</v>
      </c>
      <c r="B1729" s="34" t="s">
        <v>377</v>
      </c>
      <c r="C1729" s="34">
        <v>40.0</v>
      </c>
      <c r="D1729" s="34" t="s">
        <v>717</v>
      </c>
      <c r="E1729" s="34" t="s">
        <v>4434</v>
      </c>
      <c r="F1729" s="34" t="s">
        <v>4435</v>
      </c>
      <c r="G1729" s="34">
        <v>40281.0</v>
      </c>
      <c r="H1729" s="34" t="s">
        <v>726</v>
      </c>
      <c r="I1729" s="34" t="s">
        <v>17</v>
      </c>
      <c r="J1729" s="34" t="s">
        <v>13</v>
      </c>
      <c r="K1729" s="9"/>
      <c r="L1729" s="45">
        <v>90.1</v>
      </c>
      <c r="M1729" s="45">
        <v>90.1</v>
      </c>
    </row>
    <row r="1730">
      <c r="A1730" s="34" t="s">
        <v>70</v>
      </c>
      <c r="B1730" s="34" t="s">
        <v>377</v>
      </c>
      <c r="C1730" s="34">
        <v>40.0</v>
      </c>
      <c r="D1730" s="34" t="s">
        <v>717</v>
      </c>
      <c r="E1730" s="34" t="s">
        <v>4436</v>
      </c>
      <c r="F1730" s="34" t="s">
        <v>4437</v>
      </c>
      <c r="G1730" s="34">
        <v>40284.0</v>
      </c>
      <c r="H1730" s="34" t="s">
        <v>4438</v>
      </c>
      <c r="I1730" s="34" t="s">
        <v>18</v>
      </c>
      <c r="J1730" s="34" t="s">
        <v>15</v>
      </c>
      <c r="K1730" s="45">
        <v>122.8</v>
      </c>
      <c r="L1730" s="9"/>
      <c r="M1730" s="45">
        <v>122.8</v>
      </c>
    </row>
    <row r="1731">
      <c r="A1731" s="34" t="s">
        <v>70</v>
      </c>
      <c r="B1731" s="34" t="s">
        <v>377</v>
      </c>
      <c r="C1731" s="34">
        <v>40.0</v>
      </c>
      <c r="D1731" s="34" t="s">
        <v>717</v>
      </c>
      <c r="E1731" s="34" t="s">
        <v>4439</v>
      </c>
      <c r="F1731" s="34" t="s">
        <v>4440</v>
      </c>
      <c r="G1731" s="34">
        <v>40088.0</v>
      </c>
      <c r="H1731" s="34" t="s">
        <v>720</v>
      </c>
      <c r="I1731" s="34" t="s">
        <v>17</v>
      </c>
      <c r="J1731" s="34" t="s">
        <v>15</v>
      </c>
      <c r="K1731" s="45">
        <v>120.1</v>
      </c>
      <c r="L1731" s="9"/>
      <c r="M1731" s="45">
        <v>120.1</v>
      </c>
    </row>
    <row r="1732">
      <c r="A1732" s="34" t="s">
        <v>70</v>
      </c>
      <c r="B1732" s="34" t="s">
        <v>313</v>
      </c>
      <c r="C1732" s="34">
        <v>41.0</v>
      </c>
      <c r="D1732" s="34" t="s">
        <v>732</v>
      </c>
      <c r="E1732" s="34" t="s">
        <v>4441</v>
      </c>
      <c r="F1732" s="34" t="s">
        <v>814</v>
      </c>
      <c r="G1732" s="34">
        <v>41018.0</v>
      </c>
      <c r="H1732" s="34" t="s">
        <v>741</v>
      </c>
      <c r="I1732" s="34" t="s">
        <v>18</v>
      </c>
      <c r="J1732" s="34" t="s">
        <v>15</v>
      </c>
      <c r="K1732" s="45">
        <v>111.5</v>
      </c>
      <c r="L1732" s="9"/>
      <c r="M1732" s="45">
        <v>111.5</v>
      </c>
    </row>
    <row r="1733">
      <c r="A1733" s="34" t="s">
        <v>70</v>
      </c>
      <c r="B1733" s="34" t="s">
        <v>71</v>
      </c>
      <c r="C1733" s="34">
        <v>42.0</v>
      </c>
      <c r="D1733" s="34" t="s">
        <v>742</v>
      </c>
      <c r="E1733" s="34" t="s">
        <v>4442</v>
      </c>
      <c r="F1733" s="34" t="s">
        <v>4443</v>
      </c>
      <c r="G1733" s="34">
        <v>42186.0</v>
      </c>
      <c r="H1733" s="34" t="s">
        <v>2668</v>
      </c>
      <c r="I1733" s="34" t="s">
        <v>18</v>
      </c>
      <c r="J1733" s="34" t="s">
        <v>15</v>
      </c>
      <c r="K1733" s="45">
        <v>113.4</v>
      </c>
      <c r="L1733" s="9"/>
      <c r="M1733" s="45">
        <v>113.4</v>
      </c>
    </row>
    <row r="1734">
      <c r="A1734" s="34" t="s">
        <v>70</v>
      </c>
      <c r="B1734" s="34" t="s">
        <v>71</v>
      </c>
      <c r="C1734" s="34">
        <v>42.0</v>
      </c>
      <c r="D1734" s="34" t="s">
        <v>742</v>
      </c>
      <c r="E1734" s="34" t="s">
        <v>4444</v>
      </c>
      <c r="F1734" s="34" t="s">
        <v>4445</v>
      </c>
      <c r="G1734" s="34">
        <v>42187.0</v>
      </c>
      <c r="H1734" s="34" t="s">
        <v>745</v>
      </c>
      <c r="I1734" s="34" t="s">
        <v>18</v>
      </c>
      <c r="J1734" s="34" t="s">
        <v>15</v>
      </c>
      <c r="K1734" s="45">
        <v>102.1</v>
      </c>
      <c r="L1734" s="9"/>
      <c r="M1734" s="45">
        <v>102.1</v>
      </c>
    </row>
    <row r="1735">
      <c r="A1735" s="34" t="s">
        <v>70</v>
      </c>
      <c r="B1735" s="34" t="s">
        <v>71</v>
      </c>
      <c r="C1735" s="34">
        <v>42.0</v>
      </c>
      <c r="D1735" s="34" t="s">
        <v>742</v>
      </c>
      <c r="E1735" s="34" t="s">
        <v>4446</v>
      </c>
      <c r="F1735" s="34" t="s">
        <v>766</v>
      </c>
      <c r="G1735" s="34">
        <v>42275.0</v>
      </c>
      <c r="H1735" s="34" t="s">
        <v>4447</v>
      </c>
      <c r="I1735" s="34" t="s">
        <v>18</v>
      </c>
      <c r="J1735" s="34" t="s">
        <v>15</v>
      </c>
      <c r="K1735" s="45">
        <v>114.9</v>
      </c>
      <c r="L1735" s="9"/>
      <c r="M1735" s="45">
        <v>114.9</v>
      </c>
    </row>
    <row r="1736">
      <c r="A1736" s="34" t="s">
        <v>70</v>
      </c>
      <c r="B1736" s="34" t="s">
        <v>71</v>
      </c>
      <c r="C1736" s="34">
        <v>42.0</v>
      </c>
      <c r="D1736" s="34" t="s">
        <v>742</v>
      </c>
      <c r="E1736" s="34" t="s">
        <v>4448</v>
      </c>
      <c r="F1736" s="34" t="s">
        <v>4449</v>
      </c>
      <c r="G1736" s="34">
        <v>42207.0</v>
      </c>
      <c r="H1736" s="34" t="s">
        <v>4450</v>
      </c>
      <c r="I1736" s="34" t="s">
        <v>18</v>
      </c>
      <c r="J1736" s="34" t="s">
        <v>13</v>
      </c>
      <c r="K1736" s="9"/>
      <c r="L1736" s="45">
        <v>84.0</v>
      </c>
      <c r="M1736" s="45">
        <v>84.0</v>
      </c>
    </row>
    <row r="1737">
      <c r="A1737" s="34" t="s">
        <v>70</v>
      </c>
      <c r="B1737" s="34" t="s">
        <v>71</v>
      </c>
      <c r="C1737" s="34">
        <v>42.0</v>
      </c>
      <c r="D1737" s="34" t="s">
        <v>742</v>
      </c>
      <c r="E1737" s="34" t="s">
        <v>4451</v>
      </c>
      <c r="F1737" s="34" t="s">
        <v>4452</v>
      </c>
      <c r="G1737" s="34">
        <v>42218.0</v>
      </c>
      <c r="H1737" s="34" t="s">
        <v>748</v>
      </c>
      <c r="I1737" s="34" t="s">
        <v>18</v>
      </c>
      <c r="J1737" s="34" t="s">
        <v>13</v>
      </c>
      <c r="K1737" s="9"/>
      <c r="L1737" s="45">
        <v>87.0</v>
      </c>
      <c r="M1737" s="45">
        <v>87.0</v>
      </c>
    </row>
    <row r="1738">
      <c r="A1738" s="34" t="s">
        <v>70</v>
      </c>
      <c r="B1738" s="34" t="s">
        <v>71</v>
      </c>
      <c r="C1738" s="34">
        <v>42.0</v>
      </c>
      <c r="D1738" s="34" t="s">
        <v>742</v>
      </c>
      <c r="E1738" s="34" t="s">
        <v>4453</v>
      </c>
      <c r="F1738" s="34" t="s">
        <v>4454</v>
      </c>
      <c r="G1738" s="34">
        <v>42218.0</v>
      </c>
      <c r="H1738" s="34" t="s">
        <v>748</v>
      </c>
      <c r="I1738" s="34" t="s">
        <v>17</v>
      </c>
      <c r="J1738" s="34" t="s">
        <v>13</v>
      </c>
      <c r="K1738" s="9"/>
      <c r="L1738" s="45">
        <v>97.3</v>
      </c>
      <c r="M1738" s="45">
        <v>97.3</v>
      </c>
    </row>
    <row r="1739">
      <c r="A1739" s="34" t="s">
        <v>70</v>
      </c>
      <c r="B1739" s="34" t="s">
        <v>71</v>
      </c>
      <c r="C1739" s="34">
        <v>42.0</v>
      </c>
      <c r="D1739" s="34" t="s">
        <v>742</v>
      </c>
      <c r="E1739" s="34" t="s">
        <v>4455</v>
      </c>
      <c r="F1739" s="34" t="s">
        <v>4456</v>
      </c>
      <c r="G1739" s="34">
        <v>42207.0</v>
      </c>
      <c r="H1739" s="34" t="s">
        <v>4450</v>
      </c>
      <c r="I1739" s="34" t="s">
        <v>17</v>
      </c>
      <c r="J1739" s="34" t="s">
        <v>13</v>
      </c>
      <c r="K1739" s="9"/>
      <c r="L1739" s="45">
        <v>100.1</v>
      </c>
      <c r="M1739" s="45">
        <v>100.1</v>
      </c>
    </row>
    <row r="1740">
      <c r="A1740" s="34" t="s">
        <v>70</v>
      </c>
      <c r="B1740" s="34" t="s">
        <v>71</v>
      </c>
      <c r="C1740" s="34">
        <v>42.0</v>
      </c>
      <c r="D1740" s="34" t="s">
        <v>742</v>
      </c>
      <c r="E1740" s="34" t="s">
        <v>4457</v>
      </c>
      <c r="F1740" s="34" t="s">
        <v>4458</v>
      </c>
      <c r="G1740" s="34">
        <v>42207.0</v>
      </c>
      <c r="H1740" s="34" t="s">
        <v>4450</v>
      </c>
      <c r="I1740" s="34" t="s">
        <v>17</v>
      </c>
      <c r="J1740" s="34" t="s">
        <v>15</v>
      </c>
      <c r="K1740" s="45">
        <v>122.7</v>
      </c>
      <c r="L1740" s="9"/>
      <c r="M1740" s="45">
        <v>122.7</v>
      </c>
    </row>
    <row r="1741">
      <c r="A1741" s="34" t="s">
        <v>70</v>
      </c>
      <c r="B1741" s="34" t="s">
        <v>71</v>
      </c>
      <c r="C1741" s="34">
        <v>42.0</v>
      </c>
      <c r="D1741" s="34" t="s">
        <v>742</v>
      </c>
      <c r="E1741" s="34" t="s">
        <v>4459</v>
      </c>
      <c r="F1741" s="34" t="s">
        <v>756</v>
      </c>
      <c r="G1741" s="34">
        <v>42218.0</v>
      </c>
      <c r="H1741" s="34" t="s">
        <v>748</v>
      </c>
      <c r="I1741" s="34" t="s">
        <v>17</v>
      </c>
      <c r="J1741" s="34" t="s">
        <v>15</v>
      </c>
      <c r="K1741" s="45">
        <v>124.0</v>
      </c>
      <c r="L1741" s="9"/>
      <c r="M1741" s="45">
        <v>124.0</v>
      </c>
    </row>
    <row r="1742">
      <c r="A1742" s="34" t="s">
        <v>70</v>
      </c>
      <c r="B1742" s="34" t="s">
        <v>71</v>
      </c>
      <c r="C1742" s="34">
        <v>42.0</v>
      </c>
      <c r="D1742" s="34" t="s">
        <v>742</v>
      </c>
      <c r="E1742" s="34" t="s">
        <v>4460</v>
      </c>
      <c r="F1742" s="34" t="s">
        <v>4461</v>
      </c>
      <c r="G1742" s="34">
        <v>42044.0</v>
      </c>
      <c r="H1742" s="34" t="s">
        <v>4462</v>
      </c>
      <c r="I1742" s="34" t="s">
        <v>18</v>
      </c>
      <c r="J1742" s="34" t="s">
        <v>13</v>
      </c>
      <c r="K1742" s="9"/>
      <c r="L1742" s="45">
        <v>78.3</v>
      </c>
      <c r="M1742" s="45">
        <v>78.3</v>
      </c>
    </row>
    <row r="1743">
      <c r="A1743" s="34" t="s">
        <v>70</v>
      </c>
      <c r="B1743" s="34" t="s">
        <v>71</v>
      </c>
      <c r="C1743" s="34">
        <v>42.0</v>
      </c>
      <c r="D1743" s="34" t="s">
        <v>742</v>
      </c>
      <c r="E1743" s="34" t="s">
        <v>4463</v>
      </c>
      <c r="F1743" s="34" t="s">
        <v>4464</v>
      </c>
      <c r="G1743" s="34">
        <v>42005.0</v>
      </c>
      <c r="H1743" s="34" t="s">
        <v>4465</v>
      </c>
      <c r="I1743" s="34" t="s">
        <v>18</v>
      </c>
      <c r="J1743" s="34" t="s">
        <v>13</v>
      </c>
      <c r="K1743" s="9"/>
      <c r="L1743" s="45">
        <v>85.4</v>
      </c>
      <c r="M1743" s="45">
        <v>85.4</v>
      </c>
    </row>
    <row r="1744">
      <c r="A1744" s="34" t="s">
        <v>70</v>
      </c>
      <c r="B1744" s="34" t="s">
        <v>71</v>
      </c>
      <c r="C1744" s="34">
        <v>42.0</v>
      </c>
      <c r="D1744" s="34" t="s">
        <v>742</v>
      </c>
      <c r="E1744" s="34" t="s">
        <v>4466</v>
      </c>
      <c r="F1744" s="34" t="s">
        <v>4467</v>
      </c>
      <c r="G1744" s="34">
        <v>42207.0</v>
      </c>
      <c r="H1744" s="34" t="s">
        <v>4450</v>
      </c>
      <c r="I1744" s="34" t="s">
        <v>18</v>
      </c>
      <c r="J1744" s="34" t="s">
        <v>13</v>
      </c>
      <c r="K1744" s="9"/>
      <c r="L1744" s="45">
        <v>89.3</v>
      </c>
      <c r="M1744" s="45">
        <v>89.3</v>
      </c>
    </row>
    <row r="1745">
      <c r="A1745" s="34" t="s">
        <v>70</v>
      </c>
      <c r="B1745" s="34" t="s">
        <v>71</v>
      </c>
      <c r="C1745" s="34">
        <v>42.0</v>
      </c>
      <c r="D1745" s="34" t="s">
        <v>742</v>
      </c>
      <c r="E1745" s="34" t="s">
        <v>4468</v>
      </c>
      <c r="F1745" s="34" t="s">
        <v>4469</v>
      </c>
      <c r="G1745" s="34">
        <v>42218.0</v>
      </c>
      <c r="H1745" s="34" t="s">
        <v>748</v>
      </c>
      <c r="I1745" s="34" t="s">
        <v>17</v>
      </c>
      <c r="J1745" s="34" t="s">
        <v>13</v>
      </c>
      <c r="K1745" s="9"/>
      <c r="L1745" s="45">
        <v>86.3</v>
      </c>
      <c r="M1745" s="45">
        <v>86.3</v>
      </c>
    </row>
    <row r="1746">
      <c r="A1746" s="34" t="s">
        <v>70</v>
      </c>
      <c r="B1746" s="34" t="s">
        <v>71</v>
      </c>
      <c r="C1746" s="34">
        <v>42.0</v>
      </c>
      <c r="D1746" s="34" t="s">
        <v>742</v>
      </c>
      <c r="E1746" s="34" t="s">
        <v>4470</v>
      </c>
      <c r="F1746" s="34" t="s">
        <v>4471</v>
      </c>
      <c r="G1746" s="34">
        <v>42218.0</v>
      </c>
      <c r="H1746" s="34" t="s">
        <v>748</v>
      </c>
      <c r="I1746" s="34" t="s">
        <v>17</v>
      </c>
      <c r="J1746" s="34" t="s">
        <v>13</v>
      </c>
      <c r="K1746" s="9"/>
      <c r="L1746" s="45">
        <v>66.0</v>
      </c>
      <c r="M1746" s="45">
        <v>66.0</v>
      </c>
    </row>
    <row r="1747">
      <c r="A1747" s="34" t="s">
        <v>70</v>
      </c>
      <c r="B1747" s="34" t="s">
        <v>116</v>
      </c>
      <c r="C1747" s="34">
        <v>43.0</v>
      </c>
      <c r="D1747" s="34" t="s">
        <v>764</v>
      </c>
      <c r="E1747" s="34" t="s">
        <v>4472</v>
      </c>
      <c r="F1747" s="34" t="s">
        <v>4473</v>
      </c>
      <c r="G1747" s="34">
        <v>43157.0</v>
      </c>
      <c r="H1747" s="34" t="s">
        <v>767</v>
      </c>
      <c r="I1747" s="34" t="s">
        <v>18</v>
      </c>
      <c r="J1747" s="34" t="s">
        <v>13</v>
      </c>
      <c r="K1747" s="9"/>
      <c r="L1747" s="45">
        <v>82.9</v>
      </c>
      <c r="M1747" s="45">
        <v>82.9</v>
      </c>
    </row>
    <row r="1748">
      <c r="A1748" s="34" t="s">
        <v>70</v>
      </c>
      <c r="B1748" s="34" t="s">
        <v>116</v>
      </c>
      <c r="C1748" s="34">
        <v>43.0</v>
      </c>
      <c r="D1748" s="34" t="s">
        <v>764</v>
      </c>
      <c r="E1748" s="34" t="s">
        <v>4474</v>
      </c>
      <c r="F1748" s="34" t="s">
        <v>4475</v>
      </c>
      <c r="G1748" s="34">
        <v>43157.0</v>
      </c>
      <c r="H1748" s="34" t="s">
        <v>767</v>
      </c>
      <c r="I1748" s="34" t="s">
        <v>17</v>
      </c>
      <c r="J1748" s="34" t="s">
        <v>14</v>
      </c>
      <c r="K1748" s="45">
        <v>101.4</v>
      </c>
      <c r="L1748" s="45">
        <v>90.7</v>
      </c>
      <c r="M1748" s="45">
        <v>92.6</v>
      </c>
    </row>
    <row r="1749">
      <c r="A1749" s="34" t="s">
        <v>70</v>
      </c>
      <c r="B1749" s="34" t="s">
        <v>116</v>
      </c>
      <c r="C1749" s="34">
        <v>43.0</v>
      </c>
      <c r="D1749" s="34" t="s">
        <v>764</v>
      </c>
      <c r="E1749" s="34" t="s">
        <v>4476</v>
      </c>
      <c r="F1749" s="34" t="s">
        <v>4477</v>
      </c>
      <c r="G1749" s="34">
        <v>43268.0</v>
      </c>
      <c r="H1749" s="34" t="s">
        <v>4478</v>
      </c>
      <c r="I1749" s="34" t="s">
        <v>18</v>
      </c>
      <c r="J1749" s="34" t="s">
        <v>14</v>
      </c>
      <c r="K1749" s="45">
        <v>113.3</v>
      </c>
      <c r="L1749" s="45">
        <v>92.7</v>
      </c>
      <c r="M1749" s="45">
        <v>104.0</v>
      </c>
    </row>
    <row r="1750">
      <c r="A1750" s="34" t="s">
        <v>70</v>
      </c>
      <c r="B1750" s="34" t="s">
        <v>779</v>
      </c>
      <c r="C1750" s="34">
        <v>44.0</v>
      </c>
      <c r="D1750" s="34" t="s">
        <v>780</v>
      </c>
      <c r="E1750" s="34" t="s">
        <v>4479</v>
      </c>
      <c r="F1750" s="34" t="s">
        <v>4480</v>
      </c>
      <c r="G1750" s="34">
        <v>44109.0</v>
      </c>
      <c r="H1750" s="34" t="s">
        <v>779</v>
      </c>
      <c r="I1750" s="34" t="s">
        <v>18</v>
      </c>
      <c r="J1750" s="34" t="s">
        <v>13</v>
      </c>
      <c r="K1750" s="9"/>
      <c r="L1750" s="45">
        <v>93.1</v>
      </c>
      <c r="M1750" s="45">
        <v>93.1</v>
      </c>
    </row>
    <row r="1751">
      <c r="A1751" s="34" t="s">
        <v>70</v>
      </c>
      <c r="B1751" s="34" t="s">
        <v>779</v>
      </c>
      <c r="C1751" s="34">
        <v>44.0</v>
      </c>
      <c r="D1751" s="34" t="s">
        <v>780</v>
      </c>
      <c r="E1751" s="34" t="s">
        <v>4481</v>
      </c>
      <c r="F1751" s="34" t="s">
        <v>4482</v>
      </c>
      <c r="G1751" s="34">
        <v>44143.0</v>
      </c>
      <c r="H1751" s="34" t="s">
        <v>2711</v>
      </c>
      <c r="I1751" s="34" t="s">
        <v>18</v>
      </c>
      <c r="J1751" s="34" t="s">
        <v>13</v>
      </c>
      <c r="K1751" s="9"/>
      <c r="L1751" s="45">
        <v>87.0</v>
      </c>
      <c r="M1751" s="45">
        <v>87.0</v>
      </c>
    </row>
    <row r="1752">
      <c r="A1752" s="34" t="s">
        <v>70</v>
      </c>
      <c r="B1752" s="34" t="s">
        <v>779</v>
      </c>
      <c r="C1752" s="34">
        <v>44.0</v>
      </c>
      <c r="D1752" s="34" t="s">
        <v>780</v>
      </c>
      <c r="E1752" s="34" t="s">
        <v>4483</v>
      </c>
      <c r="F1752" s="34" t="s">
        <v>4484</v>
      </c>
      <c r="G1752" s="34">
        <v>44184.0</v>
      </c>
      <c r="H1752" s="34" t="s">
        <v>801</v>
      </c>
      <c r="I1752" s="34" t="s">
        <v>18</v>
      </c>
      <c r="J1752" s="34" t="s">
        <v>13</v>
      </c>
      <c r="K1752" s="9"/>
      <c r="L1752" s="45">
        <v>83.6</v>
      </c>
      <c r="M1752" s="45">
        <v>83.6</v>
      </c>
    </row>
    <row r="1753">
      <c r="A1753" s="34" t="s">
        <v>70</v>
      </c>
      <c r="B1753" s="34" t="s">
        <v>779</v>
      </c>
      <c r="C1753" s="34">
        <v>44.0</v>
      </c>
      <c r="D1753" s="34" t="s">
        <v>780</v>
      </c>
      <c r="E1753" s="34" t="s">
        <v>4485</v>
      </c>
      <c r="F1753" s="34" t="s">
        <v>1870</v>
      </c>
      <c r="G1753" s="34">
        <v>44109.0</v>
      </c>
      <c r="H1753" s="34" t="s">
        <v>779</v>
      </c>
      <c r="I1753" s="34" t="s">
        <v>17</v>
      </c>
      <c r="J1753" s="34" t="s">
        <v>15</v>
      </c>
      <c r="K1753" s="45">
        <v>141.9</v>
      </c>
      <c r="L1753" s="9"/>
      <c r="M1753" s="45">
        <v>141.9</v>
      </c>
    </row>
    <row r="1754">
      <c r="A1754" s="34" t="s">
        <v>70</v>
      </c>
      <c r="B1754" s="34" t="s">
        <v>779</v>
      </c>
      <c r="C1754" s="34">
        <v>44.0</v>
      </c>
      <c r="D1754" s="34" t="s">
        <v>780</v>
      </c>
      <c r="E1754" s="34" t="s">
        <v>4486</v>
      </c>
      <c r="F1754" s="34" t="s">
        <v>4487</v>
      </c>
      <c r="G1754" s="34">
        <v>44109.0</v>
      </c>
      <c r="H1754" s="34" t="s">
        <v>779</v>
      </c>
      <c r="I1754" s="34" t="s">
        <v>17</v>
      </c>
      <c r="J1754" s="34" t="s">
        <v>13</v>
      </c>
      <c r="K1754" s="9"/>
      <c r="L1754" s="45">
        <v>121.3</v>
      </c>
      <c r="M1754" s="45">
        <v>121.3</v>
      </c>
    </row>
    <row r="1755">
      <c r="A1755" s="34" t="s">
        <v>70</v>
      </c>
      <c r="B1755" s="34" t="s">
        <v>779</v>
      </c>
      <c r="C1755" s="34">
        <v>44.0</v>
      </c>
      <c r="D1755" s="34" t="s">
        <v>780</v>
      </c>
      <c r="E1755" s="34" t="s">
        <v>4488</v>
      </c>
      <c r="F1755" s="34" t="s">
        <v>4489</v>
      </c>
      <c r="G1755" s="34">
        <v>44069.0</v>
      </c>
      <c r="H1755" s="34" t="s">
        <v>818</v>
      </c>
      <c r="I1755" s="34" t="s">
        <v>18</v>
      </c>
      <c r="J1755" s="34" t="s">
        <v>13</v>
      </c>
      <c r="K1755" s="9"/>
      <c r="L1755" s="45">
        <v>95.0</v>
      </c>
      <c r="M1755" s="45">
        <v>95.0</v>
      </c>
    </row>
    <row r="1756">
      <c r="A1756" s="34" t="s">
        <v>70</v>
      </c>
      <c r="B1756" s="34" t="s">
        <v>779</v>
      </c>
      <c r="C1756" s="34">
        <v>44.0</v>
      </c>
      <c r="D1756" s="34" t="s">
        <v>780</v>
      </c>
      <c r="E1756" s="34" t="s">
        <v>4490</v>
      </c>
      <c r="F1756" s="34" t="s">
        <v>4491</v>
      </c>
      <c r="G1756" s="34">
        <v>44020.0</v>
      </c>
      <c r="H1756" s="34" t="s">
        <v>2724</v>
      </c>
      <c r="I1756" s="34" t="s">
        <v>17</v>
      </c>
      <c r="J1756" s="34" t="s">
        <v>13</v>
      </c>
      <c r="K1756" s="9"/>
      <c r="L1756" s="45">
        <v>100.1</v>
      </c>
      <c r="M1756" s="45">
        <v>100.1</v>
      </c>
    </row>
    <row r="1757">
      <c r="A1757" s="34" t="s">
        <v>70</v>
      </c>
      <c r="B1757" s="34" t="s">
        <v>779</v>
      </c>
      <c r="C1757" s="34">
        <v>44.0</v>
      </c>
      <c r="D1757" s="34" t="s">
        <v>780</v>
      </c>
      <c r="E1757" s="34" t="s">
        <v>4492</v>
      </c>
      <c r="F1757" s="34" t="s">
        <v>4493</v>
      </c>
      <c r="G1757" s="34">
        <v>44114.0</v>
      </c>
      <c r="H1757" s="34" t="s">
        <v>4494</v>
      </c>
      <c r="I1757" s="34" t="s">
        <v>18</v>
      </c>
      <c r="J1757" s="34" t="s">
        <v>14</v>
      </c>
      <c r="K1757" s="45">
        <v>129.7</v>
      </c>
      <c r="L1757" s="45">
        <v>110.4</v>
      </c>
      <c r="M1757" s="45">
        <v>126.8</v>
      </c>
    </row>
    <row r="1758">
      <c r="A1758" s="34" t="s">
        <v>70</v>
      </c>
      <c r="B1758" s="34" t="s">
        <v>779</v>
      </c>
      <c r="C1758" s="34">
        <v>44.0</v>
      </c>
      <c r="D1758" s="34" t="s">
        <v>780</v>
      </c>
      <c r="E1758" s="34" t="s">
        <v>4495</v>
      </c>
      <c r="F1758" s="34" t="s">
        <v>4496</v>
      </c>
      <c r="G1758" s="34">
        <v>44109.0</v>
      </c>
      <c r="H1758" s="34" t="s">
        <v>779</v>
      </c>
      <c r="I1758" s="34" t="s">
        <v>17</v>
      </c>
      <c r="J1758" s="34" t="s">
        <v>14</v>
      </c>
      <c r="K1758" s="45">
        <v>120.2</v>
      </c>
      <c r="L1758" s="45">
        <v>103.8</v>
      </c>
      <c r="M1758" s="45">
        <v>106.3</v>
      </c>
    </row>
    <row r="1759">
      <c r="A1759" s="34" t="s">
        <v>70</v>
      </c>
      <c r="B1759" s="34" t="s">
        <v>779</v>
      </c>
      <c r="C1759" s="34">
        <v>44.0</v>
      </c>
      <c r="D1759" s="34" t="s">
        <v>780</v>
      </c>
      <c r="E1759" s="34" t="s">
        <v>4497</v>
      </c>
      <c r="F1759" s="34" t="s">
        <v>4498</v>
      </c>
      <c r="G1759" s="34">
        <v>44109.0</v>
      </c>
      <c r="H1759" s="34" t="s">
        <v>779</v>
      </c>
      <c r="I1759" s="34" t="s">
        <v>17</v>
      </c>
      <c r="J1759" s="34" t="s">
        <v>14</v>
      </c>
      <c r="K1759" s="45">
        <v>122.9</v>
      </c>
      <c r="L1759" s="45">
        <v>105.9</v>
      </c>
      <c r="M1759" s="45">
        <v>117.1</v>
      </c>
    </row>
    <row r="1760">
      <c r="A1760" s="34" t="s">
        <v>70</v>
      </c>
      <c r="B1760" s="34" t="s">
        <v>779</v>
      </c>
      <c r="C1760" s="34">
        <v>44.0</v>
      </c>
      <c r="D1760" s="34" t="s">
        <v>780</v>
      </c>
      <c r="E1760" s="34" t="s">
        <v>4499</v>
      </c>
      <c r="F1760" s="34" t="s">
        <v>4500</v>
      </c>
      <c r="G1760" s="34">
        <v>44043.0</v>
      </c>
      <c r="H1760" s="34" t="s">
        <v>4501</v>
      </c>
      <c r="I1760" s="34" t="s">
        <v>18</v>
      </c>
      <c r="J1760" s="34" t="s">
        <v>14</v>
      </c>
      <c r="K1760" s="45">
        <v>122.9</v>
      </c>
      <c r="L1760" s="45">
        <v>98.3</v>
      </c>
      <c r="M1760" s="45">
        <v>121.0</v>
      </c>
    </row>
    <row r="1761">
      <c r="A1761" s="34" t="s">
        <v>70</v>
      </c>
      <c r="B1761" s="34" t="s">
        <v>779</v>
      </c>
      <c r="C1761" s="34">
        <v>44.0</v>
      </c>
      <c r="D1761" s="34" t="s">
        <v>780</v>
      </c>
      <c r="E1761" s="34" t="s">
        <v>4502</v>
      </c>
      <c r="F1761" s="34" t="s">
        <v>4503</v>
      </c>
      <c r="G1761" s="34">
        <v>44109.0</v>
      </c>
      <c r="H1761" s="34" t="s">
        <v>779</v>
      </c>
      <c r="I1761" s="34" t="s">
        <v>17</v>
      </c>
      <c r="J1761" s="34" t="s">
        <v>13</v>
      </c>
      <c r="K1761" s="9"/>
      <c r="L1761" s="45">
        <v>107.5</v>
      </c>
      <c r="M1761" s="45">
        <v>107.5</v>
      </c>
    </row>
    <row r="1762">
      <c r="A1762" s="34" t="s">
        <v>70</v>
      </c>
      <c r="B1762" s="34" t="s">
        <v>779</v>
      </c>
      <c r="C1762" s="34">
        <v>44.0</v>
      </c>
      <c r="D1762" s="34" t="s">
        <v>780</v>
      </c>
      <c r="E1762" s="34" t="s">
        <v>4504</v>
      </c>
      <c r="F1762" s="34" t="s">
        <v>4505</v>
      </c>
      <c r="G1762" s="34">
        <v>44110.0</v>
      </c>
      <c r="H1762" s="34" t="s">
        <v>2732</v>
      </c>
      <c r="I1762" s="34" t="s">
        <v>17</v>
      </c>
      <c r="J1762" s="34" t="s">
        <v>15</v>
      </c>
      <c r="K1762" s="45">
        <v>126.5</v>
      </c>
      <c r="L1762" s="9"/>
      <c r="M1762" s="45">
        <v>126.5</v>
      </c>
    </row>
    <row r="1763">
      <c r="A1763" s="34" t="s">
        <v>70</v>
      </c>
      <c r="B1763" s="34" t="s">
        <v>779</v>
      </c>
      <c r="C1763" s="34">
        <v>44.0</v>
      </c>
      <c r="D1763" s="34" t="s">
        <v>780</v>
      </c>
      <c r="E1763" s="34" t="s">
        <v>4506</v>
      </c>
      <c r="F1763" s="34" t="s">
        <v>4507</v>
      </c>
      <c r="G1763" s="34">
        <v>44026.0</v>
      </c>
      <c r="H1763" s="34" t="s">
        <v>4508</v>
      </c>
      <c r="I1763" s="34" t="s">
        <v>18</v>
      </c>
      <c r="J1763" s="34" t="s">
        <v>15</v>
      </c>
      <c r="K1763" s="45">
        <v>133.0</v>
      </c>
      <c r="L1763" s="9"/>
      <c r="M1763" s="45">
        <v>133.0</v>
      </c>
    </row>
    <row r="1764">
      <c r="A1764" s="34" t="s">
        <v>70</v>
      </c>
      <c r="B1764" s="34" t="s">
        <v>313</v>
      </c>
      <c r="C1764" s="34">
        <v>45.0</v>
      </c>
      <c r="D1764" s="34" t="s">
        <v>821</v>
      </c>
      <c r="E1764" s="34" t="s">
        <v>4509</v>
      </c>
      <c r="F1764" s="34" t="s">
        <v>4510</v>
      </c>
      <c r="G1764" s="34">
        <v>45338.0</v>
      </c>
      <c r="H1764" s="34" t="s">
        <v>4511</v>
      </c>
      <c r="I1764" s="34" t="s">
        <v>18</v>
      </c>
      <c r="J1764" s="34" t="s">
        <v>15</v>
      </c>
      <c r="K1764" s="45">
        <v>108.4</v>
      </c>
      <c r="L1764" s="9"/>
      <c r="M1764" s="45">
        <v>108.4</v>
      </c>
    </row>
    <row r="1765">
      <c r="A1765" s="34" t="s">
        <v>70</v>
      </c>
      <c r="B1765" s="34" t="s">
        <v>313</v>
      </c>
      <c r="C1765" s="34">
        <v>45.0</v>
      </c>
      <c r="D1765" s="34" t="s">
        <v>821</v>
      </c>
      <c r="E1765" s="34" t="s">
        <v>4512</v>
      </c>
      <c r="F1765" s="34" t="s">
        <v>4513</v>
      </c>
      <c r="G1765" s="34">
        <v>45234.0</v>
      </c>
      <c r="H1765" s="34" t="s">
        <v>830</v>
      </c>
      <c r="I1765" s="34" t="s">
        <v>18</v>
      </c>
      <c r="J1765" s="34" t="s">
        <v>15</v>
      </c>
      <c r="K1765" s="45">
        <v>111.7</v>
      </c>
      <c r="L1765" s="9"/>
      <c r="M1765" s="45">
        <v>111.7</v>
      </c>
    </row>
    <row r="1766">
      <c r="A1766" s="34" t="s">
        <v>70</v>
      </c>
      <c r="B1766" s="34" t="s">
        <v>313</v>
      </c>
      <c r="C1766" s="34">
        <v>45.0</v>
      </c>
      <c r="D1766" s="34" t="s">
        <v>821</v>
      </c>
      <c r="E1766" s="34" t="s">
        <v>4514</v>
      </c>
      <c r="F1766" s="34" t="s">
        <v>4515</v>
      </c>
      <c r="G1766" s="34">
        <v>45028.0</v>
      </c>
      <c r="H1766" s="34" t="s">
        <v>4516</v>
      </c>
      <c r="I1766" s="34" t="s">
        <v>17</v>
      </c>
      <c r="J1766" s="34" t="s">
        <v>13</v>
      </c>
      <c r="K1766" s="9"/>
      <c r="L1766" s="45">
        <v>82.5</v>
      </c>
      <c r="M1766" s="45">
        <v>82.5</v>
      </c>
    </row>
    <row r="1767">
      <c r="A1767" s="34" t="s">
        <v>70</v>
      </c>
      <c r="B1767" s="34" t="s">
        <v>313</v>
      </c>
      <c r="C1767" s="34">
        <v>45.0</v>
      </c>
      <c r="D1767" s="34" t="s">
        <v>821</v>
      </c>
      <c r="E1767" s="34" t="s">
        <v>4517</v>
      </c>
      <c r="F1767" s="34" t="s">
        <v>4518</v>
      </c>
      <c r="G1767" s="34">
        <v>45234.0</v>
      </c>
      <c r="H1767" s="34" t="s">
        <v>830</v>
      </c>
      <c r="I1767" s="34" t="s">
        <v>18</v>
      </c>
      <c r="J1767" s="34" t="s">
        <v>15</v>
      </c>
      <c r="K1767" s="45">
        <v>109.4</v>
      </c>
      <c r="L1767" s="9"/>
      <c r="M1767" s="45">
        <v>109.4</v>
      </c>
    </row>
    <row r="1768">
      <c r="A1768" s="34" t="s">
        <v>70</v>
      </c>
      <c r="B1768" s="34" t="s">
        <v>313</v>
      </c>
      <c r="C1768" s="34">
        <v>45.0</v>
      </c>
      <c r="D1768" s="34" t="s">
        <v>821</v>
      </c>
      <c r="E1768" s="34" t="s">
        <v>4519</v>
      </c>
      <c r="F1768" s="34" t="s">
        <v>4520</v>
      </c>
      <c r="G1768" s="34">
        <v>45234.0</v>
      </c>
      <c r="H1768" s="34" t="s">
        <v>830</v>
      </c>
      <c r="I1768" s="34" t="s">
        <v>18</v>
      </c>
      <c r="J1768" s="34" t="s">
        <v>13</v>
      </c>
      <c r="K1768" s="9"/>
      <c r="L1768" s="45">
        <v>81.8</v>
      </c>
      <c r="M1768" s="45">
        <v>81.8</v>
      </c>
    </row>
    <row r="1769">
      <c r="A1769" s="34" t="s">
        <v>70</v>
      </c>
      <c r="B1769" s="34" t="s">
        <v>313</v>
      </c>
      <c r="C1769" s="34">
        <v>45.0</v>
      </c>
      <c r="D1769" s="34" t="s">
        <v>821</v>
      </c>
      <c r="E1769" s="34" t="s">
        <v>4521</v>
      </c>
      <c r="F1769" s="34" t="s">
        <v>1025</v>
      </c>
      <c r="G1769" s="34">
        <v>45169.0</v>
      </c>
      <c r="H1769" s="34" t="s">
        <v>4522</v>
      </c>
      <c r="I1769" s="34" t="s">
        <v>18</v>
      </c>
      <c r="J1769" s="34" t="s">
        <v>14</v>
      </c>
      <c r="K1769" s="45">
        <v>116.5</v>
      </c>
      <c r="L1769" s="45">
        <v>91.7</v>
      </c>
      <c r="M1769" s="45">
        <v>114.0</v>
      </c>
    </row>
    <row r="1770">
      <c r="A1770" s="34" t="s">
        <v>70</v>
      </c>
      <c r="B1770" s="34" t="s">
        <v>377</v>
      </c>
      <c r="C1770" s="34">
        <v>47.0</v>
      </c>
      <c r="D1770" s="34" t="s">
        <v>849</v>
      </c>
      <c r="E1770" s="34" t="s">
        <v>4523</v>
      </c>
      <c r="F1770" s="34" t="s">
        <v>4524</v>
      </c>
      <c r="G1770" s="34">
        <v>47106.0</v>
      </c>
      <c r="H1770" s="34" t="s">
        <v>2760</v>
      </c>
      <c r="I1770" s="34" t="s">
        <v>18</v>
      </c>
      <c r="J1770" s="34" t="s">
        <v>15</v>
      </c>
      <c r="K1770" s="45">
        <v>105.9</v>
      </c>
      <c r="L1770" s="9"/>
      <c r="M1770" s="45">
        <v>105.9</v>
      </c>
    </row>
    <row r="1771">
      <c r="A1771" s="34" t="s">
        <v>70</v>
      </c>
      <c r="B1771" s="34" t="s">
        <v>377</v>
      </c>
      <c r="C1771" s="34">
        <v>47.0</v>
      </c>
      <c r="D1771" s="34" t="s">
        <v>849</v>
      </c>
      <c r="E1771" s="34" t="s">
        <v>4525</v>
      </c>
      <c r="F1771" s="34" t="s">
        <v>4526</v>
      </c>
      <c r="G1771" s="34">
        <v>47157.0</v>
      </c>
      <c r="H1771" s="34" t="s">
        <v>4527</v>
      </c>
      <c r="I1771" s="34" t="s">
        <v>18</v>
      </c>
      <c r="J1771" s="34" t="s">
        <v>14</v>
      </c>
      <c r="K1771" s="45">
        <v>109.9</v>
      </c>
      <c r="L1771" s="45">
        <v>86.4</v>
      </c>
      <c r="M1771" s="45">
        <v>106.6</v>
      </c>
    </row>
    <row r="1772">
      <c r="A1772" s="34" t="s">
        <v>70</v>
      </c>
      <c r="B1772" s="34" t="s">
        <v>377</v>
      </c>
      <c r="C1772" s="34">
        <v>47.0</v>
      </c>
      <c r="D1772" s="34" t="s">
        <v>849</v>
      </c>
      <c r="E1772" s="34" t="s">
        <v>4528</v>
      </c>
      <c r="F1772" s="34" t="s">
        <v>4529</v>
      </c>
      <c r="G1772" s="34">
        <v>47323.0</v>
      </c>
      <c r="H1772" s="34" t="s">
        <v>4530</v>
      </c>
      <c r="I1772" s="34" t="s">
        <v>18</v>
      </c>
      <c r="J1772" s="34" t="s">
        <v>14</v>
      </c>
      <c r="K1772" s="45">
        <v>103.8</v>
      </c>
      <c r="L1772" s="45">
        <v>82.3</v>
      </c>
      <c r="M1772" s="45">
        <v>95.8</v>
      </c>
    </row>
    <row r="1773">
      <c r="A1773" s="34" t="s">
        <v>70</v>
      </c>
      <c r="B1773" s="34" t="s">
        <v>377</v>
      </c>
      <c r="C1773" s="34">
        <v>47.0</v>
      </c>
      <c r="D1773" s="34" t="s">
        <v>849</v>
      </c>
      <c r="E1773" s="34" t="s">
        <v>4531</v>
      </c>
      <c r="F1773" s="34" t="s">
        <v>4532</v>
      </c>
      <c r="G1773" s="34">
        <v>47001.0</v>
      </c>
      <c r="H1773" s="34" t="s">
        <v>852</v>
      </c>
      <c r="I1773" s="34" t="s">
        <v>17</v>
      </c>
      <c r="J1773" s="34" t="s">
        <v>15</v>
      </c>
      <c r="K1773" s="45">
        <v>116.2</v>
      </c>
      <c r="L1773" s="9"/>
      <c r="M1773" s="45">
        <v>116.2</v>
      </c>
    </row>
    <row r="1774">
      <c r="A1774" s="34" t="s">
        <v>70</v>
      </c>
      <c r="B1774" s="34" t="s">
        <v>377</v>
      </c>
      <c r="C1774" s="34">
        <v>47.0</v>
      </c>
      <c r="D1774" s="34" t="s">
        <v>849</v>
      </c>
      <c r="E1774" s="34" t="s">
        <v>4533</v>
      </c>
      <c r="F1774" s="34" t="s">
        <v>4534</v>
      </c>
      <c r="G1774" s="34">
        <v>47157.0</v>
      </c>
      <c r="H1774" s="34" t="s">
        <v>4527</v>
      </c>
      <c r="I1774" s="34" t="s">
        <v>17</v>
      </c>
      <c r="J1774" s="34" t="s">
        <v>15</v>
      </c>
      <c r="K1774" s="45">
        <v>103.2</v>
      </c>
      <c r="L1774" s="9"/>
      <c r="M1774" s="45">
        <v>103.2</v>
      </c>
    </row>
    <row r="1775">
      <c r="A1775" s="34" t="s">
        <v>70</v>
      </c>
      <c r="B1775" s="34" t="s">
        <v>377</v>
      </c>
      <c r="C1775" s="34">
        <v>47.0</v>
      </c>
      <c r="D1775" s="34" t="s">
        <v>849</v>
      </c>
      <c r="E1775" s="34" t="s">
        <v>4535</v>
      </c>
      <c r="F1775" s="34" t="s">
        <v>4536</v>
      </c>
      <c r="G1775" s="34">
        <v>47323.0</v>
      </c>
      <c r="H1775" s="34" t="s">
        <v>4530</v>
      </c>
      <c r="I1775" s="34" t="s">
        <v>17</v>
      </c>
      <c r="J1775" s="34" t="s">
        <v>15</v>
      </c>
      <c r="K1775" s="45">
        <v>110.4</v>
      </c>
      <c r="L1775" s="9"/>
      <c r="M1775" s="45">
        <v>110.4</v>
      </c>
    </row>
    <row r="1776">
      <c r="A1776" s="34" t="s">
        <v>70</v>
      </c>
      <c r="B1776" s="34" t="s">
        <v>377</v>
      </c>
      <c r="C1776" s="34">
        <v>47.0</v>
      </c>
      <c r="D1776" s="34" t="s">
        <v>849</v>
      </c>
      <c r="E1776" s="34" t="s">
        <v>4537</v>
      </c>
      <c r="F1776" s="34" t="s">
        <v>4538</v>
      </c>
      <c r="G1776" s="34">
        <v>47157.0</v>
      </c>
      <c r="H1776" s="34" t="s">
        <v>4527</v>
      </c>
      <c r="I1776" s="34" t="s">
        <v>17</v>
      </c>
      <c r="J1776" s="34" t="s">
        <v>13</v>
      </c>
      <c r="K1776" s="9"/>
      <c r="L1776" s="45">
        <v>82.8</v>
      </c>
      <c r="M1776" s="45">
        <v>82.8</v>
      </c>
    </row>
    <row r="1777">
      <c r="A1777" s="34" t="s">
        <v>70</v>
      </c>
      <c r="B1777" s="34" t="s">
        <v>483</v>
      </c>
      <c r="C1777" s="34">
        <v>48.0</v>
      </c>
      <c r="D1777" s="34" t="s">
        <v>2761</v>
      </c>
      <c r="E1777" s="34" t="s">
        <v>4539</v>
      </c>
      <c r="F1777" s="34" t="s">
        <v>4540</v>
      </c>
      <c r="G1777" s="34">
        <v>48080.0</v>
      </c>
      <c r="H1777" s="34" t="s">
        <v>4541</v>
      </c>
      <c r="I1777" s="34" t="s">
        <v>17</v>
      </c>
      <c r="J1777" s="34" t="s">
        <v>14</v>
      </c>
      <c r="K1777" s="45">
        <v>102.1</v>
      </c>
      <c r="L1777" s="45">
        <v>88.1</v>
      </c>
      <c r="M1777" s="45">
        <v>94.9</v>
      </c>
    </row>
    <row r="1778">
      <c r="A1778" s="34" t="s">
        <v>70</v>
      </c>
      <c r="B1778" s="34" t="s">
        <v>483</v>
      </c>
      <c r="C1778" s="34">
        <v>48.0</v>
      </c>
      <c r="D1778" s="34" t="s">
        <v>2761</v>
      </c>
      <c r="E1778" s="34" t="s">
        <v>4542</v>
      </c>
      <c r="F1778" s="34" t="s">
        <v>1617</v>
      </c>
      <c r="G1778" s="34">
        <v>48095.0</v>
      </c>
      <c r="H1778" s="34" t="s">
        <v>2764</v>
      </c>
      <c r="I1778" s="34" t="s">
        <v>17</v>
      </c>
      <c r="J1778" s="34" t="s">
        <v>14</v>
      </c>
      <c r="K1778" s="45">
        <v>120.9</v>
      </c>
      <c r="L1778" s="45">
        <v>103.1</v>
      </c>
      <c r="M1778" s="45">
        <v>114.4</v>
      </c>
    </row>
    <row r="1779">
      <c r="A1779" s="34" t="s">
        <v>70</v>
      </c>
      <c r="B1779" s="34" t="s">
        <v>779</v>
      </c>
      <c r="C1779" s="34">
        <v>49.0</v>
      </c>
      <c r="D1779" s="34" t="s">
        <v>856</v>
      </c>
      <c r="E1779" s="34" t="s">
        <v>4543</v>
      </c>
      <c r="F1779" s="34" t="s">
        <v>4544</v>
      </c>
      <c r="G1779" s="34">
        <v>49007.0</v>
      </c>
      <c r="H1779" s="34" t="s">
        <v>859</v>
      </c>
      <c r="I1779" s="34" t="s">
        <v>18</v>
      </c>
      <c r="J1779" s="34" t="s">
        <v>15</v>
      </c>
      <c r="K1779" s="45">
        <v>124.5</v>
      </c>
      <c r="L1779" s="9"/>
      <c r="M1779" s="45">
        <v>124.5</v>
      </c>
    </row>
    <row r="1780">
      <c r="A1780" s="34" t="s">
        <v>70</v>
      </c>
      <c r="B1780" s="34" t="s">
        <v>779</v>
      </c>
      <c r="C1780" s="34">
        <v>49.0</v>
      </c>
      <c r="D1780" s="34" t="s">
        <v>856</v>
      </c>
      <c r="E1780" s="34" t="s">
        <v>4545</v>
      </c>
      <c r="F1780" s="34" t="s">
        <v>4546</v>
      </c>
      <c r="G1780" s="34">
        <v>49007.0</v>
      </c>
      <c r="H1780" s="34" t="s">
        <v>859</v>
      </c>
      <c r="I1780" s="34" t="s">
        <v>18</v>
      </c>
      <c r="J1780" s="34" t="s">
        <v>15</v>
      </c>
      <c r="K1780" s="45">
        <v>120.9</v>
      </c>
      <c r="L1780" s="9"/>
      <c r="M1780" s="45">
        <v>120.9</v>
      </c>
    </row>
    <row r="1781">
      <c r="A1781" s="34" t="s">
        <v>70</v>
      </c>
      <c r="B1781" s="34" t="s">
        <v>779</v>
      </c>
      <c r="C1781" s="34">
        <v>49.0</v>
      </c>
      <c r="D1781" s="34" t="s">
        <v>856</v>
      </c>
      <c r="E1781" s="34" t="s">
        <v>4547</v>
      </c>
      <c r="F1781" s="34" t="s">
        <v>4548</v>
      </c>
      <c r="G1781" s="34">
        <v>49099.0</v>
      </c>
      <c r="H1781" s="34" t="s">
        <v>867</v>
      </c>
      <c r="I1781" s="34" t="s">
        <v>18</v>
      </c>
      <c r="J1781" s="34" t="s">
        <v>14</v>
      </c>
      <c r="K1781" s="45">
        <v>98.9</v>
      </c>
      <c r="L1781" s="45">
        <v>79.3</v>
      </c>
      <c r="M1781" s="45">
        <v>91.9</v>
      </c>
    </row>
    <row r="1782">
      <c r="A1782" s="34" t="s">
        <v>70</v>
      </c>
      <c r="B1782" s="34" t="s">
        <v>779</v>
      </c>
      <c r="C1782" s="34">
        <v>49.0</v>
      </c>
      <c r="D1782" s="34" t="s">
        <v>856</v>
      </c>
      <c r="E1782" s="34" t="s">
        <v>4549</v>
      </c>
      <c r="F1782" s="34" t="s">
        <v>4550</v>
      </c>
      <c r="G1782" s="34">
        <v>49023.0</v>
      </c>
      <c r="H1782" s="34" t="s">
        <v>4551</v>
      </c>
      <c r="I1782" s="34" t="s">
        <v>17</v>
      </c>
      <c r="J1782" s="34" t="s">
        <v>15</v>
      </c>
      <c r="K1782" s="45">
        <v>110.8</v>
      </c>
      <c r="L1782" s="9"/>
      <c r="M1782" s="45">
        <v>110.8</v>
      </c>
    </row>
    <row r="1783">
      <c r="A1783" s="34" t="s">
        <v>70</v>
      </c>
      <c r="B1783" s="34" t="s">
        <v>779</v>
      </c>
      <c r="C1783" s="34">
        <v>49.0</v>
      </c>
      <c r="D1783" s="34" t="s">
        <v>856</v>
      </c>
      <c r="E1783" s="34" t="s">
        <v>4552</v>
      </c>
      <c r="F1783" s="34" t="s">
        <v>4553</v>
      </c>
      <c r="G1783" s="34">
        <v>49331.0</v>
      </c>
      <c r="H1783" s="34" t="s">
        <v>4554</v>
      </c>
      <c r="I1783" s="34" t="s">
        <v>17</v>
      </c>
      <c r="J1783" s="34" t="s">
        <v>14</v>
      </c>
      <c r="K1783" s="45">
        <v>103.7</v>
      </c>
      <c r="L1783" s="45">
        <v>92.7</v>
      </c>
      <c r="M1783" s="45">
        <v>99.3</v>
      </c>
    </row>
    <row r="1784">
      <c r="A1784" s="34" t="s">
        <v>70</v>
      </c>
      <c r="B1784" s="34" t="s">
        <v>779</v>
      </c>
      <c r="C1784" s="34">
        <v>49.0</v>
      </c>
      <c r="D1784" s="34" t="s">
        <v>856</v>
      </c>
      <c r="E1784" s="34" t="s">
        <v>4555</v>
      </c>
      <c r="F1784" s="34" t="s">
        <v>4556</v>
      </c>
      <c r="G1784" s="34">
        <v>49023.0</v>
      </c>
      <c r="H1784" s="34" t="s">
        <v>4551</v>
      </c>
      <c r="I1784" s="34" t="s">
        <v>17</v>
      </c>
      <c r="J1784" s="34" t="s">
        <v>13</v>
      </c>
      <c r="K1784" s="9"/>
      <c r="L1784" s="45">
        <v>97.6</v>
      </c>
      <c r="M1784" s="45">
        <v>97.6</v>
      </c>
    </row>
    <row r="1785">
      <c r="A1785" s="34" t="s">
        <v>70</v>
      </c>
      <c r="B1785" s="34" t="s">
        <v>779</v>
      </c>
      <c r="C1785" s="34">
        <v>49.0</v>
      </c>
      <c r="D1785" s="34" t="s">
        <v>856</v>
      </c>
      <c r="E1785" s="34" t="s">
        <v>4557</v>
      </c>
      <c r="F1785" s="34" t="s">
        <v>1817</v>
      </c>
      <c r="G1785" s="34">
        <v>49007.0</v>
      </c>
      <c r="H1785" s="34" t="s">
        <v>859</v>
      </c>
      <c r="I1785" s="34" t="s">
        <v>18</v>
      </c>
      <c r="J1785" s="34" t="s">
        <v>15</v>
      </c>
      <c r="K1785" s="45">
        <v>114.6</v>
      </c>
      <c r="L1785" s="9"/>
      <c r="M1785" s="45">
        <v>114.6</v>
      </c>
    </row>
    <row r="1786">
      <c r="A1786" s="34" t="s">
        <v>70</v>
      </c>
      <c r="B1786" s="34" t="s">
        <v>779</v>
      </c>
      <c r="C1786" s="34">
        <v>49.0</v>
      </c>
      <c r="D1786" s="34" t="s">
        <v>856</v>
      </c>
      <c r="E1786" s="34" t="s">
        <v>4558</v>
      </c>
      <c r="F1786" s="34" t="s">
        <v>4559</v>
      </c>
      <c r="G1786" s="34">
        <v>49007.0</v>
      </c>
      <c r="H1786" s="34" t="s">
        <v>859</v>
      </c>
      <c r="I1786" s="34" t="s">
        <v>18</v>
      </c>
      <c r="J1786" s="34" t="s">
        <v>14</v>
      </c>
      <c r="K1786" s="45">
        <v>113.5</v>
      </c>
      <c r="L1786" s="45">
        <v>92.5</v>
      </c>
      <c r="M1786" s="45">
        <v>109.7</v>
      </c>
    </row>
    <row r="1787">
      <c r="A1787" s="34" t="s">
        <v>70</v>
      </c>
      <c r="B1787" s="34" t="s">
        <v>779</v>
      </c>
      <c r="C1787" s="34">
        <v>49.0</v>
      </c>
      <c r="D1787" s="34" t="s">
        <v>856</v>
      </c>
      <c r="E1787" s="34" t="s">
        <v>4560</v>
      </c>
      <c r="F1787" s="34" t="s">
        <v>4561</v>
      </c>
      <c r="G1787" s="34">
        <v>49007.0</v>
      </c>
      <c r="H1787" s="34" t="s">
        <v>859</v>
      </c>
      <c r="I1787" s="34" t="s">
        <v>17</v>
      </c>
      <c r="J1787" s="34" t="s">
        <v>15</v>
      </c>
      <c r="K1787" s="45">
        <v>136.0</v>
      </c>
      <c r="L1787" s="9"/>
      <c r="M1787" s="45">
        <v>136.0</v>
      </c>
    </row>
    <row r="1788">
      <c r="A1788" s="34" t="s">
        <v>70</v>
      </c>
      <c r="B1788" s="34" t="s">
        <v>779</v>
      </c>
      <c r="C1788" s="34">
        <v>49.0</v>
      </c>
      <c r="D1788" s="34" t="s">
        <v>856</v>
      </c>
      <c r="E1788" s="34" t="s">
        <v>4562</v>
      </c>
      <c r="F1788" s="34" t="s">
        <v>4563</v>
      </c>
      <c r="G1788" s="34">
        <v>49007.0</v>
      </c>
      <c r="H1788" s="34" t="s">
        <v>859</v>
      </c>
      <c r="I1788" s="34" t="s">
        <v>17</v>
      </c>
      <c r="J1788" s="34" t="s">
        <v>13</v>
      </c>
      <c r="K1788" s="9"/>
      <c r="L1788" s="45">
        <v>95.3</v>
      </c>
      <c r="M1788" s="45">
        <v>95.3</v>
      </c>
    </row>
    <row r="1789">
      <c r="A1789" s="34" t="s">
        <v>70</v>
      </c>
      <c r="B1789" s="34" t="s">
        <v>269</v>
      </c>
      <c r="C1789" s="34">
        <v>50.0</v>
      </c>
      <c r="D1789" s="34" t="s">
        <v>881</v>
      </c>
      <c r="E1789" s="34" t="s">
        <v>4564</v>
      </c>
      <c r="F1789" s="34" t="s">
        <v>4565</v>
      </c>
      <c r="G1789" s="34">
        <v>50218.0</v>
      </c>
      <c r="H1789" s="34" t="s">
        <v>893</v>
      </c>
      <c r="I1789" s="34" t="s">
        <v>18</v>
      </c>
      <c r="J1789" s="34" t="s">
        <v>14</v>
      </c>
      <c r="K1789" s="45">
        <v>117.6</v>
      </c>
      <c r="L1789" s="45">
        <v>92.2</v>
      </c>
      <c r="M1789" s="45">
        <v>111.9</v>
      </c>
    </row>
    <row r="1790">
      <c r="A1790" s="34" t="s">
        <v>70</v>
      </c>
      <c r="B1790" s="34" t="s">
        <v>269</v>
      </c>
      <c r="C1790" s="34">
        <v>50.0</v>
      </c>
      <c r="D1790" s="34" t="s">
        <v>881</v>
      </c>
      <c r="E1790" s="34" t="s">
        <v>4566</v>
      </c>
      <c r="F1790" s="34" t="s">
        <v>4567</v>
      </c>
      <c r="G1790" s="34">
        <v>50025.0</v>
      </c>
      <c r="H1790" s="34" t="s">
        <v>898</v>
      </c>
      <c r="I1790" s="34" t="s">
        <v>17</v>
      </c>
      <c r="J1790" s="34" t="s">
        <v>15</v>
      </c>
      <c r="K1790" s="45">
        <v>110.4</v>
      </c>
      <c r="L1790" s="9"/>
      <c r="M1790" s="45">
        <v>110.4</v>
      </c>
    </row>
    <row r="1791">
      <c r="A1791" s="34" t="s">
        <v>70</v>
      </c>
      <c r="B1791" s="34" t="s">
        <v>269</v>
      </c>
      <c r="C1791" s="34">
        <v>50.0</v>
      </c>
      <c r="D1791" s="34" t="s">
        <v>881</v>
      </c>
      <c r="E1791" s="34" t="s">
        <v>4568</v>
      </c>
      <c r="F1791" s="34" t="s">
        <v>4569</v>
      </c>
      <c r="G1791" s="34">
        <v>50002.0</v>
      </c>
      <c r="H1791" s="34" t="s">
        <v>4570</v>
      </c>
      <c r="I1791" s="34" t="s">
        <v>17</v>
      </c>
      <c r="J1791" s="34" t="s">
        <v>15</v>
      </c>
      <c r="K1791" s="45">
        <v>122.7</v>
      </c>
      <c r="L1791" s="9"/>
      <c r="M1791" s="45">
        <v>122.7</v>
      </c>
    </row>
    <row r="1792">
      <c r="A1792" s="34" t="s">
        <v>70</v>
      </c>
      <c r="B1792" s="34" t="s">
        <v>269</v>
      </c>
      <c r="C1792" s="34">
        <v>50.0</v>
      </c>
      <c r="D1792" s="34" t="s">
        <v>881</v>
      </c>
      <c r="E1792" s="34" t="s">
        <v>4571</v>
      </c>
      <c r="F1792" s="34" t="s">
        <v>4572</v>
      </c>
      <c r="G1792" s="34">
        <v>50129.0</v>
      </c>
      <c r="H1792" s="34" t="s">
        <v>884</v>
      </c>
      <c r="I1792" s="34" t="s">
        <v>17</v>
      </c>
      <c r="J1792" s="34" t="s">
        <v>13</v>
      </c>
      <c r="K1792" s="9"/>
      <c r="L1792" s="45">
        <v>99.0</v>
      </c>
      <c r="M1792" s="45">
        <v>99.0</v>
      </c>
    </row>
    <row r="1793">
      <c r="A1793" s="34" t="s">
        <v>70</v>
      </c>
      <c r="B1793" s="34" t="s">
        <v>269</v>
      </c>
      <c r="C1793" s="34">
        <v>50.0</v>
      </c>
      <c r="D1793" s="34" t="s">
        <v>881</v>
      </c>
      <c r="E1793" s="34" t="s">
        <v>4573</v>
      </c>
      <c r="F1793" s="34" t="s">
        <v>4574</v>
      </c>
      <c r="G1793" s="34">
        <v>50099.0</v>
      </c>
      <c r="H1793" s="34" t="s">
        <v>903</v>
      </c>
      <c r="I1793" s="34" t="s">
        <v>17</v>
      </c>
      <c r="J1793" s="34" t="s">
        <v>13</v>
      </c>
      <c r="K1793" s="9"/>
      <c r="L1793" s="45">
        <v>85.0</v>
      </c>
      <c r="M1793" s="45">
        <v>85.0</v>
      </c>
    </row>
    <row r="1794">
      <c r="A1794" s="34" t="s">
        <v>70</v>
      </c>
      <c r="B1794" s="34" t="s">
        <v>169</v>
      </c>
      <c r="C1794" s="34">
        <v>51.0</v>
      </c>
      <c r="D1794" s="34" t="s">
        <v>904</v>
      </c>
      <c r="E1794" s="34" t="s">
        <v>4575</v>
      </c>
      <c r="F1794" s="34" t="s">
        <v>4576</v>
      </c>
      <c r="G1794" s="34">
        <v>51454.0</v>
      </c>
      <c r="H1794" s="34" t="s">
        <v>169</v>
      </c>
      <c r="I1794" s="34" t="s">
        <v>18</v>
      </c>
      <c r="J1794" s="34" t="s">
        <v>13</v>
      </c>
      <c r="K1794" s="9"/>
      <c r="L1794" s="45">
        <v>78.1</v>
      </c>
      <c r="M1794" s="45">
        <v>78.1</v>
      </c>
    </row>
    <row r="1795">
      <c r="A1795" s="34" t="s">
        <v>70</v>
      </c>
      <c r="B1795" s="34" t="s">
        <v>169</v>
      </c>
      <c r="C1795" s="34">
        <v>51.0</v>
      </c>
      <c r="D1795" s="34" t="s">
        <v>904</v>
      </c>
      <c r="E1795" s="34" t="s">
        <v>4577</v>
      </c>
      <c r="F1795" s="34" t="s">
        <v>4578</v>
      </c>
      <c r="G1795" s="34">
        <v>51230.0</v>
      </c>
      <c r="H1795" s="34" t="s">
        <v>914</v>
      </c>
      <c r="I1795" s="34" t="s">
        <v>17</v>
      </c>
      <c r="J1795" s="34" t="s">
        <v>15</v>
      </c>
      <c r="K1795" s="45">
        <v>115.3</v>
      </c>
      <c r="L1795" s="9"/>
      <c r="M1795" s="45">
        <v>115.3</v>
      </c>
    </row>
    <row r="1796">
      <c r="A1796" s="34" t="s">
        <v>70</v>
      </c>
      <c r="B1796" s="34" t="s">
        <v>169</v>
      </c>
      <c r="C1796" s="34">
        <v>52.0</v>
      </c>
      <c r="D1796" s="34" t="s">
        <v>923</v>
      </c>
      <c r="E1796" s="34" t="s">
        <v>4579</v>
      </c>
      <c r="F1796" s="34" t="s">
        <v>3066</v>
      </c>
      <c r="G1796" s="34">
        <v>52448.0</v>
      </c>
      <c r="H1796" s="34" t="s">
        <v>4580</v>
      </c>
      <c r="I1796" s="34" t="s">
        <v>18</v>
      </c>
      <c r="J1796" s="34" t="s">
        <v>15</v>
      </c>
      <c r="K1796" s="45">
        <v>102.5</v>
      </c>
      <c r="L1796" s="9"/>
      <c r="M1796" s="45">
        <v>102.5</v>
      </c>
    </row>
    <row r="1797">
      <c r="A1797" s="34" t="s">
        <v>70</v>
      </c>
      <c r="B1797" s="34" t="s">
        <v>169</v>
      </c>
      <c r="C1797" s="34">
        <v>52.0</v>
      </c>
      <c r="D1797" s="34" t="s">
        <v>923</v>
      </c>
      <c r="E1797" s="34" t="s">
        <v>4581</v>
      </c>
      <c r="F1797" s="34" t="s">
        <v>4582</v>
      </c>
      <c r="G1797" s="34">
        <v>52448.0</v>
      </c>
      <c r="H1797" s="34" t="s">
        <v>4580</v>
      </c>
      <c r="I1797" s="34" t="s">
        <v>18</v>
      </c>
      <c r="J1797" s="34" t="s">
        <v>13</v>
      </c>
      <c r="K1797" s="9"/>
      <c r="L1797" s="45">
        <v>80.6</v>
      </c>
      <c r="M1797" s="45">
        <v>80.6</v>
      </c>
    </row>
    <row r="1798">
      <c r="A1798" s="34" t="s">
        <v>70</v>
      </c>
      <c r="B1798" s="34" t="s">
        <v>169</v>
      </c>
      <c r="C1798" s="34">
        <v>52.0</v>
      </c>
      <c r="D1798" s="34" t="s">
        <v>923</v>
      </c>
      <c r="E1798" s="34" t="s">
        <v>4583</v>
      </c>
      <c r="F1798" s="34" t="s">
        <v>4584</v>
      </c>
      <c r="G1798" s="34">
        <v>52448.0</v>
      </c>
      <c r="H1798" s="34" t="s">
        <v>4580</v>
      </c>
      <c r="I1798" s="34" t="s">
        <v>17</v>
      </c>
      <c r="J1798" s="34" t="s">
        <v>15</v>
      </c>
      <c r="K1798" s="45">
        <v>118.3</v>
      </c>
      <c r="L1798" s="9"/>
      <c r="M1798" s="45">
        <v>118.3</v>
      </c>
    </row>
    <row r="1799">
      <c r="A1799" s="34" t="s">
        <v>70</v>
      </c>
      <c r="B1799" s="34" t="s">
        <v>169</v>
      </c>
      <c r="C1799" s="34">
        <v>52.0</v>
      </c>
      <c r="D1799" s="34" t="s">
        <v>923</v>
      </c>
      <c r="E1799" s="34" t="s">
        <v>4585</v>
      </c>
      <c r="F1799" s="34" t="s">
        <v>4586</v>
      </c>
      <c r="G1799" s="34">
        <v>52121.0</v>
      </c>
      <c r="H1799" s="34" t="s">
        <v>4587</v>
      </c>
      <c r="I1799" s="34" t="s">
        <v>18</v>
      </c>
      <c r="J1799" s="34" t="s">
        <v>13</v>
      </c>
      <c r="K1799" s="9"/>
      <c r="L1799" s="45">
        <v>82.3</v>
      </c>
      <c r="M1799" s="45">
        <v>82.3</v>
      </c>
    </row>
    <row r="1800">
      <c r="A1800" s="34" t="s">
        <v>70</v>
      </c>
      <c r="B1800" s="34" t="s">
        <v>779</v>
      </c>
      <c r="C1800" s="34">
        <v>53.0</v>
      </c>
      <c r="D1800" s="34" t="s">
        <v>927</v>
      </c>
      <c r="E1800" s="34" t="s">
        <v>4588</v>
      </c>
      <c r="F1800" s="34" t="s">
        <v>4589</v>
      </c>
      <c r="G1800" s="34">
        <v>53130.0</v>
      </c>
      <c r="H1800" s="34" t="s">
        <v>2808</v>
      </c>
      <c r="I1800" s="34" t="s">
        <v>18</v>
      </c>
      <c r="J1800" s="34" t="s">
        <v>15</v>
      </c>
      <c r="K1800" s="45">
        <v>107.9</v>
      </c>
      <c r="L1800" s="9"/>
      <c r="M1800" s="45">
        <v>107.9</v>
      </c>
    </row>
    <row r="1801">
      <c r="A1801" s="34" t="s">
        <v>70</v>
      </c>
      <c r="B1801" s="34" t="s">
        <v>779</v>
      </c>
      <c r="C1801" s="34">
        <v>53.0</v>
      </c>
      <c r="D1801" s="34" t="s">
        <v>927</v>
      </c>
      <c r="E1801" s="34" t="s">
        <v>4590</v>
      </c>
      <c r="F1801" s="34" t="s">
        <v>985</v>
      </c>
      <c r="G1801" s="34">
        <v>53062.0</v>
      </c>
      <c r="H1801" s="34" t="s">
        <v>4591</v>
      </c>
      <c r="I1801" s="34" t="s">
        <v>18</v>
      </c>
      <c r="J1801" s="34" t="s">
        <v>13</v>
      </c>
      <c r="K1801" s="9"/>
      <c r="L1801" s="45">
        <v>85.5</v>
      </c>
      <c r="M1801" s="45">
        <v>85.5</v>
      </c>
    </row>
    <row r="1802">
      <c r="A1802" s="34" t="s">
        <v>70</v>
      </c>
      <c r="B1802" s="34" t="s">
        <v>779</v>
      </c>
      <c r="C1802" s="34">
        <v>53.0</v>
      </c>
      <c r="D1802" s="34" t="s">
        <v>927</v>
      </c>
      <c r="E1802" s="34" t="s">
        <v>4592</v>
      </c>
      <c r="F1802" s="34" t="s">
        <v>4593</v>
      </c>
      <c r="G1802" s="34">
        <v>53130.0</v>
      </c>
      <c r="H1802" s="34" t="s">
        <v>2808</v>
      </c>
      <c r="I1802" s="34" t="s">
        <v>17</v>
      </c>
      <c r="J1802" s="34" t="s">
        <v>15</v>
      </c>
      <c r="K1802" s="45">
        <v>124.0</v>
      </c>
      <c r="L1802" s="9"/>
      <c r="M1802" s="45">
        <v>124.0</v>
      </c>
    </row>
    <row r="1803">
      <c r="A1803" s="34" t="s">
        <v>70</v>
      </c>
      <c r="B1803" s="34" t="s">
        <v>779</v>
      </c>
      <c r="C1803" s="34">
        <v>53.0</v>
      </c>
      <c r="D1803" s="34" t="s">
        <v>927</v>
      </c>
      <c r="E1803" s="34" t="s">
        <v>4594</v>
      </c>
      <c r="F1803" s="34" t="s">
        <v>4595</v>
      </c>
      <c r="G1803" s="34">
        <v>53147.0</v>
      </c>
      <c r="H1803" s="34" t="s">
        <v>927</v>
      </c>
      <c r="I1803" s="34" t="s">
        <v>17</v>
      </c>
      <c r="J1803" s="34" t="s">
        <v>15</v>
      </c>
      <c r="K1803" s="45">
        <v>108.1</v>
      </c>
      <c r="L1803" s="9"/>
      <c r="M1803" s="45">
        <v>108.1</v>
      </c>
    </row>
    <row r="1804">
      <c r="A1804" s="34" t="s">
        <v>70</v>
      </c>
      <c r="B1804" s="34" t="s">
        <v>779</v>
      </c>
      <c r="C1804" s="34">
        <v>53.0</v>
      </c>
      <c r="D1804" s="34" t="s">
        <v>927</v>
      </c>
      <c r="E1804" s="34" t="s">
        <v>4596</v>
      </c>
      <c r="F1804" s="34" t="s">
        <v>1631</v>
      </c>
      <c r="G1804" s="34">
        <v>53147.0</v>
      </c>
      <c r="H1804" s="34" t="s">
        <v>927</v>
      </c>
      <c r="I1804" s="34" t="s">
        <v>18</v>
      </c>
      <c r="J1804" s="34" t="s">
        <v>13</v>
      </c>
      <c r="K1804" s="9"/>
      <c r="L1804" s="45">
        <v>86.2</v>
      </c>
      <c r="M1804" s="45">
        <v>86.2</v>
      </c>
    </row>
    <row r="1805">
      <c r="A1805" s="34" t="s">
        <v>70</v>
      </c>
      <c r="B1805" s="34" t="s">
        <v>930</v>
      </c>
      <c r="C1805" s="34">
        <v>54.0</v>
      </c>
      <c r="D1805" s="34" t="s">
        <v>931</v>
      </c>
      <c r="E1805" s="34" t="s">
        <v>4597</v>
      </c>
      <c r="F1805" s="34" t="s">
        <v>4598</v>
      </c>
      <c r="G1805" s="34">
        <v>54395.0</v>
      </c>
      <c r="H1805" s="34" t="s">
        <v>937</v>
      </c>
      <c r="I1805" s="34" t="s">
        <v>18</v>
      </c>
      <c r="J1805" s="34" t="s">
        <v>15</v>
      </c>
      <c r="K1805" s="45">
        <v>122.8</v>
      </c>
      <c r="L1805" s="9"/>
      <c r="M1805" s="45">
        <v>122.8</v>
      </c>
    </row>
    <row r="1806">
      <c r="A1806" s="34" t="s">
        <v>70</v>
      </c>
      <c r="B1806" s="34" t="s">
        <v>930</v>
      </c>
      <c r="C1806" s="34">
        <v>54.0</v>
      </c>
      <c r="D1806" s="34" t="s">
        <v>931</v>
      </c>
      <c r="E1806" s="34" t="s">
        <v>4599</v>
      </c>
      <c r="F1806" s="34" t="s">
        <v>4600</v>
      </c>
      <c r="G1806" s="34">
        <v>54431.0</v>
      </c>
      <c r="H1806" s="34" t="s">
        <v>951</v>
      </c>
      <c r="I1806" s="34" t="s">
        <v>18</v>
      </c>
      <c r="J1806" s="34" t="s">
        <v>15</v>
      </c>
      <c r="K1806" s="45">
        <v>115.7</v>
      </c>
      <c r="L1806" s="9"/>
      <c r="M1806" s="45">
        <v>115.7</v>
      </c>
    </row>
    <row r="1807">
      <c r="A1807" s="34" t="s">
        <v>70</v>
      </c>
      <c r="B1807" s="34" t="s">
        <v>930</v>
      </c>
      <c r="C1807" s="34">
        <v>54.0</v>
      </c>
      <c r="D1807" s="34" t="s">
        <v>931</v>
      </c>
      <c r="E1807" s="34" t="s">
        <v>4601</v>
      </c>
      <c r="F1807" s="34" t="s">
        <v>4602</v>
      </c>
      <c r="G1807" s="34">
        <v>54395.0</v>
      </c>
      <c r="H1807" s="34" t="s">
        <v>937</v>
      </c>
      <c r="I1807" s="34" t="s">
        <v>18</v>
      </c>
      <c r="J1807" s="34" t="s">
        <v>13</v>
      </c>
      <c r="K1807" s="9"/>
      <c r="L1807" s="45">
        <v>82.1</v>
      </c>
      <c r="M1807" s="45">
        <v>82.1</v>
      </c>
    </row>
    <row r="1808">
      <c r="A1808" s="34" t="s">
        <v>70</v>
      </c>
      <c r="B1808" s="34" t="s">
        <v>930</v>
      </c>
      <c r="C1808" s="34">
        <v>54.0</v>
      </c>
      <c r="D1808" s="34" t="s">
        <v>931</v>
      </c>
      <c r="E1808" s="34" t="s">
        <v>4603</v>
      </c>
      <c r="F1808" s="34" t="s">
        <v>4604</v>
      </c>
      <c r="G1808" s="34">
        <v>54528.0</v>
      </c>
      <c r="H1808" s="34" t="s">
        <v>2820</v>
      </c>
      <c r="I1808" s="34" t="s">
        <v>17</v>
      </c>
      <c r="J1808" s="34" t="s">
        <v>15</v>
      </c>
      <c r="K1808" s="45">
        <v>105.8</v>
      </c>
      <c r="L1808" s="9"/>
      <c r="M1808" s="45">
        <v>105.8</v>
      </c>
    </row>
    <row r="1809">
      <c r="A1809" s="34" t="s">
        <v>70</v>
      </c>
      <c r="B1809" s="34" t="s">
        <v>930</v>
      </c>
      <c r="C1809" s="34">
        <v>54.0</v>
      </c>
      <c r="D1809" s="34" t="s">
        <v>931</v>
      </c>
      <c r="E1809" s="34" t="s">
        <v>4605</v>
      </c>
      <c r="F1809" s="34" t="s">
        <v>4606</v>
      </c>
      <c r="G1809" s="34">
        <v>54025.0</v>
      </c>
      <c r="H1809" s="34" t="s">
        <v>4607</v>
      </c>
      <c r="I1809" s="34" t="s">
        <v>17</v>
      </c>
      <c r="J1809" s="34" t="s">
        <v>13</v>
      </c>
      <c r="K1809" s="9"/>
      <c r="L1809" s="45">
        <v>99.9</v>
      </c>
      <c r="M1809" s="45">
        <v>99.9</v>
      </c>
    </row>
    <row r="1810">
      <c r="A1810" s="34" t="s">
        <v>70</v>
      </c>
      <c r="B1810" s="34" t="s">
        <v>930</v>
      </c>
      <c r="C1810" s="34">
        <v>54.0</v>
      </c>
      <c r="D1810" s="34" t="s">
        <v>931</v>
      </c>
      <c r="E1810" s="34" t="s">
        <v>4608</v>
      </c>
      <c r="F1810" s="34" t="s">
        <v>1526</v>
      </c>
      <c r="G1810" s="34">
        <v>54382.0</v>
      </c>
      <c r="H1810" s="34" t="s">
        <v>4609</v>
      </c>
      <c r="I1810" s="34" t="s">
        <v>17</v>
      </c>
      <c r="J1810" s="34" t="s">
        <v>13</v>
      </c>
      <c r="K1810" s="9"/>
      <c r="L1810" s="45">
        <v>88.1</v>
      </c>
      <c r="M1810" s="45">
        <v>88.1</v>
      </c>
    </row>
    <row r="1811">
      <c r="A1811" s="34" t="s">
        <v>70</v>
      </c>
      <c r="B1811" s="34" t="s">
        <v>930</v>
      </c>
      <c r="C1811" s="34">
        <v>54.0</v>
      </c>
      <c r="D1811" s="34" t="s">
        <v>931</v>
      </c>
      <c r="E1811" s="34" t="s">
        <v>4610</v>
      </c>
      <c r="F1811" s="34" t="s">
        <v>4611</v>
      </c>
      <c r="G1811" s="34">
        <v>54395.0</v>
      </c>
      <c r="H1811" s="34" t="s">
        <v>937</v>
      </c>
      <c r="I1811" s="34" t="s">
        <v>17</v>
      </c>
      <c r="J1811" s="34" t="s">
        <v>13</v>
      </c>
      <c r="K1811" s="9"/>
      <c r="L1811" s="45">
        <v>104.3</v>
      </c>
      <c r="M1811" s="45">
        <v>104.3</v>
      </c>
    </row>
    <row r="1812">
      <c r="A1812" s="34" t="s">
        <v>70</v>
      </c>
      <c r="B1812" s="34" t="s">
        <v>930</v>
      </c>
      <c r="C1812" s="34">
        <v>54.0</v>
      </c>
      <c r="D1812" s="34" t="s">
        <v>931</v>
      </c>
      <c r="E1812" s="34" t="s">
        <v>4612</v>
      </c>
      <c r="F1812" s="34" t="s">
        <v>4613</v>
      </c>
      <c r="G1812" s="34">
        <v>54395.0</v>
      </c>
      <c r="H1812" s="34" t="s">
        <v>937</v>
      </c>
      <c r="I1812" s="34" t="s">
        <v>17</v>
      </c>
      <c r="J1812" s="34" t="s">
        <v>13</v>
      </c>
      <c r="K1812" s="9"/>
      <c r="L1812" s="45">
        <v>82.4</v>
      </c>
      <c r="M1812" s="45">
        <v>82.4</v>
      </c>
    </row>
    <row r="1813">
      <c r="A1813" s="34" t="s">
        <v>70</v>
      </c>
      <c r="B1813" s="34" t="s">
        <v>930</v>
      </c>
      <c r="C1813" s="34">
        <v>54.0</v>
      </c>
      <c r="D1813" s="34" t="s">
        <v>931</v>
      </c>
      <c r="E1813" s="34" t="s">
        <v>4614</v>
      </c>
      <c r="F1813" s="34" t="s">
        <v>4615</v>
      </c>
      <c r="G1813" s="34">
        <v>54528.0</v>
      </c>
      <c r="H1813" s="34" t="s">
        <v>2820</v>
      </c>
      <c r="I1813" s="34" t="s">
        <v>17</v>
      </c>
      <c r="J1813" s="34" t="s">
        <v>13</v>
      </c>
      <c r="K1813" s="9"/>
      <c r="L1813" s="45">
        <v>98.2</v>
      </c>
      <c r="M1813" s="45">
        <v>98.2</v>
      </c>
    </row>
    <row r="1814">
      <c r="A1814" s="34" t="s">
        <v>70</v>
      </c>
      <c r="B1814" s="34" t="s">
        <v>930</v>
      </c>
      <c r="C1814" s="34">
        <v>54.0</v>
      </c>
      <c r="D1814" s="34" t="s">
        <v>931</v>
      </c>
      <c r="E1814" s="34" t="s">
        <v>4616</v>
      </c>
      <c r="F1814" s="34" t="s">
        <v>3159</v>
      </c>
      <c r="G1814" s="34">
        <v>54395.0</v>
      </c>
      <c r="H1814" s="34" t="s">
        <v>937</v>
      </c>
      <c r="I1814" s="34" t="s">
        <v>17</v>
      </c>
      <c r="J1814" s="34" t="s">
        <v>13</v>
      </c>
      <c r="K1814" s="9"/>
      <c r="L1814" s="45">
        <v>81.2</v>
      </c>
      <c r="M1814" s="45">
        <v>81.2</v>
      </c>
    </row>
    <row r="1815">
      <c r="A1815" s="34" t="s">
        <v>70</v>
      </c>
      <c r="B1815" s="34" t="s">
        <v>930</v>
      </c>
      <c r="C1815" s="34">
        <v>55.0</v>
      </c>
      <c r="D1815" s="34" t="s">
        <v>957</v>
      </c>
      <c r="E1815" s="34" t="s">
        <v>4617</v>
      </c>
      <c r="F1815" s="34" t="s">
        <v>4618</v>
      </c>
      <c r="G1815" s="34">
        <v>55545.0</v>
      </c>
      <c r="H1815" s="34" t="s">
        <v>966</v>
      </c>
      <c r="I1815" s="34" t="s">
        <v>17</v>
      </c>
      <c r="J1815" s="34" t="s">
        <v>13</v>
      </c>
      <c r="K1815" s="9"/>
      <c r="L1815" s="45">
        <v>96.8</v>
      </c>
      <c r="M1815" s="45">
        <v>96.8</v>
      </c>
    </row>
    <row r="1816">
      <c r="A1816" s="34" t="s">
        <v>70</v>
      </c>
      <c r="B1816" s="34" t="s">
        <v>354</v>
      </c>
      <c r="C1816" s="34">
        <v>56.0</v>
      </c>
      <c r="D1816" s="34" t="s">
        <v>972</v>
      </c>
      <c r="E1816" s="34" t="s">
        <v>4619</v>
      </c>
      <c r="F1816" s="34" t="s">
        <v>4620</v>
      </c>
      <c r="G1816" s="34">
        <v>56083.0</v>
      </c>
      <c r="H1816" s="34" t="s">
        <v>2857</v>
      </c>
      <c r="I1816" s="34" t="s">
        <v>18</v>
      </c>
      <c r="J1816" s="34" t="s">
        <v>13</v>
      </c>
      <c r="K1816" s="9"/>
      <c r="L1816" s="45">
        <v>91.1</v>
      </c>
      <c r="M1816" s="45">
        <v>91.1</v>
      </c>
    </row>
    <row r="1817">
      <c r="A1817" s="34" t="s">
        <v>70</v>
      </c>
      <c r="B1817" s="34" t="s">
        <v>354</v>
      </c>
      <c r="C1817" s="34">
        <v>56.0</v>
      </c>
      <c r="D1817" s="34" t="s">
        <v>972</v>
      </c>
      <c r="E1817" s="34" t="s">
        <v>4621</v>
      </c>
      <c r="F1817" s="34" t="s">
        <v>4622</v>
      </c>
      <c r="G1817" s="34">
        <v>56066.0</v>
      </c>
      <c r="H1817" s="34" t="s">
        <v>4623</v>
      </c>
      <c r="I1817" s="34" t="s">
        <v>17</v>
      </c>
      <c r="J1817" s="34" t="s">
        <v>14</v>
      </c>
      <c r="K1817" s="45">
        <v>92.4</v>
      </c>
      <c r="L1817" s="45">
        <v>83.4</v>
      </c>
      <c r="M1817" s="45">
        <v>89.7</v>
      </c>
    </row>
    <row r="1818">
      <c r="A1818" s="34" t="s">
        <v>70</v>
      </c>
      <c r="B1818" s="34" t="s">
        <v>354</v>
      </c>
      <c r="C1818" s="34">
        <v>56.0</v>
      </c>
      <c r="D1818" s="34" t="s">
        <v>972</v>
      </c>
      <c r="E1818" s="34" t="s">
        <v>4624</v>
      </c>
      <c r="F1818" s="34" t="s">
        <v>1733</v>
      </c>
      <c r="G1818" s="34">
        <v>56083.0</v>
      </c>
      <c r="H1818" s="34" t="s">
        <v>2857</v>
      </c>
      <c r="I1818" s="34" t="s">
        <v>18</v>
      </c>
      <c r="J1818" s="34" t="s">
        <v>15</v>
      </c>
      <c r="K1818" s="45">
        <v>115.7</v>
      </c>
      <c r="L1818" s="9"/>
      <c r="M1818" s="45">
        <v>115.7</v>
      </c>
    </row>
    <row r="1819">
      <c r="A1819" s="34" t="s">
        <v>70</v>
      </c>
      <c r="B1819" s="34" t="s">
        <v>354</v>
      </c>
      <c r="C1819" s="34">
        <v>56.0</v>
      </c>
      <c r="D1819" s="34" t="s">
        <v>972</v>
      </c>
      <c r="E1819" s="34" t="s">
        <v>4625</v>
      </c>
      <c r="F1819" s="34" t="s">
        <v>4626</v>
      </c>
      <c r="G1819" s="34">
        <v>56260.0</v>
      </c>
      <c r="H1819" s="34" t="s">
        <v>978</v>
      </c>
      <c r="I1819" s="34" t="s">
        <v>17</v>
      </c>
      <c r="J1819" s="34" t="s">
        <v>15</v>
      </c>
      <c r="K1819" s="45">
        <v>122.1</v>
      </c>
      <c r="L1819" s="9"/>
      <c r="M1819" s="45">
        <v>122.1</v>
      </c>
    </row>
    <row r="1820">
      <c r="A1820" s="34" t="s">
        <v>70</v>
      </c>
      <c r="B1820" s="34" t="s">
        <v>930</v>
      </c>
      <c r="C1820" s="34">
        <v>57.0</v>
      </c>
      <c r="D1820" s="34" t="s">
        <v>983</v>
      </c>
      <c r="E1820" s="34" t="s">
        <v>4627</v>
      </c>
      <c r="F1820" s="34" t="s">
        <v>4628</v>
      </c>
      <c r="G1820" s="34">
        <v>57177.0</v>
      </c>
      <c r="H1820" s="34" t="s">
        <v>4629</v>
      </c>
      <c r="I1820" s="34" t="s">
        <v>18</v>
      </c>
      <c r="J1820" s="34" t="s">
        <v>14</v>
      </c>
      <c r="K1820" s="45">
        <v>107.5</v>
      </c>
      <c r="L1820" s="45">
        <v>73.0</v>
      </c>
      <c r="M1820" s="45">
        <v>103.9</v>
      </c>
    </row>
    <row r="1821">
      <c r="A1821" s="34" t="s">
        <v>70</v>
      </c>
      <c r="B1821" s="34" t="s">
        <v>930</v>
      </c>
      <c r="C1821" s="34">
        <v>57.0</v>
      </c>
      <c r="D1821" s="34" t="s">
        <v>983</v>
      </c>
      <c r="E1821" s="34" t="s">
        <v>4630</v>
      </c>
      <c r="F1821" s="34" t="s">
        <v>4631</v>
      </c>
      <c r="G1821" s="34">
        <v>57463.0</v>
      </c>
      <c r="H1821" s="34" t="s">
        <v>989</v>
      </c>
      <c r="I1821" s="34" t="s">
        <v>18</v>
      </c>
      <c r="J1821" s="34" t="s">
        <v>13</v>
      </c>
      <c r="K1821" s="9"/>
      <c r="L1821" s="45">
        <v>78.2</v>
      </c>
      <c r="M1821" s="45">
        <v>78.2</v>
      </c>
    </row>
    <row r="1822">
      <c r="A1822" s="34" t="s">
        <v>70</v>
      </c>
      <c r="B1822" s="34" t="s">
        <v>930</v>
      </c>
      <c r="C1822" s="34">
        <v>57.0</v>
      </c>
      <c r="D1822" s="34" t="s">
        <v>983</v>
      </c>
      <c r="E1822" s="34" t="s">
        <v>4632</v>
      </c>
      <c r="F1822" s="34" t="s">
        <v>4633</v>
      </c>
      <c r="G1822" s="34">
        <v>57630.0</v>
      </c>
      <c r="H1822" s="34" t="s">
        <v>2882</v>
      </c>
      <c r="I1822" s="34" t="s">
        <v>18</v>
      </c>
      <c r="J1822" s="34" t="s">
        <v>13</v>
      </c>
      <c r="K1822" s="9"/>
      <c r="L1822" s="45">
        <v>88.1</v>
      </c>
      <c r="M1822" s="45">
        <v>88.1</v>
      </c>
    </row>
    <row r="1823">
      <c r="A1823" s="34" t="s">
        <v>70</v>
      </c>
      <c r="B1823" s="34" t="s">
        <v>930</v>
      </c>
      <c r="C1823" s="34">
        <v>57.0</v>
      </c>
      <c r="D1823" s="34" t="s">
        <v>983</v>
      </c>
      <c r="E1823" s="34" t="s">
        <v>4634</v>
      </c>
      <c r="F1823" s="34" t="s">
        <v>4635</v>
      </c>
      <c r="G1823" s="34">
        <v>57480.0</v>
      </c>
      <c r="H1823" s="34" t="s">
        <v>2892</v>
      </c>
      <c r="I1823" s="34" t="s">
        <v>18</v>
      </c>
      <c r="J1823" s="34" t="s">
        <v>13</v>
      </c>
      <c r="K1823" s="9"/>
      <c r="L1823" s="45">
        <v>78.2</v>
      </c>
      <c r="M1823" s="45">
        <v>78.2</v>
      </c>
    </row>
    <row r="1824">
      <c r="A1824" s="34" t="s">
        <v>70</v>
      </c>
      <c r="B1824" s="34" t="s">
        <v>930</v>
      </c>
      <c r="C1824" s="34">
        <v>57.0</v>
      </c>
      <c r="D1824" s="34" t="s">
        <v>983</v>
      </c>
      <c r="E1824" s="34" t="s">
        <v>4636</v>
      </c>
      <c r="F1824" s="34" t="s">
        <v>4637</v>
      </c>
      <c r="G1824" s="34">
        <v>57591.0</v>
      </c>
      <c r="H1824" s="34" t="s">
        <v>4638</v>
      </c>
      <c r="I1824" s="34" t="s">
        <v>18</v>
      </c>
      <c r="J1824" s="34" t="s">
        <v>14</v>
      </c>
      <c r="K1824" s="45">
        <v>102.0</v>
      </c>
      <c r="L1824" s="45">
        <v>78.7</v>
      </c>
      <c r="M1824" s="45">
        <v>96.6</v>
      </c>
    </row>
    <row r="1825">
      <c r="A1825" s="34" t="s">
        <v>70</v>
      </c>
      <c r="B1825" s="34" t="s">
        <v>930</v>
      </c>
      <c r="C1825" s="34">
        <v>57.0</v>
      </c>
      <c r="D1825" s="34" t="s">
        <v>983</v>
      </c>
      <c r="E1825" s="34" t="s">
        <v>4639</v>
      </c>
      <c r="F1825" s="34" t="s">
        <v>4640</v>
      </c>
      <c r="G1825" s="34">
        <v>57097.0</v>
      </c>
      <c r="H1825" s="34" t="s">
        <v>4641</v>
      </c>
      <c r="I1825" s="34" t="s">
        <v>17</v>
      </c>
      <c r="J1825" s="34" t="s">
        <v>13</v>
      </c>
      <c r="K1825" s="9"/>
      <c r="L1825" s="45">
        <v>85.2</v>
      </c>
      <c r="M1825" s="45">
        <v>85.2</v>
      </c>
    </row>
    <row r="1826">
      <c r="A1826" s="34" t="s">
        <v>70</v>
      </c>
      <c r="B1826" s="34" t="s">
        <v>930</v>
      </c>
      <c r="C1826" s="34">
        <v>57.0</v>
      </c>
      <c r="D1826" s="34" t="s">
        <v>983</v>
      </c>
      <c r="E1826" s="34" t="s">
        <v>4642</v>
      </c>
      <c r="F1826" s="34" t="s">
        <v>4643</v>
      </c>
      <c r="G1826" s="34">
        <v>57463.0</v>
      </c>
      <c r="H1826" s="34" t="s">
        <v>989</v>
      </c>
      <c r="I1826" s="34" t="s">
        <v>17</v>
      </c>
      <c r="J1826" s="34" t="s">
        <v>15</v>
      </c>
      <c r="K1826" s="45">
        <v>132.8</v>
      </c>
      <c r="L1826" s="9"/>
      <c r="M1826" s="45">
        <v>132.8</v>
      </c>
    </row>
    <row r="1827">
      <c r="A1827" s="34" t="s">
        <v>70</v>
      </c>
      <c r="B1827" s="34" t="s">
        <v>930</v>
      </c>
      <c r="C1827" s="34">
        <v>57.0</v>
      </c>
      <c r="D1827" s="34" t="s">
        <v>983</v>
      </c>
      <c r="E1827" s="34" t="s">
        <v>4644</v>
      </c>
      <c r="F1827" s="34" t="s">
        <v>4645</v>
      </c>
      <c r="G1827" s="34">
        <v>57447.0</v>
      </c>
      <c r="H1827" s="34" t="s">
        <v>4646</v>
      </c>
      <c r="I1827" s="34" t="s">
        <v>18</v>
      </c>
      <c r="J1827" s="34" t="s">
        <v>13</v>
      </c>
      <c r="K1827" s="9"/>
      <c r="L1827" s="45">
        <v>84.0</v>
      </c>
      <c r="M1827" s="45">
        <v>84.0</v>
      </c>
    </row>
    <row r="1828">
      <c r="A1828" s="34" t="s">
        <v>70</v>
      </c>
      <c r="B1828" s="34" t="s">
        <v>333</v>
      </c>
      <c r="C1828" s="34">
        <v>58.0</v>
      </c>
      <c r="D1828" s="34" t="s">
        <v>1011</v>
      </c>
      <c r="E1828" s="34" t="s">
        <v>4647</v>
      </c>
      <c r="F1828" s="34" t="s">
        <v>4648</v>
      </c>
      <c r="G1828" s="34">
        <v>58086.0</v>
      </c>
      <c r="H1828" s="34" t="s">
        <v>1023</v>
      </c>
      <c r="I1828" s="34" t="s">
        <v>18</v>
      </c>
      <c r="J1828" s="34" t="s">
        <v>14</v>
      </c>
      <c r="K1828" s="45">
        <v>112.2</v>
      </c>
      <c r="L1828" s="45">
        <v>84.6</v>
      </c>
      <c r="M1828" s="45">
        <v>102.5</v>
      </c>
    </row>
    <row r="1829">
      <c r="A1829" s="34" t="s">
        <v>70</v>
      </c>
      <c r="B1829" s="34" t="s">
        <v>333</v>
      </c>
      <c r="C1829" s="34">
        <v>58.0</v>
      </c>
      <c r="D1829" s="34" t="s">
        <v>1011</v>
      </c>
      <c r="E1829" s="34" t="s">
        <v>4649</v>
      </c>
      <c r="F1829" s="34" t="s">
        <v>4650</v>
      </c>
      <c r="G1829" s="34">
        <v>58250.0</v>
      </c>
      <c r="H1829" s="34" t="s">
        <v>4651</v>
      </c>
      <c r="I1829" s="34" t="s">
        <v>17</v>
      </c>
      <c r="J1829" s="34" t="s">
        <v>13</v>
      </c>
      <c r="K1829" s="9"/>
      <c r="L1829" s="45">
        <v>92.2</v>
      </c>
      <c r="M1829" s="45">
        <v>92.2</v>
      </c>
    </row>
    <row r="1830">
      <c r="A1830" s="34" t="s">
        <v>70</v>
      </c>
      <c r="B1830" s="34" t="s">
        <v>46</v>
      </c>
      <c r="C1830" s="34">
        <v>59.0</v>
      </c>
      <c r="D1830" s="34" t="s">
        <v>1027</v>
      </c>
      <c r="E1830" s="34" t="s">
        <v>4652</v>
      </c>
      <c r="F1830" s="34" t="s">
        <v>4653</v>
      </c>
      <c r="G1830" s="34">
        <v>59017.0</v>
      </c>
      <c r="H1830" s="34" t="s">
        <v>1030</v>
      </c>
      <c r="I1830" s="34" t="s">
        <v>18</v>
      </c>
      <c r="J1830" s="34" t="s">
        <v>14</v>
      </c>
      <c r="K1830" s="45">
        <v>118.4</v>
      </c>
      <c r="L1830" s="45">
        <v>89.7</v>
      </c>
      <c r="M1830" s="45">
        <v>112.6</v>
      </c>
    </row>
    <row r="1831">
      <c r="A1831" s="34" t="s">
        <v>70</v>
      </c>
      <c r="B1831" s="34" t="s">
        <v>46</v>
      </c>
      <c r="C1831" s="34">
        <v>59.0</v>
      </c>
      <c r="D1831" s="34" t="s">
        <v>1027</v>
      </c>
      <c r="E1831" s="34" t="s">
        <v>4654</v>
      </c>
      <c r="F1831" s="34" t="s">
        <v>985</v>
      </c>
      <c r="G1831" s="34">
        <v>59033.0</v>
      </c>
      <c r="H1831" s="34" t="s">
        <v>2939</v>
      </c>
      <c r="I1831" s="34" t="s">
        <v>18</v>
      </c>
      <c r="J1831" s="34" t="s">
        <v>13</v>
      </c>
      <c r="K1831" s="9"/>
      <c r="L1831" s="45">
        <v>71.4</v>
      </c>
      <c r="M1831" s="45">
        <v>71.4</v>
      </c>
    </row>
    <row r="1832">
      <c r="A1832" s="34" t="s">
        <v>70</v>
      </c>
      <c r="B1832" s="34" t="s">
        <v>46</v>
      </c>
      <c r="C1832" s="34">
        <v>59.0</v>
      </c>
      <c r="D1832" s="34" t="s">
        <v>1027</v>
      </c>
      <c r="E1832" s="34" t="s">
        <v>4655</v>
      </c>
      <c r="F1832" s="34" t="s">
        <v>4656</v>
      </c>
      <c r="G1832" s="34">
        <v>59122.0</v>
      </c>
      <c r="H1832" s="34" t="s">
        <v>1036</v>
      </c>
      <c r="I1832" s="34" t="s">
        <v>18</v>
      </c>
      <c r="J1832" s="34" t="s">
        <v>15</v>
      </c>
      <c r="K1832" s="45">
        <v>103.9</v>
      </c>
      <c r="L1832" s="9"/>
      <c r="M1832" s="45">
        <v>103.9</v>
      </c>
    </row>
    <row r="1833">
      <c r="A1833" s="34" t="s">
        <v>70</v>
      </c>
      <c r="B1833" s="34" t="s">
        <v>46</v>
      </c>
      <c r="C1833" s="34">
        <v>59.0</v>
      </c>
      <c r="D1833" s="34" t="s">
        <v>1027</v>
      </c>
      <c r="E1833" s="34" t="s">
        <v>4657</v>
      </c>
      <c r="F1833" s="34" t="s">
        <v>3617</v>
      </c>
      <c r="G1833" s="34">
        <v>59178.0</v>
      </c>
      <c r="H1833" s="34" t="s">
        <v>1092</v>
      </c>
      <c r="I1833" s="34" t="s">
        <v>18</v>
      </c>
      <c r="J1833" s="34" t="s">
        <v>15</v>
      </c>
      <c r="K1833" s="45">
        <v>100.8</v>
      </c>
      <c r="L1833" s="9"/>
      <c r="M1833" s="45">
        <v>100.8</v>
      </c>
    </row>
    <row r="1834">
      <c r="A1834" s="34" t="s">
        <v>70</v>
      </c>
      <c r="B1834" s="34" t="s">
        <v>46</v>
      </c>
      <c r="C1834" s="34">
        <v>59.0</v>
      </c>
      <c r="D1834" s="34" t="s">
        <v>1027</v>
      </c>
      <c r="E1834" s="34" t="s">
        <v>4658</v>
      </c>
      <c r="F1834" s="34" t="s">
        <v>4659</v>
      </c>
      <c r="G1834" s="34">
        <v>59178.0</v>
      </c>
      <c r="H1834" s="34" t="s">
        <v>1092</v>
      </c>
      <c r="I1834" s="34" t="s">
        <v>18</v>
      </c>
      <c r="J1834" s="34" t="s">
        <v>15</v>
      </c>
      <c r="K1834" s="45">
        <v>88.5</v>
      </c>
      <c r="L1834" s="9"/>
      <c r="M1834" s="45">
        <v>88.5</v>
      </c>
    </row>
    <row r="1835">
      <c r="A1835" s="34" t="s">
        <v>70</v>
      </c>
      <c r="B1835" s="34" t="s">
        <v>46</v>
      </c>
      <c r="C1835" s="34">
        <v>59.0</v>
      </c>
      <c r="D1835" s="34" t="s">
        <v>1027</v>
      </c>
      <c r="E1835" s="34" t="s">
        <v>4660</v>
      </c>
      <c r="F1835" s="34" t="s">
        <v>4661</v>
      </c>
      <c r="G1835" s="34">
        <v>59286.0</v>
      </c>
      <c r="H1835" s="34" t="s">
        <v>4662</v>
      </c>
      <c r="I1835" s="34" t="s">
        <v>18</v>
      </c>
      <c r="J1835" s="34" t="s">
        <v>14</v>
      </c>
      <c r="K1835" s="45">
        <v>114.4</v>
      </c>
      <c r="L1835" s="45">
        <v>84.2</v>
      </c>
      <c r="M1835" s="45">
        <v>106.3</v>
      </c>
    </row>
    <row r="1836">
      <c r="A1836" s="34" t="s">
        <v>70</v>
      </c>
      <c r="B1836" s="34" t="s">
        <v>46</v>
      </c>
      <c r="C1836" s="34">
        <v>59.0</v>
      </c>
      <c r="D1836" s="34" t="s">
        <v>1027</v>
      </c>
      <c r="E1836" s="34" t="s">
        <v>4663</v>
      </c>
      <c r="F1836" s="34" t="s">
        <v>4664</v>
      </c>
      <c r="G1836" s="34">
        <v>59295.0</v>
      </c>
      <c r="H1836" s="34" t="s">
        <v>1105</v>
      </c>
      <c r="I1836" s="34" t="s">
        <v>18</v>
      </c>
      <c r="J1836" s="34" t="s">
        <v>13</v>
      </c>
      <c r="K1836" s="9"/>
      <c r="L1836" s="45">
        <v>79.0</v>
      </c>
      <c r="M1836" s="45">
        <v>79.0</v>
      </c>
    </row>
    <row r="1837">
      <c r="A1837" s="34" t="s">
        <v>70</v>
      </c>
      <c r="B1837" s="34" t="s">
        <v>46</v>
      </c>
      <c r="C1837" s="34">
        <v>59.0</v>
      </c>
      <c r="D1837" s="34" t="s">
        <v>1027</v>
      </c>
      <c r="E1837" s="34" t="s">
        <v>4665</v>
      </c>
      <c r="F1837" s="34" t="s">
        <v>4666</v>
      </c>
      <c r="G1837" s="34">
        <v>59350.0</v>
      </c>
      <c r="H1837" s="34" t="s">
        <v>46</v>
      </c>
      <c r="I1837" s="34" t="s">
        <v>18</v>
      </c>
      <c r="J1837" s="34" t="s">
        <v>13</v>
      </c>
      <c r="K1837" s="9"/>
      <c r="L1837" s="45">
        <v>73.6</v>
      </c>
      <c r="M1837" s="45">
        <v>73.6</v>
      </c>
    </row>
    <row r="1838">
      <c r="A1838" s="34" t="s">
        <v>70</v>
      </c>
      <c r="B1838" s="34" t="s">
        <v>46</v>
      </c>
      <c r="C1838" s="34">
        <v>59.0</v>
      </c>
      <c r="D1838" s="34" t="s">
        <v>1027</v>
      </c>
      <c r="E1838" s="34" t="s">
        <v>4667</v>
      </c>
      <c r="F1838" s="34" t="s">
        <v>4668</v>
      </c>
      <c r="G1838" s="34">
        <v>59368.0</v>
      </c>
      <c r="H1838" s="34" t="s">
        <v>4669</v>
      </c>
      <c r="I1838" s="34" t="s">
        <v>18</v>
      </c>
      <c r="J1838" s="34" t="s">
        <v>14</v>
      </c>
      <c r="K1838" s="45">
        <v>91.4</v>
      </c>
      <c r="L1838" s="45">
        <v>75.9</v>
      </c>
      <c r="M1838" s="45">
        <v>86.3</v>
      </c>
    </row>
    <row r="1839">
      <c r="A1839" s="34" t="s">
        <v>70</v>
      </c>
      <c r="B1839" s="34" t="s">
        <v>46</v>
      </c>
      <c r="C1839" s="34">
        <v>59.0</v>
      </c>
      <c r="D1839" s="34" t="s">
        <v>1027</v>
      </c>
      <c r="E1839" s="34" t="s">
        <v>4670</v>
      </c>
      <c r="F1839" s="34" t="s">
        <v>4671</v>
      </c>
      <c r="G1839" s="34">
        <v>59512.0</v>
      </c>
      <c r="H1839" s="34" t="s">
        <v>1059</v>
      </c>
      <c r="I1839" s="34" t="s">
        <v>18</v>
      </c>
      <c r="J1839" s="34" t="s">
        <v>15</v>
      </c>
      <c r="K1839" s="45">
        <v>89.6</v>
      </c>
      <c r="L1839" s="9"/>
      <c r="M1839" s="45">
        <v>89.6</v>
      </c>
    </row>
    <row r="1840">
      <c r="A1840" s="34" t="s">
        <v>70</v>
      </c>
      <c r="B1840" s="34" t="s">
        <v>46</v>
      </c>
      <c r="C1840" s="34">
        <v>59.0</v>
      </c>
      <c r="D1840" s="34" t="s">
        <v>1027</v>
      </c>
      <c r="E1840" s="34" t="s">
        <v>4672</v>
      </c>
      <c r="F1840" s="34" t="s">
        <v>4673</v>
      </c>
      <c r="G1840" s="34">
        <v>59512.0</v>
      </c>
      <c r="H1840" s="34" t="s">
        <v>1059</v>
      </c>
      <c r="I1840" s="34" t="s">
        <v>18</v>
      </c>
      <c r="J1840" s="34" t="s">
        <v>14</v>
      </c>
      <c r="K1840" s="45">
        <v>67.1</v>
      </c>
      <c r="L1840" s="45">
        <v>69.8</v>
      </c>
      <c r="M1840" s="45">
        <v>68.2</v>
      </c>
    </row>
    <row r="1841">
      <c r="A1841" s="34" t="s">
        <v>70</v>
      </c>
      <c r="B1841" s="34" t="s">
        <v>46</v>
      </c>
      <c r="C1841" s="34">
        <v>59.0</v>
      </c>
      <c r="D1841" s="34" t="s">
        <v>1027</v>
      </c>
      <c r="E1841" s="34" t="s">
        <v>4674</v>
      </c>
      <c r="F1841" s="34" t="s">
        <v>4675</v>
      </c>
      <c r="G1841" s="34">
        <v>59512.0</v>
      </c>
      <c r="H1841" s="34" t="s">
        <v>1059</v>
      </c>
      <c r="I1841" s="34" t="s">
        <v>18</v>
      </c>
      <c r="J1841" s="34" t="s">
        <v>13</v>
      </c>
      <c r="K1841" s="9"/>
      <c r="L1841" s="45">
        <v>64.3</v>
      </c>
      <c r="M1841" s="45">
        <v>64.3</v>
      </c>
    </row>
    <row r="1842">
      <c r="A1842" s="34" t="s">
        <v>70</v>
      </c>
      <c r="B1842" s="34" t="s">
        <v>46</v>
      </c>
      <c r="C1842" s="34">
        <v>59.0</v>
      </c>
      <c r="D1842" s="34" t="s">
        <v>1027</v>
      </c>
      <c r="E1842" s="34" t="s">
        <v>4676</v>
      </c>
      <c r="F1842" s="34" t="s">
        <v>4677</v>
      </c>
      <c r="G1842" s="34">
        <v>59599.0</v>
      </c>
      <c r="H1842" s="34" t="s">
        <v>1067</v>
      </c>
      <c r="I1842" s="34" t="s">
        <v>18</v>
      </c>
      <c r="J1842" s="34" t="s">
        <v>14</v>
      </c>
      <c r="K1842" s="45">
        <v>94.0</v>
      </c>
      <c r="L1842" s="45">
        <v>80.0</v>
      </c>
      <c r="M1842" s="45">
        <v>90.1</v>
      </c>
    </row>
    <row r="1843">
      <c r="A1843" s="34" t="s">
        <v>70</v>
      </c>
      <c r="B1843" s="34" t="s">
        <v>46</v>
      </c>
      <c r="C1843" s="34">
        <v>59.0</v>
      </c>
      <c r="D1843" s="34" t="s">
        <v>1027</v>
      </c>
      <c r="E1843" s="34" t="s">
        <v>4678</v>
      </c>
      <c r="F1843" s="34" t="s">
        <v>4679</v>
      </c>
      <c r="G1843" s="34">
        <v>59599.0</v>
      </c>
      <c r="H1843" s="34" t="s">
        <v>1067</v>
      </c>
      <c r="I1843" s="34" t="s">
        <v>18</v>
      </c>
      <c r="J1843" s="34" t="s">
        <v>13</v>
      </c>
      <c r="K1843" s="9"/>
      <c r="L1843" s="45">
        <v>70.9</v>
      </c>
      <c r="M1843" s="45">
        <v>70.9</v>
      </c>
    </row>
    <row r="1844">
      <c r="A1844" s="34" t="s">
        <v>70</v>
      </c>
      <c r="B1844" s="34" t="s">
        <v>46</v>
      </c>
      <c r="C1844" s="34">
        <v>59.0</v>
      </c>
      <c r="D1844" s="34" t="s">
        <v>1027</v>
      </c>
      <c r="E1844" s="34" t="s">
        <v>4680</v>
      </c>
      <c r="F1844" s="34" t="s">
        <v>4681</v>
      </c>
      <c r="G1844" s="34">
        <v>59051.0</v>
      </c>
      <c r="H1844" s="34" t="s">
        <v>4682</v>
      </c>
      <c r="I1844" s="34" t="s">
        <v>18</v>
      </c>
      <c r="J1844" s="34" t="s">
        <v>13</v>
      </c>
      <c r="K1844" s="9"/>
      <c r="L1844" s="45">
        <v>84.4</v>
      </c>
      <c r="M1844" s="45">
        <v>84.4</v>
      </c>
    </row>
    <row r="1845">
      <c r="A1845" s="34" t="s">
        <v>70</v>
      </c>
      <c r="B1845" s="34" t="s">
        <v>46</v>
      </c>
      <c r="C1845" s="34">
        <v>59.0</v>
      </c>
      <c r="D1845" s="34" t="s">
        <v>1027</v>
      </c>
      <c r="E1845" s="34" t="s">
        <v>4683</v>
      </c>
      <c r="F1845" s="34" t="s">
        <v>4684</v>
      </c>
      <c r="G1845" s="34">
        <v>59183.0</v>
      </c>
      <c r="H1845" s="34" t="s">
        <v>1039</v>
      </c>
      <c r="I1845" s="34" t="s">
        <v>18</v>
      </c>
      <c r="J1845" s="34" t="s">
        <v>13</v>
      </c>
      <c r="K1845" s="9"/>
      <c r="L1845" s="45">
        <v>76.3</v>
      </c>
      <c r="M1845" s="45">
        <v>76.3</v>
      </c>
    </row>
    <row r="1846">
      <c r="A1846" s="34" t="s">
        <v>70</v>
      </c>
      <c r="B1846" s="34" t="s">
        <v>46</v>
      </c>
      <c r="C1846" s="34">
        <v>59.0</v>
      </c>
      <c r="D1846" s="34" t="s">
        <v>1027</v>
      </c>
      <c r="E1846" s="34" t="s">
        <v>4685</v>
      </c>
      <c r="F1846" s="34" t="s">
        <v>4686</v>
      </c>
      <c r="G1846" s="34">
        <v>59560.0</v>
      </c>
      <c r="H1846" s="34" t="s">
        <v>4687</v>
      </c>
      <c r="I1846" s="34" t="s">
        <v>18</v>
      </c>
      <c r="J1846" s="34" t="s">
        <v>14</v>
      </c>
      <c r="K1846" s="45">
        <v>101.3</v>
      </c>
      <c r="L1846" s="45">
        <v>78.9</v>
      </c>
      <c r="M1846" s="45">
        <v>80.4</v>
      </c>
    </row>
    <row r="1847">
      <c r="A1847" s="34" t="s">
        <v>70</v>
      </c>
      <c r="B1847" s="34" t="s">
        <v>46</v>
      </c>
      <c r="C1847" s="34">
        <v>59.0</v>
      </c>
      <c r="D1847" s="34" t="s">
        <v>1027</v>
      </c>
      <c r="E1847" s="34" t="s">
        <v>4688</v>
      </c>
      <c r="F1847" s="34" t="s">
        <v>4689</v>
      </c>
      <c r="G1847" s="34">
        <v>59279.0</v>
      </c>
      <c r="H1847" s="34" t="s">
        <v>4690</v>
      </c>
      <c r="I1847" s="34" t="s">
        <v>18</v>
      </c>
      <c r="J1847" s="34" t="s">
        <v>13</v>
      </c>
      <c r="K1847" s="9"/>
      <c r="L1847" s="45">
        <v>74.7</v>
      </c>
      <c r="M1847" s="45">
        <v>74.7</v>
      </c>
    </row>
    <row r="1848">
      <c r="A1848" s="34" t="s">
        <v>70</v>
      </c>
      <c r="B1848" s="34" t="s">
        <v>46</v>
      </c>
      <c r="C1848" s="34">
        <v>59.0</v>
      </c>
      <c r="D1848" s="34" t="s">
        <v>1027</v>
      </c>
      <c r="E1848" s="34" t="s">
        <v>4691</v>
      </c>
      <c r="F1848" s="34" t="s">
        <v>4692</v>
      </c>
      <c r="G1848" s="34">
        <v>59606.0</v>
      </c>
      <c r="H1848" s="34" t="s">
        <v>1072</v>
      </c>
      <c r="I1848" s="34" t="s">
        <v>17</v>
      </c>
      <c r="J1848" s="34" t="s">
        <v>14</v>
      </c>
      <c r="K1848" s="45">
        <v>93.9</v>
      </c>
      <c r="L1848" s="45">
        <v>85.6</v>
      </c>
      <c r="M1848" s="45">
        <v>90.0</v>
      </c>
    </row>
    <row r="1849">
      <c r="A1849" s="34" t="s">
        <v>70</v>
      </c>
      <c r="B1849" s="34" t="s">
        <v>46</v>
      </c>
      <c r="C1849" s="34">
        <v>59.0</v>
      </c>
      <c r="D1849" s="34" t="s">
        <v>1027</v>
      </c>
      <c r="E1849" s="34" t="s">
        <v>4693</v>
      </c>
      <c r="F1849" s="34" t="s">
        <v>4694</v>
      </c>
      <c r="G1849" s="34">
        <v>59606.0</v>
      </c>
      <c r="H1849" s="34" t="s">
        <v>1072</v>
      </c>
      <c r="I1849" s="34" t="s">
        <v>17</v>
      </c>
      <c r="J1849" s="34" t="s">
        <v>14</v>
      </c>
      <c r="K1849" s="45">
        <v>103.6</v>
      </c>
      <c r="L1849" s="45">
        <v>85.2</v>
      </c>
      <c r="M1849" s="45">
        <v>91.7</v>
      </c>
    </row>
    <row r="1850">
      <c r="A1850" s="34" t="s">
        <v>70</v>
      </c>
      <c r="B1850" s="34" t="s">
        <v>46</v>
      </c>
      <c r="C1850" s="34">
        <v>59.0</v>
      </c>
      <c r="D1850" s="34" t="s">
        <v>1027</v>
      </c>
      <c r="E1850" s="34" t="s">
        <v>4695</v>
      </c>
      <c r="F1850" s="34" t="s">
        <v>4696</v>
      </c>
      <c r="G1850" s="34">
        <v>59599.0</v>
      </c>
      <c r="H1850" s="34" t="s">
        <v>1067</v>
      </c>
      <c r="I1850" s="34" t="s">
        <v>17</v>
      </c>
      <c r="J1850" s="34" t="s">
        <v>14</v>
      </c>
      <c r="K1850" s="45">
        <v>94.4</v>
      </c>
      <c r="L1850" s="45">
        <v>77.7</v>
      </c>
      <c r="M1850" s="45">
        <v>84.9</v>
      </c>
    </row>
    <row r="1851">
      <c r="A1851" s="34" t="s">
        <v>70</v>
      </c>
      <c r="B1851" s="34" t="s">
        <v>46</v>
      </c>
      <c r="C1851" s="34">
        <v>59.0</v>
      </c>
      <c r="D1851" s="34" t="s">
        <v>1027</v>
      </c>
      <c r="E1851" s="34" t="s">
        <v>4697</v>
      </c>
      <c r="F1851" s="34" t="s">
        <v>4698</v>
      </c>
      <c r="G1851" s="34">
        <v>59017.0</v>
      </c>
      <c r="H1851" s="34" t="s">
        <v>1030</v>
      </c>
      <c r="I1851" s="34" t="s">
        <v>17</v>
      </c>
      <c r="J1851" s="34" t="s">
        <v>13</v>
      </c>
      <c r="K1851" s="9"/>
      <c r="L1851" s="45">
        <v>96.0</v>
      </c>
      <c r="M1851" s="45">
        <v>96.0</v>
      </c>
    </row>
    <row r="1852">
      <c r="A1852" s="34" t="s">
        <v>70</v>
      </c>
      <c r="B1852" s="34" t="s">
        <v>46</v>
      </c>
      <c r="C1852" s="34">
        <v>59.0</v>
      </c>
      <c r="D1852" s="34" t="s">
        <v>1027</v>
      </c>
      <c r="E1852" s="34" t="s">
        <v>4699</v>
      </c>
      <c r="F1852" s="34" t="s">
        <v>4700</v>
      </c>
      <c r="G1852" s="34">
        <v>59295.0</v>
      </c>
      <c r="H1852" s="34" t="s">
        <v>1105</v>
      </c>
      <c r="I1852" s="34" t="s">
        <v>17</v>
      </c>
      <c r="J1852" s="34" t="s">
        <v>14</v>
      </c>
      <c r="K1852" s="45">
        <v>103.4</v>
      </c>
      <c r="L1852" s="45">
        <v>85.8</v>
      </c>
      <c r="M1852" s="45">
        <v>93.8</v>
      </c>
    </row>
    <row r="1853">
      <c r="A1853" s="34" t="s">
        <v>70</v>
      </c>
      <c r="B1853" s="34" t="s">
        <v>46</v>
      </c>
      <c r="C1853" s="34">
        <v>59.0</v>
      </c>
      <c r="D1853" s="34" t="s">
        <v>1027</v>
      </c>
      <c r="E1853" s="34" t="s">
        <v>4701</v>
      </c>
      <c r="F1853" s="34" t="s">
        <v>4702</v>
      </c>
      <c r="G1853" s="34">
        <v>59183.0</v>
      </c>
      <c r="H1853" s="34" t="s">
        <v>1039</v>
      </c>
      <c r="I1853" s="34" t="s">
        <v>17</v>
      </c>
      <c r="J1853" s="34" t="s">
        <v>15</v>
      </c>
      <c r="K1853" s="45">
        <v>121.3</v>
      </c>
      <c r="L1853" s="9"/>
      <c r="M1853" s="45">
        <v>121.3</v>
      </c>
    </row>
    <row r="1854">
      <c r="A1854" s="34" t="s">
        <v>70</v>
      </c>
      <c r="B1854" s="34" t="s">
        <v>46</v>
      </c>
      <c r="C1854" s="34">
        <v>59.0</v>
      </c>
      <c r="D1854" s="34" t="s">
        <v>1027</v>
      </c>
      <c r="E1854" s="34" t="s">
        <v>4703</v>
      </c>
      <c r="F1854" s="34" t="s">
        <v>756</v>
      </c>
      <c r="G1854" s="34">
        <v>59350.0</v>
      </c>
      <c r="H1854" s="34" t="s">
        <v>46</v>
      </c>
      <c r="I1854" s="34" t="s">
        <v>17</v>
      </c>
      <c r="J1854" s="34" t="s">
        <v>15</v>
      </c>
      <c r="K1854" s="45">
        <v>149.0</v>
      </c>
      <c r="L1854" s="9"/>
      <c r="M1854" s="45">
        <v>149.0</v>
      </c>
    </row>
    <row r="1855">
      <c r="A1855" s="34" t="s">
        <v>70</v>
      </c>
      <c r="B1855" s="34" t="s">
        <v>46</v>
      </c>
      <c r="C1855" s="34">
        <v>59.0</v>
      </c>
      <c r="D1855" s="34" t="s">
        <v>1027</v>
      </c>
      <c r="E1855" s="34" t="s">
        <v>4704</v>
      </c>
      <c r="F1855" s="34" t="s">
        <v>4705</v>
      </c>
      <c r="G1855" s="34">
        <v>59350.0</v>
      </c>
      <c r="H1855" s="34" t="s">
        <v>46</v>
      </c>
      <c r="I1855" s="34" t="s">
        <v>17</v>
      </c>
      <c r="J1855" s="34" t="s">
        <v>14</v>
      </c>
      <c r="K1855" s="45">
        <v>124.2</v>
      </c>
      <c r="L1855" s="45">
        <v>112.6</v>
      </c>
      <c r="M1855" s="45">
        <v>122.1</v>
      </c>
    </row>
    <row r="1856">
      <c r="A1856" s="34" t="s">
        <v>70</v>
      </c>
      <c r="B1856" s="34" t="s">
        <v>46</v>
      </c>
      <c r="C1856" s="34">
        <v>59.0</v>
      </c>
      <c r="D1856" s="34" t="s">
        <v>1027</v>
      </c>
      <c r="E1856" s="34" t="s">
        <v>4706</v>
      </c>
      <c r="F1856" s="34" t="s">
        <v>2805</v>
      </c>
      <c r="G1856" s="34">
        <v>59599.0</v>
      </c>
      <c r="H1856" s="34" t="s">
        <v>1067</v>
      </c>
      <c r="I1856" s="34" t="s">
        <v>17</v>
      </c>
      <c r="J1856" s="34" t="s">
        <v>15</v>
      </c>
      <c r="K1856" s="45">
        <v>117.7</v>
      </c>
      <c r="L1856" s="9"/>
      <c r="M1856" s="45">
        <v>117.7</v>
      </c>
    </row>
    <row r="1857">
      <c r="A1857" s="34" t="s">
        <v>70</v>
      </c>
      <c r="B1857" s="34" t="s">
        <v>46</v>
      </c>
      <c r="C1857" s="34">
        <v>59.0</v>
      </c>
      <c r="D1857" s="34" t="s">
        <v>1027</v>
      </c>
      <c r="E1857" s="34" t="s">
        <v>4707</v>
      </c>
      <c r="F1857" s="34" t="s">
        <v>4708</v>
      </c>
      <c r="G1857" s="34">
        <v>59009.0</v>
      </c>
      <c r="H1857" s="34" t="s">
        <v>1110</v>
      </c>
      <c r="I1857" s="34" t="s">
        <v>18</v>
      </c>
      <c r="J1857" s="34" t="s">
        <v>13</v>
      </c>
      <c r="K1857" s="9"/>
      <c r="L1857" s="45">
        <v>80.1</v>
      </c>
      <c r="M1857" s="45">
        <v>80.1</v>
      </c>
    </row>
    <row r="1858">
      <c r="A1858" s="34" t="s">
        <v>70</v>
      </c>
      <c r="B1858" s="34" t="s">
        <v>46</v>
      </c>
      <c r="C1858" s="34">
        <v>59.0</v>
      </c>
      <c r="D1858" s="34" t="s">
        <v>1027</v>
      </c>
      <c r="E1858" s="34" t="s">
        <v>4709</v>
      </c>
      <c r="F1858" s="34" t="s">
        <v>4710</v>
      </c>
      <c r="G1858" s="34">
        <v>59183.0</v>
      </c>
      <c r="H1858" s="34" t="s">
        <v>1039</v>
      </c>
      <c r="I1858" s="34" t="s">
        <v>18</v>
      </c>
      <c r="J1858" s="34" t="s">
        <v>13</v>
      </c>
      <c r="K1858" s="9"/>
      <c r="L1858" s="45">
        <v>69.4</v>
      </c>
      <c r="M1858" s="45">
        <v>69.4</v>
      </c>
    </row>
    <row r="1859">
      <c r="A1859" s="34" t="s">
        <v>70</v>
      </c>
      <c r="B1859" s="34" t="s">
        <v>46</v>
      </c>
      <c r="C1859" s="34">
        <v>59.0</v>
      </c>
      <c r="D1859" s="34" t="s">
        <v>1027</v>
      </c>
      <c r="E1859" s="34" t="s">
        <v>4711</v>
      </c>
      <c r="F1859" s="34" t="s">
        <v>4712</v>
      </c>
      <c r="G1859" s="34">
        <v>59350.0</v>
      </c>
      <c r="H1859" s="34" t="s">
        <v>46</v>
      </c>
      <c r="I1859" s="34" t="s">
        <v>17</v>
      </c>
      <c r="J1859" s="34" t="s">
        <v>15</v>
      </c>
      <c r="K1859" s="45">
        <v>102.0</v>
      </c>
      <c r="L1859" s="9"/>
      <c r="M1859" s="45">
        <v>102.0</v>
      </c>
    </row>
    <row r="1860">
      <c r="A1860" s="34" t="s">
        <v>70</v>
      </c>
      <c r="B1860" s="34" t="s">
        <v>46</v>
      </c>
      <c r="C1860" s="34">
        <v>59.0</v>
      </c>
      <c r="D1860" s="34" t="s">
        <v>1027</v>
      </c>
      <c r="E1860" s="34" t="s">
        <v>4713</v>
      </c>
      <c r="F1860" s="34" t="s">
        <v>4714</v>
      </c>
      <c r="G1860" s="34">
        <v>59153.0</v>
      </c>
      <c r="H1860" s="34" t="s">
        <v>4715</v>
      </c>
      <c r="I1860" s="34" t="s">
        <v>18</v>
      </c>
      <c r="J1860" s="34" t="s">
        <v>14</v>
      </c>
      <c r="K1860" s="45">
        <v>84.1</v>
      </c>
      <c r="L1860" s="45">
        <v>67.1</v>
      </c>
      <c r="M1860" s="45">
        <v>76.4</v>
      </c>
    </row>
    <row r="1861">
      <c r="A1861" s="34" t="s">
        <v>70</v>
      </c>
      <c r="B1861" s="34" t="s">
        <v>46</v>
      </c>
      <c r="C1861" s="34">
        <v>59.0</v>
      </c>
      <c r="D1861" s="34" t="s">
        <v>1027</v>
      </c>
      <c r="E1861" s="34" t="s">
        <v>4716</v>
      </c>
      <c r="F1861" s="34" t="s">
        <v>4717</v>
      </c>
      <c r="G1861" s="34">
        <v>59178.0</v>
      </c>
      <c r="H1861" s="34" t="s">
        <v>1092</v>
      </c>
      <c r="I1861" s="34" t="s">
        <v>18</v>
      </c>
      <c r="J1861" s="34" t="s">
        <v>15</v>
      </c>
      <c r="K1861" s="45">
        <v>89.6</v>
      </c>
      <c r="L1861" s="9"/>
      <c r="M1861" s="45">
        <v>89.6</v>
      </c>
    </row>
    <row r="1862">
      <c r="A1862" s="34" t="s">
        <v>70</v>
      </c>
      <c r="B1862" s="34" t="s">
        <v>46</v>
      </c>
      <c r="C1862" s="34">
        <v>59.0</v>
      </c>
      <c r="D1862" s="34" t="s">
        <v>1027</v>
      </c>
      <c r="E1862" s="34" t="s">
        <v>4718</v>
      </c>
      <c r="F1862" s="34" t="s">
        <v>4719</v>
      </c>
      <c r="G1862" s="34">
        <v>59350.0</v>
      </c>
      <c r="H1862" s="34" t="s">
        <v>46</v>
      </c>
      <c r="I1862" s="34" t="s">
        <v>18</v>
      </c>
      <c r="J1862" s="34" t="s">
        <v>13</v>
      </c>
      <c r="K1862" s="9"/>
      <c r="L1862" s="45">
        <v>70.5</v>
      </c>
      <c r="M1862" s="45">
        <v>70.5</v>
      </c>
    </row>
    <row r="1863">
      <c r="A1863" s="34" t="s">
        <v>70</v>
      </c>
      <c r="B1863" s="34" t="s">
        <v>88</v>
      </c>
      <c r="C1863" s="34">
        <v>60.0</v>
      </c>
      <c r="D1863" s="34" t="s">
        <v>1127</v>
      </c>
      <c r="E1863" s="34" t="s">
        <v>4720</v>
      </c>
      <c r="F1863" s="34" t="s">
        <v>4721</v>
      </c>
      <c r="G1863" s="34">
        <v>60157.0</v>
      </c>
      <c r="H1863" s="34" t="s">
        <v>4722</v>
      </c>
      <c r="I1863" s="34" t="s">
        <v>18</v>
      </c>
      <c r="J1863" s="34" t="s">
        <v>15</v>
      </c>
      <c r="K1863" s="45">
        <v>113.4</v>
      </c>
      <c r="L1863" s="9"/>
      <c r="M1863" s="45">
        <v>113.4</v>
      </c>
    </row>
    <row r="1864">
      <c r="A1864" s="34" t="s">
        <v>70</v>
      </c>
      <c r="B1864" s="34" t="s">
        <v>88</v>
      </c>
      <c r="C1864" s="34">
        <v>60.0</v>
      </c>
      <c r="D1864" s="34" t="s">
        <v>1127</v>
      </c>
      <c r="E1864" s="34" t="s">
        <v>4723</v>
      </c>
      <c r="F1864" s="34" t="s">
        <v>4724</v>
      </c>
      <c r="G1864" s="34">
        <v>60159.0</v>
      </c>
      <c r="H1864" s="34" t="s">
        <v>1136</v>
      </c>
      <c r="I1864" s="34" t="s">
        <v>18</v>
      </c>
      <c r="J1864" s="34" t="s">
        <v>13</v>
      </c>
      <c r="K1864" s="9"/>
      <c r="L1864" s="45">
        <v>81.8</v>
      </c>
      <c r="M1864" s="45">
        <v>81.8</v>
      </c>
    </row>
    <row r="1865">
      <c r="A1865" s="34" t="s">
        <v>70</v>
      </c>
      <c r="B1865" s="34" t="s">
        <v>88</v>
      </c>
      <c r="C1865" s="34">
        <v>60.0</v>
      </c>
      <c r="D1865" s="34" t="s">
        <v>1127</v>
      </c>
      <c r="E1865" s="34" t="s">
        <v>4725</v>
      </c>
      <c r="F1865" s="34" t="s">
        <v>4726</v>
      </c>
      <c r="G1865" s="34">
        <v>60175.0</v>
      </c>
      <c r="H1865" s="34" t="s">
        <v>2989</v>
      </c>
      <c r="I1865" s="34" t="s">
        <v>18</v>
      </c>
      <c r="J1865" s="34" t="s">
        <v>15</v>
      </c>
      <c r="K1865" s="45">
        <v>82.4</v>
      </c>
      <c r="L1865" s="9"/>
      <c r="M1865" s="45">
        <v>82.4</v>
      </c>
    </row>
    <row r="1866">
      <c r="A1866" s="34" t="s">
        <v>70</v>
      </c>
      <c r="B1866" s="34" t="s">
        <v>88</v>
      </c>
      <c r="C1866" s="34">
        <v>60.0</v>
      </c>
      <c r="D1866" s="34" t="s">
        <v>1127</v>
      </c>
      <c r="E1866" s="34" t="s">
        <v>4727</v>
      </c>
      <c r="F1866" s="34" t="s">
        <v>4728</v>
      </c>
      <c r="G1866" s="34">
        <v>60471.0</v>
      </c>
      <c r="H1866" s="34" t="s">
        <v>2983</v>
      </c>
      <c r="I1866" s="34" t="s">
        <v>18</v>
      </c>
      <c r="J1866" s="34" t="s">
        <v>15</v>
      </c>
      <c r="K1866" s="45">
        <v>102.0</v>
      </c>
      <c r="L1866" s="9"/>
      <c r="M1866" s="45">
        <v>102.0</v>
      </c>
    </row>
    <row r="1867">
      <c r="A1867" s="34" t="s">
        <v>70</v>
      </c>
      <c r="B1867" s="34" t="s">
        <v>88</v>
      </c>
      <c r="C1867" s="34">
        <v>60.0</v>
      </c>
      <c r="D1867" s="34" t="s">
        <v>1127</v>
      </c>
      <c r="E1867" s="34" t="s">
        <v>4729</v>
      </c>
      <c r="F1867" s="34" t="s">
        <v>4730</v>
      </c>
      <c r="G1867" s="34">
        <v>60159.0</v>
      </c>
      <c r="H1867" s="34" t="s">
        <v>1136</v>
      </c>
      <c r="I1867" s="34" t="s">
        <v>17</v>
      </c>
      <c r="J1867" s="34" t="s">
        <v>15</v>
      </c>
      <c r="K1867" s="45">
        <v>122.5</v>
      </c>
      <c r="L1867" s="9"/>
      <c r="M1867" s="45">
        <v>122.5</v>
      </c>
    </row>
    <row r="1868">
      <c r="A1868" s="34" t="s">
        <v>70</v>
      </c>
      <c r="B1868" s="34" t="s">
        <v>88</v>
      </c>
      <c r="C1868" s="34">
        <v>60.0</v>
      </c>
      <c r="D1868" s="34" t="s">
        <v>1127</v>
      </c>
      <c r="E1868" s="34" t="s">
        <v>4731</v>
      </c>
      <c r="F1868" s="34" t="s">
        <v>4732</v>
      </c>
      <c r="G1868" s="34">
        <v>60188.0</v>
      </c>
      <c r="H1868" s="34" t="s">
        <v>4733</v>
      </c>
      <c r="I1868" s="34" t="s">
        <v>17</v>
      </c>
      <c r="J1868" s="34" t="s">
        <v>15</v>
      </c>
      <c r="K1868" s="45">
        <v>118.2</v>
      </c>
      <c r="L1868" s="9"/>
      <c r="M1868" s="45">
        <v>118.2</v>
      </c>
    </row>
    <row r="1869">
      <c r="A1869" s="34" t="s">
        <v>70</v>
      </c>
      <c r="B1869" s="34" t="s">
        <v>88</v>
      </c>
      <c r="C1869" s="34">
        <v>60.0</v>
      </c>
      <c r="D1869" s="34" t="s">
        <v>1127</v>
      </c>
      <c r="E1869" s="34" t="s">
        <v>4734</v>
      </c>
      <c r="F1869" s="34" t="s">
        <v>4735</v>
      </c>
      <c r="G1869" s="34">
        <v>60107.0</v>
      </c>
      <c r="H1869" s="34" t="s">
        <v>4736</v>
      </c>
      <c r="I1869" s="34" t="s">
        <v>18</v>
      </c>
      <c r="J1869" s="34" t="s">
        <v>13</v>
      </c>
      <c r="K1869" s="9"/>
      <c r="L1869" s="45">
        <v>89.6</v>
      </c>
      <c r="M1869" s="45">
        <v>89.6</v>
      </c>
    </row>
    <row r="1870">
      <c r="A1870" s="34" t="s">
        <v>70</v>
      </c>
      <c r="B1870" s="34" t="s">
        <v>88</v>
      </c>
      <c r="C1870" s="34">
        <v>60.0</v>
      </c>
      <c r="D1870" s="34" t="s">
        <v>1127</v>
      </c>
      <c r="E1870" s="34" t="s">
        <v>4737</v>
      </c>
      <c r="F1870" s="34" t="s">
        <v>4738</v>
      </c>
      <c r="G1870" s="34">
        <v>60057.0</v>
      </c>
      <c r="H1870" s="34" t="s">
        <v>1130</v>
      </c>
      <c r="I1870" s="34" t="s">
        <v>18</v>
      </c>
      <c r="J1870" s="34" t="s">
        <v>15</v>
      </c>
      <c r="K1870" s="45">
        <v>104.3</v>
      </c>
      <c r="L1870" s="9"/>
      <c r="M1870" s="45">
        <v>104.3</v>
      </c>
    </row>
    <row r="1871">
      <c r="A1871" s="34" t="s">
        <v>70</v>
      </c>
      <c r="B1871" s="34" t="s">
        <v>88</v>
      </c>
      <c r="C1871" s="34">
        <v>60.0</v>
      </c>
      <c r="D1871" s="34" t="s">
        <v>1127</v>
      </c>
      <c r="E1871" s="34" t="s">
        <v>4739</v>
      </c>
      <c r="F1871" s="34" t="s">
        <v>4740</v>
      </c>
      <c r="G1871" s="34">
        <v>60612.0</v>
      </c>
      <c r="H1871" s="34" t="s">
        <v>2986</v>
      </c>
      <c r="I1871" s="34" t="s">
        <v>18</v>
      </c>
      <c r="J1871" s="34" t="s">
        <v>15</v>
      </c>
      <c r="K1871" s="45">
        <v>118.7</v>
      </c>
      <c r="L1871" s="9"/>
      <c r="M1871" s="45">
        <v>118.7</v>
      </c>
    </row>
    <row r="1872">
      <c r="A1872" s="34" t="s">
        <v>70</v>
      </c>
      <c r="B1872" s="34" t="s">
        <v>269</v>
      </c>
      <c r="C1872" s="34">
        <v>61.0</v>
      </c>
      <c r="D1872" s="34" t="s">
        <v>1153</v>
      </c>
      <c r="E1872" s="34" t="s">
        <v>4741</v>
      </c>
      <c r="F1872" s="34" t="s">
        <v>595</v>
      </c>
      <c r="G1872" s="34">
        <v>61006.0</v>
      </c>
      <c r="H1872" s="34" t="s">
        <v>1161</v>
      </c>
      <c r="I1872" s="34" t="s">
        <v>17</v>
      </c>
      <c r="J1872" s="34" t="s">
        <v>13</v>
      </c>
      <c r="K1872" s="9"/>
      <c r="L1872" s="45">
        <v>92.3</v>
      </c>
      <c r="M1872" s="45">
        <v>92.3</v>
      </c>
    </row>
    <row r="1873">
      <c r="A1873" s="34" t="s">
        <v>70</v>
      </c>
      <c r="B1873" s="34" t="s">
        <v>46</v>
      </c>
      <c r="C1873" s="34">
        <v>62.0</v>
      </c>
      <c r="D1873" s="34" t="s">
        <v>1165</v>
      </c>
      <c r="E1873" s="34" t="s">
        <v>4742</v>
      </c>
      <c r="F1873" s="34" t="s">
        <v>4743</v>
      </c>
      <c r="G1873" s="34">
        <v>62041.0</v>
      </c>
      <c r="H1873" s="34" t="s">
        <v>1186</v>
      </c>
      <c r="I1873" s="34" t="s">
        <v>18</v>
      </c>
      <c r="J1873" s="34" t="s">
        <v>15</v>
      </c>
      <c r="K1873" s="45">
        <v>120.0</v>
      </c>
      <c r="L1873" s="9"/>
      <c r="M1873" s="45">
        <v>120.0</v>
      </c>
    </row>
    <row r="1874">
      <c r="A1874" s="34" t="s">
        <v>70</v>
      </c>
      <c r="B1874" s="34" t="s">
        <v>46</v>
      </c>
      <c r="C1874" s="34">
        <v>62.0</v>
      </c>
      <c r="D1874" s="34" t="s">
        <v>1165</v>
      </c>
      <c r="E1874" s="34" t="s">
        <v>4744</v>
      </c>
      <c r="F1874" s="34" t="s">
        <v>4745</v>
      </c>
      <c r="G1874" s="34">
        <v>62080.0</v>
      </c>
      <c r="H1874" s="34" t="s">
        <v>4746</v>
      </c>
      <c r="I1874" s="34" t="s">
        <v>18</v>
      </c>
      <c r="J1874" s="34" t="s">
        <v>13</v>
      </c>
      <c r="K1874" s="9"/>
      <c r="L1874" s="45">
        <v>80.1</v>
      </c>
      <c r="M1874" s="45">
        <v>80.1</v>
      </c>
    </row>
    <row r="1875">
      <c r="A1875" s="34" t="s">
        <v>70</v>
      </c>
      <c r="B1875" s="34" t="s">
        <v>46</v>
      </c>
      <c r="C1875" s="34">
        <v>62.0</v>
      </c>
      <c r="D1875" s="34" t="s">
        <v>1165</v>
      </c>
      <c r="E1875" s="34" t="s">
        <v>4747</v>
      </c>
      <c r="F1875" s="34" t="s">
        <v>4748</v>
      </c>
      <c r="G1875" s="34">
        <v>62160.0</v>
      </c>
      <c r="H1875" s="34" t="s">
        <v>3055</v>
      </c>
      <c r="I1875" s="34" t="s">
        <v>18</v>
      </c>
      <c r="J1875" s="34" t="s">
        <v>14</v>
      </c>
      <c r="K1875" s="45">
        <v>105.1</v>
      </c>
      <c r="L1875" s="45">
        <v>83.6</v>
      </c>
      <c r="M1875" s="45">
        <v>101.7</v>
      </c>
    </row>
    <row r="1876">
      <c r="A1876" s="34" t="s">
        <v>70</v>
      </c>
      <c r="B1876" s="34" t="s">
        <v>46</v>
      </c>
      <c r="C1876" s="34">
        <v>62.0</v>
      </c>
      <c r="D1876" s="34" t="s">
        <v>1165</v>
      </c>
      <c r="E1876" s="34" t="s">
        <v>4749</v>
      </c>
      <c r="F1876" s="34" t="s">
        <v>3672</v>
      </c>
      <c r="G1876" s="34">
        <v>62498.0</v>
      </c>
      <c r="H1876" s="34" t="s">
        <v>1188</v>
      </c>
      <c r="I1876" s="34" t="s">
        <v>18</v>
      </c>
      <c r="J1876" s="34" t="s">
        <v>15</v>
      </c>
      <c r="K1876" s="45">
        <v>87.4</v>
      </c>
      <c r="L1876" s="9"/>
      <c r="M1876" s="45">
        <v>87.4</v>
      </c>
    </row>
    <row r="1877">
      <c r="A1877" s="34" t="s">
        <v>70</v>
      </c>
      <c r="B1877" s="34" t="s">
        <v>46</v>
      </c>
      <c r="C1877" s="34">
        <v>62.0</v>
      </c>
      <c r="D1877" s="34" t="s">
        <v>1165</v>
      </c>
      <c r="E1877" s="34" t="s">
        <v>4750</v>
      </c>
      <c r="F1877" s="34" t="s">
        <v>4751</v>
      </c>
      <c r="G1877" s="34">
        <v>62516.0</v>
      </c>
      <c r="H1877" s="34" t="s">
        <v>4752</v>
      </c>
      <c r="I1877" s="34" t="s">
        <v>18</v>
      </c>
      <c r="J1877" s="34" t="s">
        <v>15</v>
      </c>
      <c r="K1877" s="45">
        <v>109.2</v>
      </c>
      <c r="L1877" s="9"/>
      <c r="M1877" s="45">
        <v>109.2</v>
      </c>
    </row>
    <row r="1878">
      <c r="A1878" s="34" t="s">
        <v>70</v>
      </c>
      <c r="B1878" s="34" t="s">
        <v>46</v>
      </c>
      <c r="C1878" s="34">
        <v>62.0</v>
      </c>
      <c r="D1878" s="34" t="s">
        <v>1165</v>
      </c>
      <c r="E1878" s="34" t="s">
        <v>4753</v>
      </c>
      <c r="F1878" s="34" t="s">
        <v>4754</v>
      </c>
      <c r="G1878" s="34">
        <v>62427.0</v>
      </c>
      <c r="H1878" s="34" t="s">
        <v>1171</v>
      </c>
      <c r="I1878" s="34" t="s">
        <v>18</v>
      </c>
      <c r="J1878" s="34" t="s">
        <v>13</v>
      </c>
      <c r="K1878" s="9"/>
      <c r="L1878" s="45">
        <v>72.5</v>
      </c>
      <c r="M1878" s="45">
        <v>72.5</v>
      </c>
    </row>
    <row r="1879">
      <c r="A1879" s="34" t="s">
        <v>70</v>
      </c>
      <c r="B1879" s="34" t="s">
        <v>46</v>
      </c>
      <c r="C1879" s="34">
        <v>62.0</v>
      </c>
      <c r="D1879" s="34" t="s">
        <v>1165</v>
      </c>
      <c r="E1879" s="34" t="s">
        <v>4755</v>
      </c>
      <c r="F1879" s="34" t="s">
        <v>4756</v>
      </c>
      <c r="G1879" s="34">
        <v>62758.0</v>
      </c>
      <c r="H1879" s="34" t="s">
        <v>4757</v>
      </c>
      <c r="I1879" s="34" t="s">
        <v>18</v>
      </c>
      <c r="J1879" s="34" t="s">
        <v>14</v>
      </c>
      <c r="K1879" s="45">
        <v>105.6</v>
      </c>
      <c r="L1879" s="45">
        <v>76.4</v>
      </c>
      <c r="M1879" s="45">
        <v>96.2</v>
      </c>
    </row>
    <row r="1880">
      <c r="A1880" s="34" t="s">
        <v>70</v>
      </c>
      <c r="B1880" s="34" t="s">
        <v>46</v>
      </c>
      <c r="C1880" s="34">
        <v>62.0</v>
      </c>
      <c r="D1880" s="34" t="s">
        <v>1165</v>
      </c>
      <c r="E1880" s="34" t="s">
        <v>4758</v>
      </c>
      <c r="F1880" s="34" t="s">
        <v>3569</v>
      </c>
      <c r="G1880" s="34">
        <v>62193.0</v>
      </c>
      <c r="H1880" s="34" t="s">
        <v>3025</v>
      </c>
      <c r="I1880" s="34" t="s">
        <v>18</v>
      </c>
      <c r="J1880" s="34" t="s">
        <v>14</v>
      </c>
      <c r="K1880" s="45">
        <v>99.1</v>
      </c>
      <c r="L1880" s="45">
        <v>79.4</v>
      </c>
      <c r="M1880" s="45">
        <v>97.8</v>
      </c>
    </row>
    <row r="1881">
      <c r="A1881" s="34" t="s">
        <v>70</v>
      </c>
      <c r="B1881" s="34" t="s">
        <v>116</v>
      </c>
      <c r="C1881" s="34">
        <v>63.0</v>
      </c>
      <c r="D1881" s="34" t="s">
        <v>1196</v>
      </c>
      <c r="E1881" s="34" t="s">
        <v>4759</v>
      </c>
      <c r="F1881" s="34" t="s">
        <v>2976</v>
      </c>
      <c r="G1881" s="34">
        <v>63050.0</v>
      </c>
      <c r="H1881" s="34" t="s">
        <v>4760</v>
      </c>
      <c r="I1881" s="34" t="s">
        <v>18</v>
      </c>
      <c r="J1881" s="34" t="s">
        <v>13</v>
      </c>
      <c r="K1881" s="9"/>
      <c r="L1881" s="45">
        <v>89.0</v>
      </c>
      <c r="M1881" s="45">
        <v>89.0</v>
      </c>
    </row>
    <row r="1882">
      <c r="A1882" s="34" t="s">
        <v>70</v>
      </c>
      <c r="B1882" s="34" t="s">
        <v>116</v>
      </c>
      <c r="C1882" s="34">
        <v>63.0</v>
      </c>
      <c r="D1882" s="34" t="s">
        <v>1196</v>
      </c>
      <c r="E1882" s="34" t="s">
        <v>4761</v>
      </c>
      <c r="F1882" s="34" t="s">
        <v>4598</v>
      </c>
      <c r="G1882" s="34">
        <v>63113.0</v>
      </c>
      <c r="H1882" s="34" t="s">
        <v>1199</v>
      </c>
      <c r="I1882" s="34" t="s">
        <v>18</v>
      </c>
      <c r="J1882" s="34" t="s">
        <v>15</v>
      </c>
      <c r="K1882" s="45">
        <v>128.1</v>
      </c>
      <c r="L1882" s="9"/>
      <c r="M1882" s="45">
        <v>128.1</v>
      </c>
    </row>
    <row r="1883">
      <c r="A1883" s="34" t="s">
        <v>70</v>
      </c>
      <c r="B1883" s="34" t="s">
        <v>116</v>
      </c>
      <c r="C1883" s="34">
        <v>63.0</v>
      </c>
      <c r="D1883" s="34" t="s">
        <v>1196</v>
      </c>
      <c r="E1883" s="34" t="s">
        <v>4762</v>
      </c>
      <c r="F1883" s="34" t="s">
        <v>4763</v>
      </c>
      <c r="G1883" s="34">
        <v>63113.0</v>
      </c>
      <c r="H1883" s="34" t="s">
        <v>1199</v>
      </c>
      <c r="I1883" s="34" t="s">
        <v>18</v>
      </c>
      <c r="J1883" s="34" t="s">
        <v>13</v>
      </c>
      <c r="K1883" s="9"/>
      <c r="L1883" s="45">
        <v>86.1</v>
      </c>
      <c r="M1883" s="45">
        <v>86.1</v>
      </c>
    </row>
    <row r="1884">
      <c r="A1884" s="34" t="s">
        <v>70</v>
      </c>
      <c r="B1884" s="34" t="s">
        <v>116</v>
      </c>
      <c r="C1884" s="34">
        <v>63.0</v>
      </c>
      <c r="D1884" s="34" t="s">
        <v>1196</v>
      </c>
      <c r="E1884" s="34" t="s">
        <v>4764</v>
      </c>
      <c r="F1884" s="34" t="s">
        <v>4765</v>
      </c>
      <c r="G1884" s="34">
        <v>63178.0</v>
      </c>
      <c r="H1884" s="34" t="s">
        <v>4766</v>
      </c>
      <c r="I1884" s="34" t="s">
        <v>18</v>
      </c>
      <c r="J1884" s="34" t="s">
        <v>15</v>
      </c>
      <c r="K1884" s="45">
        <v>118.2</v>
      </c>
      <c r="L1884" s="9"/>
      <c r="M1884" s="45">
        <v>118.2</v>
      </c>
    </row>
    <row r="1885">
      <c r="A1885" s="34" t="s">
        <v>70</v>
      </c>
      <c r="B1885" s="34" t="s">
        <v>116</v>
      </c>
      <c r="C1885" s="34">
        <v>63.0</v>
      </c>
      <c r="D1885" s="34" t="s">
        <v>1196</v>
      </c>
      <c r="E1885" s="34" t="s">
        <v>4767</v>
      </c>
      <c r="F1885" s="34" t="s">
        <v>4768</v>
      </c>
      <c r="G1885" s="34">
        <v>63338.0</v>
      </c>
      <c r="H1885" s="34" t="s">
        <v>4769</v>
      </c>
      <c r="I1885" s="34" t="s">
        <v>18</v>
      </c>
      <c r="J1885" s="34" t="s">
        <v>13</v>
      </c>
      <c r="K1885" s="9"/>
      <c r="L1885" s="45">
        <v>85.5</v>
      </c>
      <c r="M1885" s="45">
        <v>85.5</v>
      </c>
    </row>
    <row r="1886">
      <c r="A1886" s="34" t="s">
        <v>70</v>
      </c>
      <c r="B1886" s="34" t="s">
        <v>116</v>
      </c>
      <c r="C1886" s="34">
        <v>63.0</v>
      </c>
      <c r="D1886" s="34" t="s">
        <v>1196</v>
      </c>
      <c r="E1886" s="34" t="s">
        <v>4770</v>
      </c>
      <c r="F1886" s="34" t="s">
        <v>4771</v>
      </c>
      <c r="G1886" s="34">
        <v>63113.0</v>
      </c>
      <c r="H1886" s="34" t="s">
        <v>1199</v>
      </c>
      <c r="I1886" s="34" t="s">
        <v>18</v>
      </c>
      <c r="J1886" s="34" t="s">
        <v>15</v>
      </c>
      <c r="K1886" s="45">
        <v>90.3</v>
      </c>
      <c r="L1886" s="9"/>
      <c r="M1886" s="45">
        <v>90.3</v>
      </c>
    </row>
    <row r="1887">
      <c r="A1887" s="34" t="s">
        <v>70</v>
      </c>
      <c r="B1887" s="34" t="s">
        <v>116</v>
      </c>
      <c r="C1887" s="34">
        <v>63.0</v>
      </c>
      <c r="D1887" s="34" t="s">
        <v>1196</v>
      </c>
      <c r="E1887" s="34" t="s">
        <v>4772</v>
      </c>
      <c r="F1887" s="34" t="s">
        <v>4773</v>
      </c>
      <c r="G1887" s="34">
        <v>63113.0</v>
      </c>
      <c r="H1887" s="34" t="s">
        <v>1199</v>
      </c>
      <c r="I1887" s="34" t="s">
        <v>17</v>
      </c>
      <c r="J1887" s="34" t="s">
        <v>15</v>
      </c>
      <c r="K1887" s="45">
        <v>122.3</v>
      </c>
      <c r="L1887" s="9"/>
      <c r="M1887" s="45">
        <v>122.3</v>
      </c>
    </row>
    <row r="1888">
      <c r="A1888" s="34" t="s">
        <v>70</v>
      </c>
      <c r="B1888" s="34" t="s">
        <v>116</v>
      </c>
      <c r="C1888" s="34">
        <v>63.0</v>
      </c>
      <c r="D1888" s="34" t="s">
        <v>1196</v>
      </c>
      <c r="E1888" s="34" t="s">
        <v>4774</v>
      </c>
      <c r="F1888" s="34" t="s">
        <v>4775</v>
      </c>
      <c r="G1888" s="34">
        <v>63113.0</v>
      </c>
      <c r="H1888" s="34" t="s">
        <v>1199</v>
      </c>
      <c r="I1888" s="34" t="s">
        <v>17</v>
      </c>
      <c r="J1888" s="34" t="s">
        <v>13</v>
      </c>
      <c r="K1888" s="9"/>
      <c r="L1888" s="45">
        <v>113.1</v>
      </c>
      <c r="M1888" s="45">
        <v>113.1</v>
      </c>
    </row>
    <row r="1889">
      <c r="A1889" s="34" t="s">
        <v>70</v>
      </c>
      <c r="B1889" s="34" t="s">
        <v>377</v>
      </c>
      <c r="C1889" s="34">
        <v>64.0</v>
      </c>
      <c r="D1889" s="34" t="s">
        <v>1210</v>
      </c>
      <c r="E1889" s="34" t="s">
        <v>4776</v>
      </c>
      <c r="F1889" s="34" t="s">
        <v>4777</v>
      </c>
      <c r="G1889" s="34">
        <v>64102.0</v>
      </c>
      <c r="H1889" s="34" t="s">
        <v>1235</v>
      </c>
      <c r="I1889" s="34" t="s">
        <v>18</v>
      </c>
      <c r="J1889" s="34" t="s">
        <v>15</v>
      </c>
      <c r="K1889" s="45">
        <v>124.7</v>
      </c>
      <c r="L1889" s="9"/>
      <c r="M1889" s="45">
        <v>124.7</v>
      </c>
    </row>
    <row r="1890">
      <c r="A1890" s="34" t="s">
        <v>70</v>
      </c>
      <c r="B1890" s="34" t="s">
        <v>377</v>
      </c>
      <c r="C1890" s="34">
        <v>64.0</v>
      </c>
      <c r="D1890" s="34" t="s">
        <v>1210</v>
      </c>
      <c r="E1890" s="34" t="s">
        <v>4778</v>
      </c>
      <c r="F1890" s="34" t="s">
        <v>4779</v>
      </c>
      <c r="G1890" s="34">
        <v>64284.0</v>
      </c>
      <c r="H1890" s="34" t="s">
        <v>4780</v>
      </c>
      <c r="I1890" s="34" t="s">
        <v>18</v>
      </c>
      <c r="J1890" s="34" t="s">
        <v>13</v>
      </c>
      <c r="K1890" s="9"/>
      <c r="L1890" s="45">
        <v>83.0</v>
      </c>
      <c r="M1890" s="45">
        <v>83.0</v>
      </c>
    </row>
    <row r="1891">
      <c r="A1891" s="34" t="s">
        <v>70</v>
      </c>
      <c r="B1891" s="34" t="s">
        <v>377</v>
      </c>
      <c r="C1891" s="34">
        <v>64.0</v>
      </c>
      <c r="D1891" s="34" t="s">
        <v>1210</v>
      </c>
      <c r="E1891" s="34" t="s">
        <v>4781</v>
      </c>
      <c r="F1891" s="34" t="s">
        <v>4782</v>
      </c>
      <c r="G1891" s="34">
        <v>64405.0</v>
      </c>
      <c r="H1891" s="34" t="s">
        <v>4783</v>
      </c>
      <c r="I1891" s="34" t="s">
        <v>18</v>
      </c>
      <c r="J1891" s="34" t="s">
        <v>13</v>
      </c>
      <c r="K1891" s="9"/>
      <c r="L1891" s="45">
        <v>92.7</v>
      </c>
      <c r="M1891" s="45">
        <v>92.7</v>
      </c>
    </row>
    <row r="1892">
      <c r="A1892" s="34" t="s">
        <v>70</v>
      </c>
      <c r="B1892" s="34" t="s">
        <v>377</v>
      </c>
      <c r="C1892" s="34">
        <v>64.0</v>
      </c>
      <c r="D1892" s="34" t="s">
        <v>1210</v>
      </c>
      <c r="E1892" s="34" t="s">
        <v>4784</v>
      </c>
      <c r="F1892" s="34" t="s">
        <v>4785</v>
      </c>
      <c r="G1892" s="34">
        <v>64430.0</v>
      </c>
      <c r="H1892" s="34" t="s">
        <v>1222</v>
      </c>
      <c r="I1892" s="34" t="s">
        <v>18</v>
      </c>
      <c r="J1892" s="34" t="s">
        <v>13</v>
      </c>
      <c r="K1892" s="9"/>
      <c r="L1892" s="45">
        <v>94.4</v>
      </c>
      <c r="M1892" s="45">
        <v>94.4</v>
      </c>
    </row>
    <row r="1893">
      <c r="A1893" s="34" t="s">
        <v>70</v>
      </c>
      <c r="B1893" s="34" t="s">
        <v>377</v>
      </c>
      <c r="C1893" s="34">
        <v>64.0</v>
      </c>
      <c r="D1893" s="34" t="s">
        <v>1210</v>
      </c>
      <c r="E1893" s="34" t="s">
        <v>4786</v>
      </c>
      <c r="F1893" s="34" t="s">
        <v>4787</v>
      </c>
      <c r="G1893" s="34">
        <v>64191.0</v>
      </c>
      <c r="H1893" s="34" t="s">
        <v>4788</v>
      </c>
      <c r="I1893" s="34" t="s">
        <v>18</v>
      </c>
      <c r="J1893" s="34" t="s">
        <v>13</v>
      </c>
      <c r="K1893" s="9"/>
      <c r="L1893" s="45">
        <v>103.1</v>
      </c>
      <c r="M1893" s="45">
        <v>103.1</v>
      </c>
    </row>
    <row r="1894">
      <c r="A1894" s="34" t="s">
        <v>70</v>
      </c>
      <c r="B1894" s="34" t="s">
        <v>377</v>
      </c>
      <c r="C1894" s="34">
        <v>64.0</v>
      </c>
      <c r="D1894" s="34" t="s">
        <v>1210</v>
      </c>
      <c r="E1894" s="34" t="s">
        <v>4789</v>
      </c>
      <c r="F1894" s="34" t="s">
        <v>555</v>
      </c>
      <c r="G1894" s="34">
        <v>64422.0</v>
      </c>
      <c r="H1894" s="34" t="s">
        <v>1219</v>
      </c>
      <c r="I1894" s="34" t="s">
        <v>17</v>
      </c>
      <c r="J1894" s="34" t="s">
        <v>15</v>
      </c>
      <c r="K1894" s="45">
        <v>115.4</v>
      </c>
      <c r="L1894" s="9"/>
      <c r="M1894" s="45">
        <v>115.4</v>
      </c>
    </row>
    <row r="1895">
      <c r="A1895" s="34" t="s">
        <v>70</v>
      </c>
      <c r="B1895" s="34" t="s">
        <v>377</v>
      </c>
      <c r="C1895" s="34">
        <v>64.0</v>
      </c>
      <c r="D1895" s="34" t="s">
        <v>1210</v>
      </c>
      <c r="E1895" s="34" t="s">
        <v>4790</v>
      </c>
      <c r="F1895" s="34" t="s">
        <v>4791</v>
      </c>
      <c r="G1895" s="34">
        <v>64445.0</v>
      </c>
      <c r="H1895" s="34" t="s">
        <v>1225</v>
      </c>
      <c r="I1895" s="34" t="s">
        <v>17</v>
      </c>
      <c r="J1895" s="34" t="s">
        <v>15</v>
      </c>
      <c r="K1895" s="45">
        <v>126.2</v>
      </c>
      <c r="L1895" s="9"/>
      <c r="M1895" s="45">
        <v>126.2</v>
      </c>
    </row>
    <row r="1896">
      <c r="A1896" s="34" t="s">
        <v>70</v>
      </c>
      <c r="B1896" s="34" t="s">
        <v>377</v>
      </c>
      <c r="C1896" s="34">
        <v>64.0</v>
      </c>
      <c r="D1896" s="34" t="s">
        <v>1210</v>
      </c>
      <c r="E1896" s="34" t="s">
        <v>4792</v>
      </c>
      <c r="F1896" s="34" t="s">
        <v>4793</v>
      </c>
      <c r="G1896" s="34">
        <v>64256.0</v>
      </c>
      <c r="H1896" s="34" t="s">
        <v>4794</v>
      </c>
      <c r="I1896" s="34" t="s">
        <v>17</v>
      </c>
      <c r="J1896" s="34" t="s">
        <v>14</v>
      </c>
      <c r="K1896" s="45">
        <v>110.9</v>
      </c>
      <c r="L1896" s="45">
        <v>103.0</v>
      </c>
      <c r="M1896" s="45">
        <v>106.8</v>
      </c>
    </row>
    <row r="1897">
      <c r="A1897" s="34" t="s">
        <v>70</v>
      </c>
      <c r="B1897" s="34" t="s">
        <v>377</v>
      </c>
      <c r="C1897" s="34">
        <v>64.0</v>
      </c>
      <c r="D1897" s="34" t="s">
        <v>1210</v>
      </c>
      <c r="E1897" s="34" t="s">
        <v>4795</v>
      </c>
      <c r="F1897" s="34" t="s">
        <v>4796</v>
      </c>
      <c r="G1897" s="34">
        <v>64270.0</v>
      </c>
      <c r="H1897" s="34" t="s">
        <v>3113</v>
      </c>
      <c r="I1897" s="34" t="s">
        <v>17</v>
      </c>
      <c r="J1897" s="34" t="s">
        <v>13</v>
      </c>
      <c r="K1897" s="9"/>
      <c r="L1897" s="45">
        <v>90.5</v>
      </c>
      <c r="M1897" s="45">
        <v>90.5</v>
      </c>
    </row>
    <row r="1898">
      <c r="A1898" s="34" t="s">
        <v>70</v>
      </c>
      <c r="B1898" s="34" t="s">
        <v>182</v>
      </c>
      <c r="C1898" s="34">
        <v>65.0</v>
      </c>
      <c r="D1898" s="34" t="s">
        <v>1246</v>
      </c>
      <c r="E1898" s="34" t="s">
        <v>4797</v>
      </c>
      <c r="F1898" s="34" t="s">
        <v>4798</v>
      </c>
      <c r="G1898" s="34">
        <v>65258.0</v>
      </c>
      <c r="H1898" s="34" t="s">
        <v>4799</v>
      </c>
      <c r="I1898" s="34" t="s">
        <v>18</v>
      </c>
      <c r="J1898" s="34" t="s">
        <v>15</v>
      </c>
      <c r="K1898" s="45">
        <v>118.6</v>
      </c>
      <c r="L1898" s="9"/>
      <c r="M1898" s="45">
        <v>118.6</v>
      </c>
    </row>
    <row r="1899">
      <c r="A1899" s="34" t="s">
        <v>70</v>
      </c>
      <c r="B1899" s="34" t="s">
        <v>182</v>
      </c>
      <c r="C1899" s="34">
        <v>65.0</v>
      </c>
      <c r="D1899" s="34" t="s">
        <v>1246</v>
      </c>
      <c r="E1899" s="34" t="s">
        <v>4800</v>
      </c>
      <c r="F1899" s="34" t="s">
        <v>4801</v>
      </c>
      <c r="G1899" s="34">
        <v>65047.0</v>
      </c>
      <c r="H1899" s="34" t="s">
        <v>4802</v>
      </c>
      <c r="I1899" s="34" t="s">
        <v>18</v>
      </c>
      <c r="J1899" s="34" t="s">
        <v>13</v>
      </c>
      <c r="K1899" s="9"/>
      <c r="L1899" s="45">
        <v>85.8</v>
      </c>
      <c r="M1899" s="45">
        <v>85.8</v>
      </c>
    </row>
    <row r="1900">
      <c r="A1900" s="34" t="s">
        <v>70</v>
      </c>
      <c r="B1900" s="34" t="s">
        <v>182</v>
      </c>
      <c r="C1900" s="34">
        <v>65.0</v>
      </c>
      <c r="D1900" s="34" t="s">
        <v>1246</v>
      </c>
      <c r="E1900" s="34" t="s">
        <v>4803</v>
      </c>
      <c r="F1900" s="34" t="s">
        <v>4804</v>
      </c>
      <c r="G1900" s="34">
        <v>65440.0</v>
      </c>
      <c r="H1900" s="34" t="s">
        <v>1252</v>
      </c>
      <c r="I1900" s="34" t="s">
        <v>18</v>
      </c>
      <c r="J1900" s="34" t="s">
        <v>13</v>
      </c>
      <c r="K1900" s="9"/>
      <c r="L1900" s="45">
        <v>95.8</v>
      </c>
      <c r="M1900" s="45">
        <v>95.8</v>
      </c>
    </row>
    <row r="1901">
      <c r="A1901" s="34" t="s">
        <v>70</v>
      </c>
      <c r="B1901" s="34" t="s">
        <v>182</v>
      </c>
      <c r="C1901" s="34">
        <v>65.0</v>
      </c>
      <c r="D1901" s="34" t="s">
        <v>1246</v>
      </c>
      <c r="E1901" s="34" t="s">
        <v>4805</v>
      </c>
      <c r="F1901" s="34" t="s">
        <v>4806</v>
      </c>
      <c r="G1901" s="34">
        <v>65286.0</v>
      </c>
      <c r="H1901" s="34" t="s">
        <v>1249</v>
      </c>
      <c r="I1901" s="34" t="s">
        <v>17</v>
      </c>
      <c r="J1901" s="34" t="s">
        <v>15</v>
      </c>
      <c r="K1901" s="45">
        <v>103.2</v>
      </c>
      <c r="L1901" s="9"/>
      <c r="M1901" s="45">
        <v>103.2</v>
      </c>
    </row>
    <row r="1902">
      <c r="A1902" s="34" t="s">
        <v>70</v>
      </c>
      <c r="B1902" s="34" t="s">
        <v>182</v>
      </c>
      <c r="C1902" s="34">
        <v>65.0</v>
      </c>
      <c r="D1902" s="34" t="s">
        <v>1246</v>
      </c>
      <c r="E1902" s="34" t="s">
        <v>4807</v>
      </c>
      <c r="F1902" s="34" t="s">
        <v>4808</v>
      </c>
      <c r="G1902" s="34">
        <v>65440.0</v>
      </c>
      <c r="H1902" s="34" t="s">
        <v>1252</v>
      </c>
      <c r="I1902" s="34" t="s">
        <v>17</v>
      </c>
      <c r="J1902" s="34" t="s">
        <v>13</v>
      </c>
      <c r="K1902" s="9"/>
      <c r="L1902" s="45">
        <v>75.6</v>
      </c>
      <c r="M1902" s="45">
        <v>75.6</v>
      </c>
    </row>
    <row r="1903">
      <c r="A1903" s="34" t="s">
        <v>70</v>
      </c>
      <c r="B1903" s="34" t="s">
        <v>182</v>
      </c>
      <c r="C1903" s="34">
        <v>65.0</v>
      </c>
      <c r="D1903" s="34" t="s">
        <v>1246</v>
      </c>
      <c r="E1903" s="34" t="s">
        <v>4809</v>
      </c>
      <c r="F1903" s="34" t="s">
        <v>4810</v>
      </c>
      <c r="G1903" s="34">
        <v>65440.0</v>
      </c>
      <c r="H1903" s="34" t="s">
        <v>1252</v>
      </c>
      <c r="I1903" s="34" t="s">
        <v>17</v>
      </c>
      <c r="J1903" s="34" t="s">
        <v>13</v>
      </c>
      <c r="K1903" s="9"/>
      <c r="L1903" s="45">
        <v>92.0</v>
      </c>
      <c r="M1903" s="45">
        <v>92.0</v>
      </c>
    </row>
    <row r="1904">
      <c r="A1904" s="34" t="s">
        <v>70</v>
      </c>
      <c r="B1904" s="34" t="s">
        <v>483</v>
      </c>
      <c r="C1904" s="34">
        <v>66.0</v>
      </c>
      <c r="D1904" s="34" t="s">
        <v>1255</v>
      </c>
      <c r="E1904" s="34" t="s">
        <v>4811</v>
      </c>
      <c r="F1904" s="34" t="s">
        <v>4812</v>
      </c>
      <c r="G1904" s="34">
        <v>66049.0</v>
      </c>
      <c r="H1904" s="34" t="s">
        <v>4813</v>
      </c>
      <c r="I1904" s="34" t="s">
        <v>18</v>
      </c>
      <c r="J1904" s="34" t="s">
        <v>14</v>
      </c>
      <c r="K1904" s="45">
        <v>112.5</v>
      </c>
      <c r="L1904" s="45">
        <v>80.7</v>
      </c>
      <c r="M1904" s="45">
        <v>101.3</v>
      </c>
    </row>
    <row r="1905">
      <c r="A1905" s="34" t="s">
        <v>70</v>
      </c>
      <c r="B1905" s="34" t="s">
        <v>483</v>
      </c>
      <c r="C1905" s="34">
        <v>66.0</v>
      </c>
      <c r="D1905" s="34" t="s">
        <v>1255</v>
      </c>
      <c r="E1905" s="34" t="s">
        <v>4814</v>
      </c>
      <c r="F1905" s="34" t="s">
        <v>4815</v>
      </c>
      <c r="G1905" s="34">
        <v>66136.0</v>
      </c>
      <c r="H1905" s="34" t="s">
        <v>1258</v>
      </c>
      <c r="I1905" s="34" t="s">
        <v>18</v>
      </c>
      <c r="J1905" s="34" t="s">
        <v>14</v>
      </c>
      <c r="K1905" s="45">
        <v>101.8</v>
      </c>
      <c r="L1905" s="45">
        <v>82.7</v>
      </c>
      <c r="M1905" s="45">
        <v>95.6</v>
      </c>
    </row>
    <row r="1906">
      <c r="A1906" s="34" t="s">
        <v>70</v>
      </c>
      <c r="B1906" s="34" t="s">
        <v>483</v>
      </c>
      <c r="C1906" s="34">
        <v>66.0</v>
      </c>
      <c r="D1906" s="34" t="s">
        <v>1255</v>
      </c>
      <c r="E1906" s="34" t="s">
        <v>4816</v>
      </c>
      <c r="F1906" s="34" t="s">
        <v>4817</v>
      </c>
      <c r="G1906" s="34">
        <v>66008.0</v>
      </c>
      <c r="H1906" s="34" t="s">
        <v>4818</v>
      </c>
      <c r="I1906" s="34" t="s">
        <v>18</v>
      </c>
      <c r="J1906" s="34" t="s">
        <v>14</v>
      </c>
      <c r="K1906" s="45">
        <v>110.7</v>
      </c>
      <c r="L1906" s="45">
        <v>85.0</v>
      </c>
      <c r="M1906" s="45">
        <v>101.2</v>
      </c>
    </row>
    <row r="1907">
      <c r="A1907" s="34" t="s">
        <v>70</v>
      </c>
      <c r="B1907" s="34" t="s">
        <v>1259</v>
      </c>
      <c r="C1907" s="34">
        <v>67.0</v>
      </c>
      <c r="D1907" s="34" t="s">
        <v>1260</v>
      </c>
      <c r="E1907" s="34" t="s">
        <v>4819</v>
      </c>
      <c r="F1907" s="34" t="s">
        <v>4820</v>
      </c>
      <c r="G1907" s="34">
        <v>67300.0</v>
      </c>
      <c r="H1907" s="34" t="s">
        <v>3163</v>
      </c>
      <c r="I1907" s="34" t="s">
        <v>18</v>
      </c>
      <c r="J1907" s="34" t="s">
        <v>13</v>
      </c>
      <c r="K1907" s="9"/>
      <c r="L1907" s="45">
        <v>87.2</v>
      </c>
      <c r="M1907" s="45">
        <v>87.2</v>
      </c>
    </row>
    <row r="1908">
      <c r="A1908" s="34" t="s">
        <v>70</v>
      </c>
      <c r="B1908" s="34" t="s">
        <v>1259</v>
      </c>
      <c r="C1908" s="34">
        <v>67.0</v>
      </c>
      <c r="D1908" s="34" t="s">
        <v>1260</v>
      </c>
      <c r="E1908" s="34" t="s">
        <v>4821</v>
      </c>
      <c r="F1908" s="34" t="s">
        <v>4822</v>
      </c>
      <c r="G1908" s="34">
        <v>67348.0</v>
      </c>
      <c r="H1908" s="34" t="s">
        <v>1266</v>
      </c>
      <c r="I1908" s="34" t="s">
        <v>18</v>
      </c>
      <c r="J1908" s="34" t="s">
        <v>13</v>
      </c>
      <c r="K1908" s="9"/>
      <c r="L1908" s="45">
        <v>98.6</v>
      </c>
      <c r="M1908" s="45">
        <v>98.6</v>
      </c>
    </row>
    <row r="1909">
      <c r="A1909" s="34" t="s">
        <v>70</v>
      </c>
      <c r="B1909" s="34" t="s">
        <v>1259</v>
      </c>
      <c r="C1909" s="34">
        <v>67.0</v>
      </c>
      <c r="D1909" s="34" t="s">
        <v>1260</v>
      </c>
      <c r="E1909" s="34" t="s">
        <v>4823</v>
      </c>
      <c r="F1909" s="34" t="s">
        <v>4824</v>
      </c>
      <c r="G1909" s="34">
        <v>67437.0</v>
      </c>
      <c r="H1909" s="34" t="s">
        <v>3157</v>
      </c>
      <c r="I1909" s="34" t="s">
        <v>18</v>
      </c>
      <c r="J1909" s="34" t="s">
        <v>15</v>
      </c>
      <c r="K1909" s="45">
        <v>111.9</v>
      </c>
      <c r="L1909" s="9"/>
      <c r="M1909" s="45">
        <v>111.9</v>
      </c>
    </row>
    <row r="1910">
      <c r="A1910" s="34" t="s">
        <v>70</v>
      </c>
      <c r="B1910" s="34" t="s">
        <v>1259</v>
      </c>
      <c r="C1910" s="34">
        <v>67.0</v>
      </c>
      <c r="D1910" s="34" t="s">
        <v>1260</v>
      </c>
      <c r="E1910" s="34" t="s">
        <v>4825</v>
      </c>
      <c r="F1910" s="34" t="s">
        <v>4826</v>
      </c>
      <c r="G1910" s="34">
        <v>67218.0</v>
      </c>
      <c r="H1910" s="34" t="s">
        <v>1275</v>
      </c>
      <c r="I1910" s="34" t="s">
        <v>18</v>
      </c>
      <c r="J1910" s="34" t="s">
        <v>14</v>
      </c>
      <c r="K1910" s="45">
        <v>114.5</v>
      </c>
      <c r="L1910" s="45">
        <v>100.1</v>
      </c>
      <c r="M1910" s="45">
        <v>106.8</v>
      </c>
    </row>
    <row r="1911">
      <c r="A1911" s="34" t="s">
        <v>70</v>
      </c>
      <c r="B1911" s="34" t="s">
        <v>1259</v>
      </c>
      <c r="C1911" s="34">
        <v>67.0</v>
      </c>
      <c r="D1911" s="34" t="s">
        <v>1260</v>
      </c>
      <c r="E1911" s="34" t="s">
        <v>4827</v>
      </c>
      <c r="F1911" s="34" t="s">
        <v>4828</v>
      </c>
      <c r="G1911" s="34">
        <v>67544.0</v>
      </c>
      <c r="H1911" s="34" t="s">
        <v>4829</v>
      </c>
      <c r="I1911" s="34" t="s">
        <v>18</v>
      </c>
      <c r="J1911" s="34" t="s">
        <v>14</v>
      </c>
      <c r="K1911" s="45">
        <v>114.5</v>
      </c>
      <c r="L1911" s="45">
        <v>92.0</v>
      </c>
      <c r="M1911" s="45">
        <v>109.0</v>
      </c>
    </row>
    <row r="1912">
      <c r="A1912" s="34" t="s">
        <v>70</v>
      </c>
      <c r="B1912" s="34" t="s">
        <v>1259</v>
      </c>
      <c r="C1912" s="34">
        <v>67.0</v>
      </c>
      <c r="D1912" s="34" t="s">
        <v>1260</v>
      </c>
      <c r="E1912" s="34" t="s">
        <v>4830</v>
      </c>
      <c r="F1912" s="34" t="s">
        <v>4831</v>
      </c>
      <c r="G1912" s="34">
        <v>67482.0</v>
      </c>
      <c r="H1912" s="34" t="s">
        <v>1259</v>
      </c>
      <c r="I1912" s="34" t="s">
        <v>17</v>
      </c>
      <c r="J1912" s="34" t="s">
        <v>15</v>
      </c>
      <c r="K1912" s="45">
        <v>142.0</v>
      </c>
      <c r="L1912" s="9"/>
      <c r="M1912" s="45">
        <v>142.0</v>
      </c>
    </row>
    <row r="1913">
      <c r="A1913" s="34" t="s">
        <v>70</v>
      </c>
      <c r="B1913" s="34" t="s">
        <v>1259</v>
      </c>
      <c r="C1913" s="34">
        <v>67.0</v>
      </c>
      <c r="D1913" s="34" t="s">
        <v>1260</v>
      </c>
      <c r="E1913" s="34" t="s">
        <v>4832</v>
      </c>
      <c r="F1913" s="34" t="s">
        <v>4833</v>
      </c>
      <c r="G1913" s="34">
        <v>67482.0</v>
      </c>
      <c r="H1913" s="34" t="s">
        <v>1259</v>
      </c>
      <c r="I1913" s="34" t="s">
        <v>17</v>
      </c>
      <c r="J1913" s="34" t="s">
        <v>15</v>
      </c>
      <c r="K1913" s="45">
        <v>138.7</v>
      </c>
      <c r="L1913" s="9"/>
      <c r="M1913" s="45">
        <v>138.7</v>
      </c>
    </row>
    <row r="1914">
      <c r="A1914" s="34" t="s">
        <v>70</v>
      </c>
      <c r="B1914" s="34" t="s">
        <v>1259</v>
      </c>
      <c r="C1914" s="34">
        <v>67.0</v>
      </c>
      <c r="D1914" s="34" t="s">
        <v>1260</v>
      </c>
      <c r="E1914" s="34" t="s">
        <v>4834</v>
      </c>
      <c r="F1914" s="34" t="s">
        <v>4835</v>
      </c>
      <c r="G1914" s="34">
        <v>67462.0</v>
      </c>
      <c r="H1914" s="34" t="s">
        <v>4836</v>
      </c>
      <c r="I1914" s="34" t="s">
        <v>18</v>
      </c>
      <c r="J1914" s="34" t="s">
        <v>14</v>
      </c>
      <c r="K1914" s="45">
        <v>112.0</v>
      </c>
      <c r="L1914" s="45">
        <v>90.5</v>
      </c>
      <c r="M1914" s="45">
        <v>106.6</v>
      </c>
    </row>
    <row r="1915">
      <c r="A1915" s="34" t="s">
        <v>70</v>
      </c>
      <c r="B1915" s="34" t="s">
        <v>1259</v>
      </c>
      <c r="C1915" s="34">
        <v>67.0</v>
      </c>
      <c r="D1915" s="34" t="s">
        <v>1260</v>
      </c>
      <c r="E1915" s="34" t="s">
        <v>4837</v>
      </c>
      <c r="F1915" s="34" t="s">
        <v>4838</v>
      </c>
      <c r="G1915" s="34">
        <v>67482.0</v>
      </c>
      <c r="H1915" s="34" t="s">
        <v>1259</v>
      </c>
      <c r="I1915" s="34" t="s">
        <v>17</v>
      </c>
      <c r="J1915" s="34" t="s">
        <v>15</v>
      </c>
      <c r="K1915" s="45">
        <v>110.9</v>
      </c>
      <c r="L1915" s="9"/>
      <c r="M1915" s="45">
        <v>110.9</v>
      </c>
    </row>
    <row r="1916">
      <c r="A1916" s="34" t="s">
        <v>70</v>
      </c>
      <c r="B1916" s="34" t="s">
        <v>1259</v>
      </c>
      <c r="C1916" s="34">
        <v>68.0</v>
      </c>
      <c r="D1916" s="34" t="s">
        <v>1281</v>
      </c>
      <c r="E1916" s="34" t="s">
        <v>4839</v>
      </c>
      <c r="F1916" s="34" t="s">
        <v>4840</v>
      </c>
      <c r="G1916" s="34">
        <v>68201.0</v>
      </c>
      <c r="H1916" s="34" t="s">
        <v>4841</v>
      </c>
      <c r="I1916" s="34" t="s">
        <v>18</v>
      </c>
      <c r="J1916" s="34" t="s">
        <v>13</v>
      </c>
      <c r="K1916" s="9"/>
      <c r="L1916" s="45">
        <v>81.5</v>
      </c>
      <c r="M1916" s="45">
        <v>81.5</v>
      </c>
    </row>
    <row r="1917">
      <c r="A1917" s="34" t="s">
        <v>70</v>
      </c>
      <c r="B1917" s="34" t="s">
        <v>1259</v>
      </c>
      <c r="C1917" s="34">
        <v>68.0</v>
      </c>
      <c r="D1917" s="34" t="s">
        <v>1281</v>
      </c>
      <c r="E1917" s="34" t="s">
        <v>4842</v>
      </c>
      <c r="F1917" s="34" t="s">
        <v>4843</v>
      </c>
      <c r="G1917" s="34">
        <v>68224.0</v>
      </c>
      <c r="H1917" s="34" t="s">
        <v>1292</v>
      </c>
      <c r="I1917" s="34" t="s">
        <v>18</v>
      </c>
      <c r="J1917" s="34" t="s">
        <v>13</v>
      </c>
      <c r="K1917" s="9"/>
      <c r="L1917" s="45">
        <v>73.5</v>
      </c>
      <c r="M1917" s="45">
        <v>73.5</v>
      </c>
    </row>
    <row r="1918">
      <c r="A1918" s="34" t="s">
        <v>70</v>
      </c>
      <c r="B1918" s="34" t="s">
        <v>1259</v>
      </c>
      <c r="C1918" s="34">
        <v>68.0</v>
      </c>
      <c r="D1918" s="34" t="s">
        <v>1281</v>
      </c>
      <c r="E1918" s="34" t="s">
        <v>4844</v>
      </c>
      <c r="F1918" s="34" t="s">
        <v>4845</v>
      </c>
      <c r="G1918" s="34">
        <v>68226.0</v>
      </c>
      <c r="H1918" s="34" t="s">
        <v>4846</v>
      </c>
      <c r="I1918" s="34" t="s">
        <v>18</v>
      </c>
      <c r="J1918" s="34" t="s">
        <v>15</v>
      </c>
      <c r="K1918" s="45">
        <v>118.2</v>
      </c>
      <c r="L1918" s="9"/>
      <c r="M1918" s="45">
        <v>118.2</v>
      </c>
    </row>
    <row r="1919">
      <c r="A1919" s="34" t="s">
        <v>70</v>
      </c>
      <c r="B1919" s="34" t="s">
        <v>1259</v>
      </c>
      <c r="C1919" s="34">
        <v>68.0</v>
      </c>
      <c r="D1919" s="34" t="s">
        <v>1281</v>
      </c>
      <c r="E1919" s="34" t="s">
        <v>4847</v>
      </c>
      <c r="F1919" s="34" t="s">
        <v>4848</v>
      </c>
      <c r="G1919" s="34">
        <v>68154.0</v>
      </c>
      <c r="H1919" s="34" t="s">
        <v>4849</v>
      </c>
      <c r="I1919" s="34" t="s">
        <v>18</v>
      </c>
      <c r="J1919" s="34" t="s">
        <v>13</v>
      </c>
      <c r="K1919" s="9"/>
      <c r="L1919" s="45">
        <v>76.5</v>
      </c>
      <c r="M1919" s="45">
        <v>76.5</v>
      </c>
    </row>
    <row r="1920">
      <c r="A1920" s="34" t="s">
        <v>70</v>
      </c>
      <c r="B1920" s="34" t="s">
        <v>1259</v>
      </c>
      <c r="C1920" s="34">
        <v>68.0</v>
      </c>
      <c r="D1920" s="34" t="s">
        <v>1281</v>
      </c>
      <c r="E1920" s="34" t="s">
        <v>4850</v>
      </c>
      <c r="F1920" s="34" t="s">
        <v>4851</v>
      </c>
      <c r="G1920" s="34">
        <v>68112.0</v>
      </c>
      <c r="H1920" s="34" t="s">
        <v>4852</v>
      </c>
      <c r="I1920" s="34" t="s">
        <v>18</v>
      </c>
      <c r="J1920" s="34" t="s">
        <v>14</v>
      </c>
      <c r="K1920" s="45">
        <v>114.8</v>
      </c>
      <c r="L1920" s="45">
        <v>88.7</v>
      </c>
      <c r="M1920" s="45">
        <v>93.6</v>
      </c>
    </row>
    <row r="1921">
      <c r="A1921" s="34" t="s">
        <v>70</v>
      </c>
      <c r="B1921" s="34" t="s">
        <v>1259</v>
      </c>
      <c r="C1921" s="34">
        <v>68.0</v>
      </c>
      <c r="D1921" s="34" t="s">
        <v>1281</v>
      </c>
      <c r="E1921" s="34" t="s">
        <v>4853</v>
      </c>
      <c r="F1921" s="34" t="s">
        <v>4854</v>
      </c>
      <c r="G1921" s="34">
        <v>68376.0</v>
      </c>
      <c r="H1921" s="34" t="s">
        <v>4855</v>
      </c>
      <c r="I1921" s="34" t="s">
        <v>17</v>
      </c>
      <c r="J1921" s="34" t="s">
        <v>15</v>
      </c>
      <c r="K1921" s="45">
        <v>99.9</v>
      </c>
      <c r="L1921" s="9"/>
      <c r="M1921" s="45">
        <v>99.9</v>
      </c>
    </row>
    <row r="1922">
      <c r="A1922" s="34" t="s">
        <v>70</v>
      </c>
      <c r="B1922" s="34" t="s">
        <v>71</v>
      </c>
      <c r="C1922" s="34">
        <v>69.0</v>
      </c>
      <c r="D1922" s="34" t="s">
        <v>1316</v>
      </c>
      <c r="E1922" s="34" t="s">
        <v>4856</v>
      </c>
      <c r="F1922" s="34" t="s">
        <v>4857</v>
      </c>
      <c r="G1922" s="34">
        <v>69383.0</v>
      </c>
      <c r="H1922" s="34" t="s">
        <v>4858</v>
      </c>
      <c r="I1922" s="34" t="s">
        <v>18</v>
      </c>
      <c r="J1922" s="34" t="s">
        <v>15</v>
      </c>
      <c r="K1922" s="45">
        <v>110.9</v>
      </c>
      <c r="L1922" s="9"/>
      <c r="M1922" s="45">
        <v>110.9</v>
      </c>
    </row>
    <row r="1923">
      <c r="A1923" s="34" t="s">
        <v>70</v>
      </c>
      <c r="B1923" s="34" t="s">
        <v>71</v>
      </c>
      <c r="C1923" s="34">
        <v>69.0</v>
      </c>
      <c r="D1923" s="34" t="s">
        <v>1316</v>
      </c>
      <c r="E1923" s="34" t="s">
        <v>4859</v>
      </c>
      <c r="F1923" s="34" t="s">
        <v>4860</v>
      </c>
      <c r="G1923" s="34">
        <v>69387.0</v>
      </c>
      <c r="H1923" s="34" t="s">
        <v>1353</v>
      </c>
      <c r="I1923" s="34" t="s">
        <v>18</v>
      </c>
      <c r="J1923" s="34" t="s">
        <v>13</v>
      </c>
      <c r="K1923" s="9"/>
      <c r="L1923" s="45">
        <v>80.9</v>
      </c>
      <c r="M1923" s="45">
        <v>80.9</v>
      </c>
    </row>
    <row r="1924">
      <c r="A1924" s="34" t="s">
        <v>70</v>
      </c>
      <c r="B1924" s="34" t="s">
        <v>71</v>
      </c>
      <c r="C1924" s="34">
        <v>69.0</v>
      </c>
      <c r="D1924" s="34" t="s">
        <v>1316</v>
      </c>
      <c r="E1924" s="34" t="s">
        <v>4861</v>
      </c>
      <c r="F1924" s="34" t="s">
        <v>4862</v>
      </c>
      <c r="G1924" s="34">
        <v>69149.0</v>
      </c>
      <c r="H1924" s="34" t="s">
        <v>1345</v>
      </c>
      <c r="I1924" s="34" t="s">
        <v>18</v>
      </c>
      <c r="J1924" s="34" t="s">
        <v>15</v>
      </c>
      <c r="K1924" s="45">
        <v>107.9</v>
      </c>
      <c r="L1924" s="9"/>
      <c r="M1924" s="45">
        <v>107.9</v>
      </c>
    </row>
    <row r="1925">
      <c r="A1925" s="34" t="s">
        <v>70</v>
      </c>
      <c r="B1925" s="34" t="s">
        <v>71</v>
      </c>
      <c r="C1925" s="34">
        <v>69.0</v>
      </c>
      <c r="D1925" s="34" t="s">
        <v>1316</v>
      </c>
      <c r="E1925" s="34" t="s">
        <v>4863</v>
      </c>
      <c r="F1925" s="34" t="s">
        <v>4864</v>
      </c>
      <c r="G1925" s="34">
        <v>69266.0</v>
      </c>
      <c r="H1925" s="34" t="s">
        <v>1337</v>
      </c>
      <c r="I1925" s="34" t="s">
        <v>18</v>
      </c>
      <c r="J1925" s="34" t="s">
        <v>15</v>
      </c>
      <c r="K1925" s="45">
        <v>96.9</v>
      </c>
      <c r="L1925" s="9"/>
      <c r="M1925" s="45">
        <v>96.9</v>
      </c>
    </row>
    <row r="1926">
      <c r="A1926" s="34" t="s">
        <v>70</v>
      </c>
      <c r="B1926" s="34" t="s">
        <v>71</v>
      </c>
      <c r="C1926" s="34">
        <v>69.0</v>
      </c>
      <c r="D1926" s="34" t="s">
        <v>1316</v>
      </c>
      <c r="E1926" s="34" t="s">
        <v>4865</v>
      </c>
      <c r="F1926" s="34" t="s">
        <v>2778</v>
      </c>
      <c r="G1926" s="34">
        <v>69385.0</v>
      </c>
      <c r="H1926" s="34" t="s">
        <v>1340</v>
      </c>
      <c r="I1926" s="34" t="s">
        <v>17</v>
      </c>
      <c r="J1926" s="34" t="s">
        <v>15</v>
      </c>
      <c r="K1926" s="45">
        <v>135.1</v>
      </c>
      <c r="L1926" s="9"/>
      <c r="M1926" s="45">
        <v>135.1</v>
      </c>
    </row>
    <row r="1927">
      <c r="A1927" s="34" t="s">
        <v>70</v>
      </c>
      <c r="B1927" s="34" t="s">
        <v>71</v>
      </c>
      <c r="C1927" s="34">
        <v>69.0</v>
      </c>
      <c r="D1927" s="34" t="s">
        <v>1316</v>
      </c>
      <c r="E1927" s="34" t="s">
        <v>4866</v>
      </c>
      <c r="F1927" s="34" t="s">
        <v>4867</v>
      </c>
      <c r="G1927" s="34">
        <v>69385.0</v>
      </c>
      <c r="H1927" s="34" t="s">
        <v>1340</v>
      </c>
      <c r="I1927" s="34" t="s">
        <v>17</v>
      </c>
      <c r="J1927" s="34" t="s">
        <v>15</v>
      </c>
      <c r="K1927" s="45">
        <v>148.9</v>
      </c>
      <c r="L1927" s="9"/>
      <c r="M1927" s="45">
        <v>148.9</v>
      </c>
    </row>
    <row r="1928">
      <c r="A1928" s="34" t="s">
        <v>70</v>
      </c>
      <c r="B1928" s="34" t="s">
        <v>71</v>
      </c>
      <c r="C1928" s="34">
        <v>69.0</v>
      </c>
      <c r="D1928" s="34" t="s">
        <v>1316</v>
      </c>
      <c r="E1928" s="34" t="s">
        <v>4868</v>
      </c>
      <c r="F1928" s="34" t="s">
        <v>4869</v>
      </c>
      <c r="G1928" s="34">
        <v>69387.0</v>
      </c>
      <c r="H1928" s="34" t="s">
        <v>1353</v>
      </c>
      <c r="I1928" s="34" t="s">
        <v>17</v>
      </c>
      <c r="J1928" s="34" t="s">
        <v>15</v>
      </c>
      <c r="K1928" s="45">
        <v>125.7</v>
      </c>
      <c r="L1928" s="9"/>
      <c r="M1928" s="45">
        <v>125.7</v>
      </c>
    </row>
    <row r="1929">
      <c r="A1929" s="34" t="s">
        <v>70</v>
      </c>
      <c r="B1929" s="34" t="s">
        <v>71</v>
      </c>
      <c r="C1929" s="34">
        <v>69.0</v>
      </c>
      <c r="D1929" s="34" t="s">
        <v>1316</v>
      </c>
      <c r="E1929" s="34" t="s">
        <v>4870</v>
      </c>
      <c r="F1929" s="34" t="s">
        <v>4871</v>
      </c>
      <c r="G1929" s="34">
        <v>69264.0</v>
      </c>
      <c r="H1929" s="34" t="s">
        <v>1356</v>
      </c>
      <c r="I1929" s="34" t="s">
        <v>17</v>
      </c>
      <c r="J1929" s="34" t="s">
        <v>15</v>
      </c>
      <c r="K1929" s="45">
        <v>117.0</v>
      </c>
      <c r="L1929" s="9"/>
      <c r="M1929" s="45">
        <v>117.0</v>
      </c>
    </row>
    <row r="1930">
      <c r="A1930" s="34" t="s">
        <v>70</v>
      </c>
      <c r="B1930" s="34" t="s">
        <v>71</v>
      </c>
      <c r="C1930" s="34">
        <v>69.0</v>
      </c>
      <c r="D1930" s="34" t="s">
        <v>1316</v>
      </c>
      <c r="E1930" s="34" t="s">
        <v>4872</v>
      </c>
      <c r="F1930" s="34" t="s">
        <v>4873</v>
      </c>
      <c r="G1930" s="34">
        <v>69388.0</v>
      </c>
      <c r="H1930" s="34" t="s">
        <v>1328</v>
      </c>
      <c r="I1930" s="34" t="s">
        <v>17</v>
      </c>
      <c r="J1930" s="34" t="s">
        <v>15</v>
      </c>
      <c r="K1930" s="45">
        <v>107.2</v>
      </c>
      <c r="L1930" s="9"/>
      <c r="M1930" s="45">
        <v>107.2</v>
      </c>
    </row>
    <row r="1931">
      <c r="A1931" s="34" t="s">
        <v>70</v>
      </c>
      <c r="B1931" s="34" t="s">
        <v>71</v>
      </c>
      <c r="C1931" s="34">
        <v>69.0</v>
      </c>
      <c r="D1931" s="34" t="s">
        <v>1316</v>
      </c>
      <c r="E1931" s="34" t="s">
        <v>4874</v>
      </c>
      <c r="F1931" s="34" t="s">
        <v>4875</v>
      </c>
      <c r="G1931" s="34">
        <v>69256.0</v>
      </c>
      <c r="H1931" s="34" t="s">
        <v>1383</v>
      </c>
      <c r="I1931" s="34" t="s">
        <v>17</v>
      </c>
      <c r="J1931" s="34" t="s">
        <v>13</v>
      </c>
      <c r="K1931" s="9"/>
      <c r="L1931" s="45">
        <v>92.5</v>
      </c>
      <c r="M1931" s="45">
        <v>92.5</v>
      </c>
    </row>
    <row r="1932">
      <c r="A1932" s="34" t="s">
        <v>70</v>
      </c>
      <c r="B1932" s="34" t="s">
        <v>71</v>
      </c>
      <c r="C1932" s="34">
        <v>69.0</v>
      </c>
      <c r="D1932" s="34" t="s">
        <v>1316</v>
      </c>
      <c r="E1932" s="34" t="s">
        <v>4876</v>
      </c>
      <c r="F1932" s="34" t="s">
        <v>4877</v>
      </c>
      <c r="G1932" s="34">
        <v>69383.0</v>
      </c>
      <c r="H1932" s="34" t="s">
        <v>4858</v>
      </c>
      <c r="I1932" s="34" t="s">
        <v>17</v>
      </c>
      <c r="J1932" s="34" t="s">
        <v>13</v>
      </c>
      <c r="K1932" s="9"/>
      <c r="L1932" s="45">
        <v>114.3</v>
      </c>
      <c r="M1932" s="45">
        <v>114.3</v>
      </c>
    </row>
    <row r="1933">
      <c r="A1933" s="34" t="s">
        <v>70</v>
      </c>
      <c r="B1933" s="34" t="s">
        <v>71</v>
      </c>
      <c r="C1933" s="34">
        <v>69.0</v>
      </c>
      <c r="D1933" s="34" t="s">
        <v>1316</v>
      </c>
      <c r="E1933" s="34" t="s">
        <v>4878</v>
      </c>
      <c r="F1933" s="34" t="s">
        <v>4879</v>
      </c>
      <c r="G1933" s="34">
        <v>69385.0</v>
      </c>
      <c r="H1933" s="34" t="s">
        <v>1340</v>
      </c>
      <c r="I1933" s="34" t="s">
        <v>17</v>
      </c>
      <c r="J1933" s="34" t="s">
        <v>15</v>
      </c>
      <c r="K1933" s="45">
        <v>121.1</v>
      </c>
      <c r="L1933" s="9"/>
      <c r="M1933" s="45">
        <v>121.1</v>
      </c>
    </row>
    <row r="1934">
      <c r="A1934" s="34" t="s">
        <v>70</v>
      </c>
      <c r="B1934" s="34" t="s">
        <v>71</v>
      </c>
      <c r="C1934" s="34">
        <v>69.0</v>
      </c>
      <c r="D1934" s="34" t="s">
        <v>1316</v>
      </c>
      <c r="E1934" s="34" t="s">
        <v>4880</v>
      </c>
      <c r="F1934" s="34" t="s">
        <v>4881</v>
      </c>
      <c r="G1934" s="34">
        <v>69286.0</v>
      </c>
      <c r="H1934" s="34" t="s">
        <v>3214</v>
      </c>
      <c r="I1934" s="34" t="s">
        <v>18</v>
      </c>
      <c r="J1934" s="34" t="s">
        <v>14</v>
      </c>
      <c r="K1934" s="45">
        <v>94.7</v>
      </c>
      <c r="L1934" s="45">
        <v>83.4</v>
      </c>
      <c r="M1934" s="45">
        <v>91.3</v>
      </c>
    </row>
    <row r="1935">
      <c r="A1935" s="34" t="s">
        <v>70</v>
      </c>
      <c r="B1935" s="34" t="s">
        <v>71</v>
      </c>
      <c r="C1935" s="34">
        <v>69.0</v>
      </c>
      <c r="D1935" s="34" t="s">
        <v>1316</v>
      </c>
      <c r="E1935" s="34" t="s">
        <v>4882</v>
      </c>
      <c r="F1935" s="34" t="s">
        <v>4883</v>
      </c>
      <c r="G1935" s="34">
        <v>69389.0</v>
      </c>
      <c r="H1935" s="34" t="s">
        <v>1331</v>
      </c>
      <c r="I1935" s="34" t="s">
        <v>17</v>
      </c>
      <c r="J1935" s="34" t="s">
        <v>13</v>
      </c>
      <c r="K1935" s="9"/>
      <c r="L1935" s="45">
        <v>66.0</v>
      </c>
      <c r="M1935" s="45">
        <v>66.0</v>
      </c>
    </row>
    <row r="1936">
      <c r="A1936" s="34" t="s">
        <v>70</v>
      </c>
      <c r="B1936" s="34" t="s">
        <v>71</v>
      </c>
      <c r="C1936" s="34">
        <v>69.0</v>
      </c>
      <c r="D1936" s="34" t="s">
        <v>1316</v>
      </c>
      <c r="E1936" s="34" t="s">
        <v>4884</v>
      </c>
      <c r="F1936" s="34" t="s">
        <v>4885</v>
      </c>
      <c r="G1936" s="34">
        <v>69204.0</v>
      </c>
      <c r="H1936" s="34" t="s">
        <v>4886</v>
      </c>
      <c r="I1936" s="34" t="s">
        <v>17</v>
      </c>
      <c r="J1936" s="34" t="s">
        <v>13</v>
      </c>
      <c r="K1936" s="9"/>
      <c r="L1936" s="45">
        <v>74.8</v>
      </c>
      <c r="M1936" s="45">
        <v>74.8</v>
      </c>
    </row>
    <row r="1937">
      <c r="A1937" s="34" t="s">
        <v>70</v>
      </c>
      <c r="B1937" s="34" t="s">
        <v>71</v>
      </c>
      <c r="C1937" s="34">
        <v>69.0</v>
      </c>
      <c r="D1937" s="34" t="s">
        <v>1316</v>
      </c>
      <c r="E1937" s="34" t="s">
        <v>4887</v>
      </c>
      <c r="F1937" s="34" t="s">
        <v>2569</v>
      </c>
      <c r="G1937" s="34">
        <v>69204.0</v>
      </c>
      <c r="H1937" s="34" t="s">
        <v>4886</v>
      </c>
      <c r="I1937" s="34" t="s">
        <v>18</v>
      </c>
      <c r="J1937" s="34" t="s">
        <v>15</v>
      </c>
      <c r="K1937" s="45">
        <v>128.6</v>
      </c>
      <c r="L1937" s="9"/>
      <c r="M1937" s="45">
        <v>128.6</v>
      </c>
    </row>
    <row r="1938">
      <c r="A1938" s="34" t="s">
        <v>70</v>
      </c>
      <c r="B1938" s="34" t="s">
        <v>393</v>
      </c>
      <c r="C1938" s="34">
        <v>70.0</v>
      </c>
      <c r="D1938" s="34" t="s">
        <v>1386</v>
      </c>
      <c r="E1938" s="34" t="s">
        <v>4888</v>
      </c>
      <c r="F1938" s="34" t="s">
        <v>4889</v>
      </c>
      <c r="G1938" s="34">
        <v>70561.0</v>
      </c>
      <c r="H1938" s="34" t="s">
        <v>4890</v>
      </c>
      <c r="I1938" s="34" t="s">
        <v>17</v>
      </c>
      <c r="J1938" s="34" t="s">
        <v>13</v>
      </c>
      <c r="K1938" s="9"/>
      <c r="L1938" s="45">
        <v>81.0</v>
      </c>
      <c r="M1938" s="45">
        <v>81.0</v>
      </c>
    </row>
    <row r="1939">
      <c r="A1939" s="34" t="s">
        <v>70</v>
      </c>
      <c r="B1939" s="34" t="s">
        <v>393</v>
      </c>
      <c r="C1939" s="34">
        <v>70.0</v>
      </c>
      <c r="D1939" s="34" t="s">
        <v>1386</v>
      </c>
      <c r="E1939" s="34" t="s">
        <v>4891</v>
      </c>
      <c r="F1939" s="34" t="s">
        <v>4892</v>
      </c>
      <c r="G1939" s="34">
        <v>70550.0</v>
      </c>
      <c r="H1939" s="34" t="s">
        <v>1389</v>
      </c>
      <c r="I1939" s="34" t="s">
        <v>18</v>
      </c>
      <c r="J1939" s="34" t="s">
        <v>13</v>
      </c>
      <c r="K1939" s="9"/>
      <c r="L1939" s="45">
        <v>85.4</v>
      </c>
      <c r="M1939" s="45">
        <v>85.4</v>
      </c>
    </row>
    <row r="1940">
      <c r="A1940" s="34" t="s">
        <v>70</v>
      </c>
      <c r="B1940" s="34" t="s">
        <v>393</v>
      </c>
      <c r="C1940" s="34">
        <v>70.0</v>
      </c>
      <c r="D1940" s="34" t="s">
        <v>1386</v>
      </c>
      <c r="E1940" s="34" t="s">
        <v>4893</v>
      </c>
      <c r="F1940" s="34" t="s">
        <v>4894</v>
      </c>
      <c r="G1940" s="34">
        <v>70279.0</v>
      </c>
      <c r="H1940" s="34" t="s">
        <v>3238</v>
      </c>
      <c r="I1940" s="34" t="s">
        <v>17</v>
      </c>
      <c r="J1940" s="34" t="s">
        <v>13</v>
      </c>
      <c r="K1940" s="9"/>
      <c r="L1940" s="45">
        <v>80.4</v>
      </c>
      <c r="M1940" s="45">
        <v>80.4</v>
      </c>
    </row>
    <row r="1941">
      <c r="A1941" s="34" t="s">
        <v>70</v>
      </c>
      <c r="B1941" s="34" t="s">
        <v>393</v>
      </c>
      <c r="C1941" s="34">
        <v>70.0</v>
      </c>
      <c r="D1941" s="34" t="s">
        <v>1386</v>
      </c>
      <c r="E1941" s="34" t="s">
        <v>4895</v>
      </c>
      <c r="F1941" s="34" t="s">
        <v>4896</v>
      </c>
      <c r="G1941" s="34">
        <v>70550.0</v>
      </c>
      <c r="H1941" s="34" t="s">
        <v>1389</v>
      </c>
      <c r="I1941" s="34" t="s">
        <v>18</v>
      </c>
      <c r="J1941" s="34" t="s">
        <v>15</v>
      </c>
      <c r="K1941" s="45">
        <v>109.2</v>
      </c>
      <c r="L1941" s="9"/>
      <c r="M1941" s="45">
        <v>109.2</v>
      </c>
    </row>
    <row r="1942">
      <c r="A1942" s="34" t="s">
        <v>70</v>
      </c>
      <c r="B1942" s="34" t="s">
        <v>333</v>
      </c>
      <c r="C1942" s="34">
        <v>71.0</v>
      </c>
      <c r="D1942" s="34" t="s">
        <v>1390</v>
      </c>
      <c r="E1942" s="34" t="s">
        <v>4897</v>
      </c>
      <c r="F1942" s="34" t="s">
        <v>4898</v>
      </c>
      <c r="G1942" s="34">
        <v>71076.0</v>
      </c>
      <c r="H1942" s="34" t="s">
        <v>3254</v>
      </c>
      <c r="I1942" s="34" t="s">
        <v>18</v>
      </c>
      <c r="J1942" s="34" t="s">
        <v>14</v>
      </c>
      <c r="K1942" s="45">
        <v>104.6</v>
      </c>
      <c r="L1942" s="45">
        <v>79.4</v>
      </c>
      <c r="M1942" s="45">
        <v>102.1</v>
      </c>
    </row>
    <row r="1943">
      <c r="A1943" s="34" t="s">
        <v>70</v>
      </c>
      <c r="B1943" s="34" t="s">
        <v>333</v>
      </c>
      <c r="C1943" s="34">
        <v>71.0</v>
      </c>
      <c r="D1943" s="34" t="s">
        <v>1390</v>
      </c>
      <c r="E1943" s="34" t="s">
        <v>4899</v>
      </c>
      <c r="F1943" s="34" t="s">
        <v>4900</v>
      </c>
      <c r="G1943" s="34">
        <v>71270.0</v>
      </c>
      <c r="H1943" s="34" t="s">
        <v>3251</v>
      </c>
      <c r="I1943" s="34" t="s">
        <v>18</v>
      </c>
      <c r="J1943" s="34" t="s">
        <v>15</v>
      </c>
      <c r="K1943" s="45">
        <v>109.6</v>
      </c>
      <c r="L1943" s="9"/>
      <c r="M1943" s="45">
        <v>109.6</v>
      </c>
    </row>
    <row r="1944">
      <c r="A1944" s="34" t="s">
        <v>70</v>
      </c>
      <c r="B1944" s="34" t="s">
        <v>333</v>
      </c>
      <c r="C1944" s="34">
        <v>71.0</v>
      </c>
      <c r="D1944" s="34" t="s">
        <v>1390</v>
      </c>
      <c r="E1944" s="34" t="s">
        <v>4901</v>
      </c>
      <c r="F1944" s="34" t="s">
        <v>4902</v>
      </c>
      <c r="G1944" s="34">
        <v>71543.0</v>
      </c>
      <c r="H1944" s="34" t="s">
        <v>4903</v>
      </c>
      <c r="I1944" s="34" t="s">
        <v>18</v>
      </c>
      <c r="J1944" s="34" t="s">
        <v>15</v>
      </c>
      <c r="K1944" s="45">
        <v>113.9</v>
      </c>
      <c r="L1944" s="9"/>
      <c r="M1944" s="45">
        <v>113.9</v>
      </c>
    </row>
    <row r="1945">
      <c r="A1945" s="34" t="s">
        <v>70</v>
      </c>
      <c r="B1945" s="34" t="s">
        <v>333</v>
      </c>
      <c r="C1945" s="34">
        <v>71.0</v>
      </c>
      <c r="D1945" s="34" t="s">
        <v>1390</v>
      </c>
      <c r="E1945" s="34" t="s">
        <v>4904</v>
      </c>
      <c r="F1945" s="34" t="s">
        <v>814</v>
      </c>
      <c r="G1945" s="34">
        <v>71176.0</v>
      </c>
      <c r="H1945" s="34" t="s">
        <v>4905</v>
      </c>
      <c r="I1945" s="34" t="s">
        <v>18</v>
      </c>
      <c r="J1945" s="34" t="s">
        <v>15</v>
      </c>
      <c r="K1945" s="45">
        <v>102.3</v>
      </c>
      <c r="L1945" s="9"/>
      <c r="M1945" s="45">
        <v>102.3</v>
      </c>
    </row>
    <row r="1946">
      <c r="A1946" s="34" t="s">
        <v>70</v>
      </c>
      <c r="B1946" s="34" t="s">
        <v>779</v>
      </c>
      <c r="C1946" s="34">
        <v>72.0</v>
      </c>
      <c r="D1946" s="34" t="s">
        <v>1397</v>
      </c>
      <c r="E1946" s="34" t="s">
        <v>4906</v>
      </c>
      <c r="F1946" s="34" t="s">
        <v>4907</v>
      </c>
      <c r="G1946" s="34">
        <v>72181.0</v>
      </c>
      <c r="H1946" s="34" t="s">
        <v>1403</v>
      </c>
      <c r="I1946" s="34" t="s">
        <v>18</v>
      </c>
      <c r="J1946" s="34" t="s">
        <v>14</v>
      </c>
      <c r="K1946" s="45">
        <v>110.2</v>
      </c>
      <c r="L1946" s="45">
        <v>82.1</v>
      </c>
      <c r="M1946" s="45">
        <v>103.7</v>
      </c>
    </row>
    <row r="1947">
      <c r="A1947" s="34" t="s">
        <v>70</v>
      </c>
      <c r="B1947" s="34" t="s">
        <v>779</v>
      </c>
      <c r="C1947" s="34">
        <v>72.0</v>
      </c>
      <c r="D1947" s="34" t="s">
        <v>1397</v>
      </c>
      <c r="E1947" s="34" t="s">
        <v>4908</v>
      </c>
      <c r="F1947" s="34" t="s">
        <v>4909</v>
      </c>
      <c r="G1947" s="34">
        <v>72181.0</v>
      </c>
      <c r="H1947" s="34" t="s">
        <v>1403</v>
      </c>
      <c r="I1947" s="34" t="s">
        <v>18</v>
      </c>
      <c r="J1947" s="34" t="s">
        <v>13</v>
      </c>
      <c r="K1947" s="9"/>
      <c r="L1947" s="45">
        <v>79.8</v>
      </c>
      <c r="M1947" s="45">
        <v>79.8</v>
      </c>
    </row>
    <row r="1948">
      <c r="A1948" s="34" t="s">
        <v>70</v>
      </c>
      <c r="B1948" s="34" t="s">
        <v>779</v>
      </c>
      <c r="C1948" s="34">
        <v>72.0</v>
      </c>
      <c r="D1948" s="34" t="s">
        <v>1397</v>
      </c>
      <c r="E1948" s="34" t="s">
        <v>4910</v>
      </c>
      <c r="F1948" s="34" t="s">
        <v>2197</v>
      </c>
      <c r="G1948" s="34">
        <v>72154.0</v>
      </c>
      <c r="H1948" s="34" t="s">
        <v>3262</v>
      </c>
      <c r="I1948" s="34" t="s">
        <v>17</v>
      </c>
      <c r="J1948" s="34" t="s">
        <v>15</v>
      </c>
      <c r="K1948" s="45">
        <v>104.5</v>
      </c>
      <c r="L1948" s="9"/>
      <c r="M1948" s="45">
        <v>104.5</v>
      </c>
    </row>
    <row r="1949">
      <c r="A1949" s="34" t="s">
        <v>70</v>
      </c>
      <c r="B1949" s="34" t="s">
        <v>779</v>
      </c>
      <c r="C1949" s="34">
        <v>72.0</v>
      </c>
      <c r="D1949" s="34" t="s">
        <v>1397</v>
      </c>
      <c r="E1949" s="34" t="s">
        <v>4911</v>
      </c>
      <c r="F1949" s="34" t="s">
        <v>4912</v>
      </c>
      <c r="G1949" s="34">
        <v>72269.0</v>
      </c>
      <c r="H1949" s="34" t="s">
        <v>4913</v>
      </c>
      <c r="I1949" s="34" t="s">
        <v>18</v>
      </c>
      <c r="J1949" s="34" t="s">
        <v>13</v>
      </c>
      <c r="K1949" s="9"/>
      <c r="L1949" s="45">
        <v>82.8</v>
      </c>
      <c r="M1949" s="45">
        <v>82.8</v>
      </c>
    </row>
    <row r="1950">
      <c r="A1950" s="34" t="s">
        <v>70</v>
      </c>
      <c r="B1950" s="34" t="s">
        <v>779</v>
      </c>
      <c r="C1950" s="34">
        <v>72.0</v>
      </c>
      <c r="D1950" s="34" t="s">
        <v>1397</v>
      </c>
      <c r="E1950" s="34" t="s">
        <v>4914</v>
      </c>
      <c r="F1950" s="34" t="s">
        <v>4915</v>
      </c>
      <c r="G1950" s="34">
        <v>72181.0</v>
      </c>
      <c r="H1950" s="34" t="s">
        <v>1403</v>
      </c>
      <c r="I1950" s="34" t="s">
        <v>18</v>
      </c>
      <c r="J1950" s="34" t="s">
        <v>15</v>
      </c>
      <c r="K1950" s="45">
        <v>109.1</v>
      </c>
      <c r="L1950" s="9"/>
      <c r="M1950" s="45">
        <v>109.1</v>
      </c>
    </row>
    <row r="1951">
      <c r="A1951" s="34" t="s">
        <v>70</v>
      </c>
      <c r="B1951" s="34" t="s">
        <v>161</v>
      </c>
      <c r="C1951" s="34">
        <v>73.0</v>
      </c>
      <c r="D1951" s="34" t="s">
        <v>1404</v>
      </c>
      <c r="E1951" s="34" t="s">
        <v>4916</v>
      </c>
      <c r="F1951" s="34" t="s">
        <v>2446</v>
      </c>
      <c r="G1951" s="34">
        <v>73011.0</v>
      </c>
      <c r="H1951" s="34" t="s">
        <v>3285</v>
      </c>
      <c r="I1951" s="34" t="s">
        <v>18</v>
      </c>
      <c r="J1951" s="34" t="s">
        <v>14</v>
      </c>
      <c r="K1951" s="45">
        <v>111.8</v>
      </c>
      <c r="L1951" s="45">
        <v>80.0</v>
      </c>
      <c r="M1951" s="45">
        <v>110.9</v>
      </c>
    </row>
    <row r="1952">
      <c r="A1952" s="34" t="s">
        <v>70</v>
      </c>
      <c r="B1952" s="34" t="s">
        <v>161</v>
      </c>
      <c r="C1952" s="34">
        <v>73.0</v>
      </c>
      <c r="D1952" s="34" t="s">
        <v>1404</v>
      </c>
      <c r="E1952" s="34" t="s">
        <v>4917</v>
      </c>
      <c r="F1952" s="34" t="s">
        <v>4918</v>
      </c>
      <c r="G1952" s="34">
        <v>73065.0</v>
      </c>
      <c r="H1952" s="34" t="s">
        <v>1410</v>
      </c>
      <c r="I1952" s="34" t="s">
        <v>18</v>
      </c>
      <c r="J1952" s="34" t="s">
        <v>15</v>
      </c>
      <c r="K1952" s="45">
        <v>129.8</v>
      </c>
      <c r="L1952" s="9"/>
      <c r="M1952" s="45">
        <v>129.8</v>
      </c>
    </row>
    <row r="1953">
      <c r="A1953" s="34" t="s">
        <v>70</v>
      </c>
      <c r="B1953" s="34" t="s">
        <v>161</v>
      </c>
      <c r="C1953" s="34">
        <v>73.0</v>
      </c>
      <c r="D1953" s="34" t="s">
        <v>1404</v>
      </c>
      <c r="E1953" s="34" t="s">
        <v>4919</v>
      </c>
      <c r="F1953" s="34" t="s">
        <v>4920</v>
      </c>
      <c r="G1953" s="34">
        <v>73261.0</v>
      </c>
      <c r="H1953" s="34" t="s">
        <v>4921</v>
      </c>
      <c r="I1953" s="34" t="s">
        <v>18</v>
      </c>
      <c r="J1953" s="34" t="s">
        <v>13</v>
      </c>
      <c r="K1953" s="9"/>
      <c r="L1953" s="45">
        <v>118.7</v>
      </c>
      <c r="M1953" s="45">
        <v>118.7</v>
      </c>
    </row>
    <row r="1954">
      <c r="A1954" s="34" t="s">
        <v>70</v>
      </c>
      <c r="B1954" s="34" t="s">
        <v>161</v>
      </c>
      <c r="C1954" s="34">
        <v>73.0</v>
      </c>
      <c r="D1954" s="34" t="s">
        <v>1404</v>
      </c>
      <c r="E1954" s="34" t="s">
        <v>4922</v>
      </c>
      <c r="F1954" s="34" t="s">
        <v>4923</v>
      </c>
      <c r="G1954" s="34">
        <v>73303.0</v>
      </c>
      <c r="H1954" s="34" t="s">
        <v>4924</v>
      </c>
      <c r="I1954" s="34" t="s">
        <v>18</v>
      </c>
      <c r="J1954" s="34" t="s">
        <v>14</v>
      </c>
      <c r="K1954" s="45">
        <v>115.1</v>
      </c>
      <c r="L1954" s="45">
        <v>91.2</v>
      </c>
      <c r="M1954" s="45">
        <v>108.0</v>
      </c>
    </row>
    <row r="1955">
      <c r="A1955" s="34" t="s">
        <v>70</v>
      </c>
      <c r="B1955" s="34" t="s">
        <v>161</v>
      </c>
      <c r="C1955" s="34">
        <v>74.0</v>
      </c>
      <c r="D1955" s="34" t="s">
        <v>1419</v>
      </c>
      <c r="E1955" s="34" t="s">
        <v>4925</v>
      </c>
      <c r="F1955" s="34" t="s">
        <v>4926</v>
      </c>
      <c r="G1955" s="34">
        <v>74010.0</v>
      </c>
      <c r="H1955" s="34" t="s">
        <v>1440</v>
      </c>
      <c r="I1955" s="34" t="s">
        <v>18</v>
      </c>
      <c r="J1955" s="34" t="s">
        <v>15</v>
      </c>
      <c r="K1955" s="45">
        <v>121.0</v>
      </c>
      <c r="L1955" s="9"/>
      <c r="M1955" s="45">
        <v>121.0</v>
      </c>
    </row>
    <row r="1956">
      <c r="A1956" s="34" t="s">
        <v>70</v>
      </c>
      <c r="B1956" s="34" t="s">
        <v>161</v>
      </c>
      <c r="C1956" s="34">
        <v>74.0</v>
      </c>
      <c r="D1956" s="34" t="s">
        <v>1419</v>
      </c>
      <c r="E1956" s="34" t="s">
        <v>4927</v>
      </c>
      <c r="F1956" s="34" t="s">
        <v>4928</v>
      </c>
      <c r="G1956" s="34">
        <v>74208.0</v>
      </c>
      <c r="H1956" s="34" t="s">
        <v>4929</v>
      </c>
      <c r="I1956" s="34" t="s">
        <v>18</v>
      </c>
      <c r="J1956" s="34" t="s">
        <v>14</v>
      </c>
      <c r="K1956" s="45">
        <v>120.8</v>
      </c>
      <c r="L1956" s="45">
        <v>93.2</v>
      </c>
      <c r="M1956" s="45">
        <v>117.3</v>
      </c>
    </row>
    <row r="1957">
      <c r="A1957" s="34" t="s">
        <v>70</v>
      </c>
      <c r="B1957" s="34" t="s">
        <v>161</v>
      </c>
      <c r="C1957" s="34">
        <v>74.0</v>
      </c>
      <c r="D1957" s="34" t="s">
        <v>1419</v>
      </c>
      <c r="E1957" s="34" t="s">
        <v>4930</v>
      </c>
      <c r="F1957" s="34" t="s">
        <v>4931</v>
      </c>
      <c r="G1957" s="34">
        <v>74010.0</v>
      </c>
      <c r="H1957" s="34" t="s">
        <v>1440</v>
      </c>
      <c r="I1957" s="34" t="s">
        <v>18</v>
      </c>
      <c r="J1957" s="34" t="s">
        <v>14</v>
      </c>
      <c r="K1957" s="45">
        <v>78.8</v>
      </c>
      <c r="L1957" s="45">
        <v>84.7</v>
      </c>
      <c r="M1957" s="45">
        <v>84.5</v>
      </c>
    </row>
    <row r="1958">
      <c r="A1958" s="34" t="s">
        <v>70</v>
      </c>
      <c r="B1958" s="34" t="s">
        <v>161</v>
      </c>
      <c r="C1958" s="34">
        <v>74.0</v>
      </c>
      <c r="D1958" s="34" t="s">
        <v>1419</v>
      </c>
      <c r="E1958" s="34" t="s">
        <v>4932</v>
      </c>
      <c r="F1958" s="34" t="s">
        <v>4933</v>
      </c>
      <c r="G1958" s="34">
        <v>74010.0</v>
      </c>
      <c r="H1958" s="34" t="s">
        <v>1440</v>
      </c>
      <c r="I1958" s="34" t="s">
        <v>18</v>
      </c>
      <c r="J1958" s="34" t="s">
        <v>13</v>
      </c>
      <c r="K1958" s="9"/>
      <c r="L1958" s="45">
        <v>88.2</v>
      </c>
      <c r="M1958" s="45">
        <v>88.2</v>
      </c>
    </row>
    <row r="1959">
      <c r="A1959" s="34" t="s">
        <v>70</v>
      </c>
      <c r="B1959" s="34" t="s">
        <v>161</v>
      </c>
      <c r="C1959" s="34">
        <v>74.0</v>
      </c>
      <c r="D1959" s="34" t="s">
        <v>1419</v>
      </c>
      <c r="E1959" s="34" t="s">
        <v>4934</v>
      </c>
      <c r="F1959" s="34" t="s">
        <v>555</v>
      </c>
      <c r="G1959" s="34">
        <v>74280.0</v>
      </c>
      <c r="H1959" s="34" t="s">
        <v>4935</v>
      </c>
      <c r="I1959" s="34" t="s">
        <v>17</v>
      </c>
      <c r="J1959" s="34" t="s">
        <v>15</v>
      </c>
      <c r="K1959" s="45">
        <v>128.4</v>
      </c>
      <c r="L1959" s="9"/>
      <c r="M1959" s="45">
        <v>128.4</v>
      </c>
    </row>
    <row r="1960">
      <c r="A1960" s="34" t="s">
        <v>70</v>
      </c>
      <c r="B1960" s="34" t="s">
        <v>161</v>
      </c>
      <c r="C1960" s="34">
        <v>74.0</v>
      </c>
      <c r="D1960" s="34" t="s">
        <v>1419</v>
      </c>
      <c r="E1960" s="34" t="s">
        <v>4936</v>
      </c>
      <c r="F1960" s="34" t="s">
        <v>4937</v>
      </c>
      <c r="G1960" s="34">
        <v>74241.0</v>
      </c>
      <c r="H1960" s="34" t="s">
        <v>4938</v>
      </c>
      <c r="I1960" s="34" t="s">
        <v>17</v>
      </c>
      <c r="J1960" s="34" t="s">
        <v>13</v>
      </c>
      <c r="K1960" s="9"/>
      <c r="L1960" s="45">
        <v>96.0</v>
      </c>
      <c r="M1960" s="45">
        <v>96.0</v>
      </c>
    </row>
    <row r="1961">
      <c r="A1961" s="34" t="s">
        <v>70</v>
      </c>
      <c r="B1961" s="34" t="s">
        <v>161</v>
      </c>
      <c r="C1961" s="34">
        <v>74.0</v>
      </c>
      <c r="D1961" s="34" t="s">
        <v>1419</v>
      </c>
      <c r="E1961" s="34" t="s">
        <v>4939</v>
      </c>
      <c r="F1961" s="34" t="s">
        <v>4940</v>
      </c>
      <c r="G1961" s="34">
        <v>74010.0</v>
      </c>
      <c r="H1961" s="34" t="s">
        <v>1440</v>
      </c>
      <c r="I1961" s="34" t="s">
        <v>17</v>
      </c>
      <c r="J1961" s="34" t="s">
        <v>14</v>
      </c>
      <c r="K1961" s="45">
        <v>107.3</v>
      </c>
      <c r="L1961" s="45">
        <v>93.2</v>
      </c>
      <c r="M1961" s="45">
        <v>98.5</v>
      </c>
    </row>
    <row r="1962">
      <c r="A1962" s="34" t="s">
        <v>70</v>
      </c>
      <c r="B1962" s="34" t="s">
        <v>161</v>
      </c>
      <c r="C1962" s="34">
        <v>74.0</v>
      </c>
      <c r="D1962" s="34" t="s">
        <v>1419</v>
      </c>
      <c r="E1962" s="34" t="s">
        <v>4941</v>
      </c>
      <c r="F1962" s="34" t="s">
        <v>4942</v>
      </c>
      <c r="G1962" s="34">
        <v>74010.0</v>
      </c>
      <c r="H1962" s="34" t="s">
        <v>1440</v>
      </c>
      <c r="I1962" s="34" t="s">
        <v>17</v>
      </c>
      <c r="J1962" s="34" t="s">
        <v>13</v>
      </c>
      <c r="K1962" s="9"/>
      <c r="L1962" s="45">
        <v>99.2</v>
      </c>
      <c r="M1962" s="45">
        <v>99.2</v>
      </c>
    </row>
    <row r="1963">
      <c r="A1963" s="34" t="s">
        <v>70</v>
      </c>
      <c r="B1963" s="34" t="s">
        <v>161</v>
      </c>
      <c r="C1963" s="34">
        <v>74.0</v>
      </c>
      <c r="D1963" s="34" t="s">
        <v>1419</v>
      </c>
      <c r="E1963" s="34" t="s">
        <v>4943</v>
      </c>
      <c r="F1963" s="34" t="s">
        <v>4944</v>
      </c>
      <c r="G1963" s="34">
        <v>74224.0</v>
      </c>
      <c r="H1963" s="34" t="s">
        <v>4945</v>
      </c>
      <c r="I1963" s="34" t="s">
        <v>17</v>
      </c>
      <c r="J1963" s="34" t="s">
        <v>13</v>
      </c>
      <c r="K1963" s="9"/>
      <c r="L1963" s="45">
        <v>103.0</v>
      </c>
      <c r="M1963" s="45">
        <v>103.0</v>
      </c>
    </row>
    <row r="1964">
      <c r="A1964" s="34" t="s">
        <v>70</v>
      </c>
      <c r="B1964" s="34" t="s">
        <v>1441</v>
      </c>
      <c r="C1964" s="34">
        <v>75.0</v>
      </c>
      <c r="D1964" s="34" t="s">
        <v>1441</v>
      </c>
      <c r="E1964" s="34" t="s">
        <v>4946</v>
      </c>
      <c r="F1964" s="34" t="s">
        <v>4947</v>
      </c>
      <c r="G1964" s="34">
        <v>75115.0</v>
      </c>
      <c r="H1964" s="34" t="s">
        <v>1501</v>
      </c>
      <c r="I1964" s="34" t="s">
        <v>18</v>
      </c>
      <c r="J1964" s="34" t="s">
        <v>13</v>
      </c>
      <c r="K1964" s="9"/>
      <c r="L1964" s="45">
        <v>78.8</v>
      </c>
      <c r="M1964" s="45">
        <v>78.8</v>
      </c>
    </row>
    <row r="1965">
      <c r="A1965" s="34" t="s">
        <v>70</v>
      </c>
      <c r="B1965" s="34" t="s">
        <v>1441</v>
      </c>
      <c r="C1965" s="34">
        <v>75.0</v>
      </c>
      <c r="D1965" s="34" t="s">
        <v>1441</v>
      </c>
      <c r="E1965" s="34" t="s">
        <v>4948</v>
      </c>
      <c r="F1965" s="34" t="s">
        <v>4949</v>
      </c>
      <c r="G1965" s="34">
        <v>75106.0</v>
      </c>
      <c r="H1965" s="34" t="s">
        <v>1495</v>
      </c>
      <c r="I1965" s="34" t="s">
        <v>18</v>
      </c>
      <c r="J1965" s="34" t="s">
        <v>14</v>
      </c>
      <c r="K1965" s="45">
        <v>141.0</v>
      </c>
      <c r="L1965" s="45">
        <v>100.9</v>
      </c>
      <c r="M1965" s="45">
        <v>126.8</v>
      </c>
    </row>
    <row r="1966">
      <c r="A1966" s="34" t="s">
        <v>70</v>
      </c>
      <c r="B1966" s="34" t="s">
        <v>1441</v>
      </c>
      <c r="C1966" s="34">
        <v>75.0</v>
      </c>
      <c r="D1966" s="34" t="s">
        <v>1441</v>
      </c>
      <c r="E1966" s="34" t="s">
        <v>4950</v>
      </c>
      <c r="F1966" s="34" t="s">
        <v>4951</v>
      </c>
      <c r="G1966" s="34">
        <v>75105.0</v>
      </c>
      <c r="H1966" s="34" t="s">
        <v>1444</v>
      </c>
      <c r="I1966" s="34" t="s">
        <v>18</v>
      </c>
      <c r="J1966" s="34" t="s">
        <v>15</v>
      </c>
      <c r="K1966" s="45">
        <v>137.2</v>
      </c>
      <c r="L1966" s="9"/>
      <c r="M1966" s="45">
        <v>137.2</v>
      </c>
    </row>
    <row r="1967">
      <c r="A1967" s="34" t="s">
        <v>70</v>
      </c>
      <c r="B1967" s="34" t="s">
        <v>1441</v>
      </c>
      <c r="C1967" s="34">
        <v>75.0</v>
      </c>
      <c r="D1967" s="34" t="s">
        <v>1441</v>
      </c>
      <c r="E1967" s="34" t="s">
        <v>4952</v>
      </c>
      <c r="F1967" s="34" t="s">
        <v>4953</v>
      </c>
      <c r="G1967" s="34">
        <v>75106.0</v>
      </c>
      <c r="H1967" s="34" t="s">
        <v>1495</v>
      </c>
      <c r="I1967" s="34" t="s">
        <v>18</v>
      </c>
      <c r="J1967" s="34" t="s">
        <v>15</v>
      </c>
      <c r="K1967" s="45">
        <v>131.7</v>
      </c>
      <c r="L1967" s="9"/>
      <c r="M1967" s="45">
        <v>131.7</v>
      </c>
    </row>
    <row r="1968">
      <c r="A1968" s="34" t="s">
        <v>70</v>
      </c>
      <c r="B1968" s="34" t="s">
        <v>1441</v>
      </c>
      <c r="C1968" s="34">
        <v>75.0</v>
      </c>
      <c r="D1968" s="34" t="s">
        <v>1441</v>
      </c>
      <c r="E1968" s="34" t="s">
        <v>4954</v>
      </c>
      <c r="F1968" s="34" t="s">
        <v>2920</v>
      </c>
      <c r="G1968" s="34">
        <v>75106.0</v>
      </c>
      <c r="H1968" s="34" t="s">
        <v>1495</v>
      </c>
      <c r="I1968" s="34" t="s">
        <v>18</v>
      </c>
      <c r="J1968" s="34" t="s">
        <v>15</v>
      </c>
      <c r="K1968" s="45">
        <v>144.2</v>
      </c>
      <c r="L1968" s="9"/>
      <c r="M1968" s="45">
        <v>144.2</v>
      </c>
    </row>
    <row r="1969">
      <c r="A1969" s="34" t="s">
        <v>70</v>
      </c>
      <c r="B1969" s="34" t="s">
        <v>1441</v>
      </c>
      <c r="C1969" s="34">
        <v>75.0</v>
      </c>
      <c r="D1969" s="34" t="s">
        <v>1441</v>
      </c>
      <c r="E1969" s="34" t="s">
        <v>4955</v>
      </c>
      <c r="F1969" s="34" t="s">
        <v>4956</v>
      </c>
      <c r="G1969" s="34">
        <v>75109.0</v>
      </c>
      <c r="H1969" s="34" t="s">
        <v>1455</v>
      </c>
      <c r="I1969" s="34" t="s">
        <v>18</v>
      </c>
      <c r="J1969" s="34" t="s">
        <v>15</v>
      </c>
      <c r="K1969" s="45">
        <v>121.9</v>
      </c>
      <c r="L1969" s="9"/>
      <c r="M1969" s="45">
        <v>121.9</v>
      </c>
    </row>
    <row r="1970">
      <c r="A1970" s="34" t="s">
        <v>70</v>
      </c>
      <c r="B1970" s="34" t="s">
        <v>1441</v>
      </c>
      <c r="C1970" s="34">
        <v>75.0</v>
      </c>
      <c r="D1970" s="34" t="s">
        <v>1441</v>
      </c>
      <c r="E1970" s="34" t="s">
        <v>4957</v>
      </c>
      <c r="F1970" s="34" t="s">
        <v>4958</v>
      </c>
      <c r="G1970" s="34">
        <v>75109.0</v>
      </c>
      <c r="H1970" s="34" t="s">
        <v>1455</v>
      </c>
      <c r="I1970" s="34" t="s">
        <v>18</v>
      </c>
      <c r="J1970" s="34" t="s">
        <v>15</v>
      </c>
      <c r="K1970" s="45">
        <v>126.1</v>
      </c>
      <c r="L1970" s="9"/>
      <c r="M1970" s="45">
        <v>126.1</v>
      </c>
    </row>
    <row r="1971">
      <c r="A1971" s="34" t="s">
        <v>70</v>
      </c>
      <c r="B1971" s="34" t="s">
        <v>1441</v>
      </c>
      <c r="C1971" s="34">
        <v>75.0</v>
      </c>
      <c r="D1971" s="34" t="s">
        <v>1441</v>
      </c>
      <c r="E1971" s="34" t="s">
        <v>4959</v>
      </c>
      <c r="F1971" s="34" t="s">
        <v>4960</v>
      </c>
      <c r="G1971" s="34">
        <v>75109.0</v>
      </c>
      <c r="H1971" s="34" t="s">
        <v>1455</v>
      </c>
      <c r="I1971" s="34" t="s">
        <v>18</v>
      </c>
      <c r="J1971" s="34" t="s">
        <v>14</v>
      </c>
      <c r="K1971" s="45">
        <v>105.9</v>
      </c>
      <c r="L1971" s="45">
        <v>78.6</v>
      </c>
      <c r="M1971" s="45">
        <v>96.7</v>
      </c>
    </row>
    <row r="1972">
      <c r="A1972" s="34" t="s">
        <v>70</v>
      </c>
      <c r="B1972" s="34" t="s">
        <v>1441</v>
      </c>
      <c r="C1972" s="34">
        <v>75.0</v>
      </c>
      <c r="D1972" s="34" t="s">
        <v>1441</v>
      </c>
      <c r="E1972" s="34" t="s">
        <v>4961</v>
      </c>
      <c r="F1972" s="34" t="s">
        <v>4962</v>
      </c>
      <c r="G1972" s="34">
        <v>75110.0</v>
      </c>
      <c r="H1972" s="34" t="s">
        <v>1460</v>
      </c>
      <c r="I1972" s="34" t="s">
        <v>18</v>
      </c>
      <c r="J1972" s="34" t="s">
        <v>15</v>
      </c>
      <c r="K1972" s="45">
        <v>87.7</v>
      </c>
      <c r="L1972" s="9"/>
      <c r="M1972" s="45">
        <v>87.7</v>
      </c>
    </row>
    <row r="1973">
      <c r="A1973" s="34" t="s">
        <v>70</v>
      </c>
      <c r="B1973" s="34" t="s">
        <v>1441</v>
      </c>
      <c r="C1973" s="34">
        <v>75.0</v>
      </c>
      <c r="D1973" s="34" t="s">
        <v>1441</v>
      </c>
      <c r="E1973" s="34" t="s">
        <v>4963</v>
      </c>
      <c r="F1973" s="34" t="s">
        <v>4518</v>
      </c>
      <c r="G1973" s="34">
        <v>75111.0</v>
      </c>
      <c r="H1973" s="34" t="s">
        <v>3362</v>
      </c>
      <c r="I1973" s="34" t="s">
        <v>18</v>
      </c>
      <c r="J1973" s="34" t="s">
        <v>15</v>
      </c>
      <c r="K1973" s="45">
        <v>112.4</v>
      </c>
      <c r="L1973" s="9"/>
      <c r="M1973" s="45">
        <v>112.4</v>
      </c>
    </row>
    <row r="1974">
      <c r="A1974" s="34" t="s">
        <v>70</v>
      </c>
      <c r="B1974" s="34" t="s">
        <v>1441</v>
      </c>
      <c r="C1974" s="34">
        <v>75.0</v>
      </c>
      <c r="D1974" s="34" t="s">
        <v>1441</v>
      </c>
      <c r="E1974" s="34" t="s">
        <v>4964</v>
      </c>
      <c r="F1974" s="34" t="s">
        <v>4965</v>
      </c>
      <c r="G1974" s="34">
        <v>75111.0</v>
      </c>
      <c r="H1974" s="34" t="s">
        <v>3362</v>
      </c>
      <c r="I1974" s="34" t="s">
        <v>18</v>
      </c>
      <c r="J1974" s="34" t="s">
        <v>14</v>
      </c>
      <c r="K1974" s="45">
        <v>112.5</v>
      </c>
      <c r="L1974" s="45">
        <v>99.3</v>
      </c>
      <c r="M1974" s="45">
        <v>109.8</v>
      </c>
    </row>
    <row r="1975">
      <c r="A1975" s="34" t="s">
        <v>70</v>
      </c>
      <c r="B1975" s="34" t="s">
        <v>1441</v>
      </c>
      <c r="C1975" s="34">
        <v>75.0</v>
      </c>
      <c r="D1975" s="34" t="s">
        <v>1441</v>
      </c>
      <c r="E1975" s="34" t="s">
        <v>4966</v>
      </c>
      <c r="F1975" s="34" t="s">
        <v>4967</v>
      </c>
      <c r="G1975" s="34">
        <v>75116.0</v>
      </c>
      <c r="H1975" s="34" t="s">
        <v>1466</v>
      </c>
      <c r="I1975" s="34" t="s">
        <v>18</v>
      </c>
      <c r="J1975" s="34" t="s">
        <v>15</v>
      </c>
      <c r="K1975" s="45">
        <v>141.1</v>
      </c>
      <c r="L1975" s="9"/>
      <c r="M1975" s="45">
        <v>141.1</v>
      </c>
    </row>
    <row r="1976">
      <c r="A1976" s="34" t="s">
        <v>70</v>
      </c>
      <c r="B1976" s="34" t="s">
        <v>1441</v>
      </c>
      <c r="C1976" s="34">
        <v>75.0</v>
      </c>
      <c r="D1976" s="34" t="s">
        <v>1441</v>
      </c>
      <c r="E1976" s="34" t="s">
        <v>4968</v>
      </c>
      <c r="F1976" s="34" t="s">
        <v>4969</v>
      </c>
      <c r="G1976" s="34">
        <v>75119.0</v>
      </c>
      <c r="H1976" s="34" t="s">
        <v>1471</v>
      </c>
      <c r="I1976" s="34" t="s">
        <v>18</v>
      </c>
      <c r="J1976" s="34" t="s">
        <v>14</v>
      </c>
      <c r="K1976" s="45">
        <v>107.3</v>
      </c>
      <c r="L1976" s="45">
        <v>94.9</v>
      </c>
      <c r="M1976" s="45">
        <v>104.7</v>
      </c>
    </row>
    <row r="1977">
      <c r="A1977" s="34" t="s">
        <v>70</v>
      </c>
      <c r="B1977" s="34" t="s">
        <v>1441</v>
      </c>
      <c r="C1977" s="34">
        <v>75.0</v>
      </c>
      <c r="D1977" s="34" t="s">
        <v>1441</v>
      </c>
      <c r="E1977" s="34" t="s">
        <v>4970</v>
      </c>
      <c r="F1977" s="34" t="s">
        <v>4971</v>
      </c>
      <c r="G1977" s="34">
        <v>75110.0</v>
      </c>
      <c r="H1977" s="34" t="s">
        <v>1460</v>
      </c>
      <c r="I1977" s="34" t="s">
        <v>18</v>
      </c>
      <c r="J1977" s="34" t="s">
        <v>13</v>
      </c>
      <c r="K1977" s="9"/>
      <c r="L1977" s="45">
        <v>87.2</v>
      </c>
      <c r="M1977" s="45">
        <v>87.2</v>
      </c>
    </row>
    <row r="1978">
      <c r="A1978" s="34" t="s">
        <v>70</v>
      </c>
      <c r="B1978" s="34" t="s">
        <v>1441</v>
      </c>
      <c r="C1978" s="34">
        <v>75.0</v>
      </c>
      <c r="D1978" s="34" t="s">
        <v>1441</v>
      </c>
      <c r="E1978" s="34" t="s">
        <v>4972</v>
      </c>
      <c r="F1978" s="34" t="s">
        <v>4973</v>
      </c>
      <c r="G1978" s="34">
        <v>75111.0</v>
      </c>
      <c r="H1978" s="34" t="s">
        <v>3362</v>
      </c>
      <c r="I1978" s="34" t="s">
        <v>18</v>
      </c>
      <c r="J1978" s="34" t="s">
        <v>13</v>
      </c>
      <c r="K1978" s="9"/>
      <c r="L1978" s="45">
        <v>89.4</v>
      </c>
      <c r="M1978" s="45">
        <v>89.4</v>
      </c>
    </row>
    <row r="1979">
      <c r="A1979" s="34" t="s">
        <v>70</v>
      </c>
      <c r="B1979" s="34" t="s">
        <v>1441</v>
      </c>
      <c r="C1979" s="34">
        <v>75.0</v>
      </c>
      <c r="D1979" s="34" t="s">
        <v>1441</v>
      </c>
      <c r="E1979" s="34" t="s">
        <v>4974</v>
      </c>
      <c r="F1979" s="34" t="s">
        <v>4975</v>
      </c>
      <c r="G1979" s="34">
        <v>75112.0</v>
      </c>
      <c r="H1979" s="34" t="s">
        <v>1498</v>
      </c>
      <c r="I1979" s="34" t="s">
        <v>18</v>
      </c>
      <c r="J1979" s="34" t="s">
        <v>13</v>
      </c>
      <c r="K1979" s="9"/>
      <c r="L1979" s="45">
        <v>76.0</v>
      </c>
      <c r="M1979" s="45">
        <v>76.0</v>
      </c>
    </row>
    <row r="1980">
      <c r="A1980" s="34" t="s">
        <v>70</v>
      </c>
      <c r="B1980" s="34" t="s">
        <v>1441</v>
      </c>
      <c r="C1980" s="34">
        <v>75.0</v>
      </c>
      <c r="D1980" s="34" t="s">
        <v>1441</v>
      </c>
      <c r="E1980" s="34" t="s">
        <v>4976</v>
      </c>
      <c r="F1980" s="34" t="s">
        <v>4977</v>
      </c>
      <c r="G1980" s="34">
        <v>75112.0</v>
      </c>
      <c r="H1980" s="34" t="s">
        <v>1498</v>
      </c>
      <c r="I1980" s="34" t="s">
        <v>18</v>
      </c>
      <c r="J1980" s="34" t="s">
        <v>13</v>
      </c>
      <c r="K1980" s="9"/>
      <c r="L1980" s="45">
        <v>122.2</v>
      </c>
      <c r="M1980" s="45">
        <v>122.2</v>
      </c>
    </row>
    <row r="1981">
      <c r="A1981" s="34" t="s">
        <v>70</v>
      </c>
      <c r="B1981" s="34" t="s">
        <v>1441</v>
      </c>
      <c r="C1981" s="34">
        <v>75.0</v>
      </c>
      <c r="D1981" s="34" t="s">
        <v>1441</v>
      </c>
      <c r="E1981" s="34" t="s">
        <v>4978</v>
      </c>
      <c r="F1981" s="34" t="s">
        <v>4979</v>
      </c>
      <c r="G1981" s="34">
        <v>75111.0</v>
      </c>
      <c r="H1981" s="34" t="s">
        <v>3362</v>
      </c>
      <c r="I1981" s="34" t="s">
        <v>18</v>
      </c>
      <c r="J1981" s="34" t="s">
        <v>13</v>
      </c>
      <c r="K1981" s="9"/>
      <c r="L1981" s="45">
        <v>81.7</v>
      </c>
      <c r="M1981" s="45">
        <v>81.7</v>
      </c>
    </row>
    <row r="1982">
      <c r="A1982" s="34" t="s">
        <v>70</v>
      </c>
      <c r="B1982" s="34" t="s">
        <v>1441</v>
      </c>
      <c r="C1982" s="34">
        <v>75.0</v>
      </c>
      <c r="D1982" s="34" t="s">
        <v>1441</v>
      </c>
      <c r="E1982" s="34" t="s">
        <v>4980</v>
      </c>
      <c r="F1982" s="34" t="s">
        <v>4981</v>
      </c>
      <c r="G1982" s="34">
        <v>75119.0</v>
      </c>
      <c r="H1982" s="34" t="s">
        <v>1471</v>
      </c>
      <c r="I1982" s="34" t="s">
        <v>18</v>
      </c>
      <c r="J1982" s="34" t="s">
        <v>13</v>
      </c>
      <c r="K1982" s="9"/>
      <c r="L1982" s="45">
        <v>74.4</v>
      </c>
      <c r="M1982" s="45">
        <v>74.4</v>
      </c>
    </row>
    <row r="1983">
      <c r="A1983" s="34" t="s">
        <v>70</v>
      </c>
      <c r="B1983" s="34" t="s">
        <v>1441</v>
      </c>
      <c r="C1983" s="34">
        <v>75.0</v>
      </c>
      <c r="D1983" s="34" t="s">
        <v>1441</v>
      </c>
      <c r="E1983" s="34" t="s">
        <v>4982</v>
      </c>
      <c r="F1983" s="34" t="s">
        <v>1321</v>
      </c>
      <c r="G1983" s="34">
        <v>75107.0</v>
      </c>
      <c r="H1983" s="34" t="s">
        <v>1449</v>
      </c>
      <c r="I1983" s="34" t="s">
        <v>18</v>
      </c>
      <c r="J1983" s="34" t="s">
        <v>13</v>
      </c>
      <c r="K1983" s="9"/>
      <c r="L1983" s="45">
        <v>82.2</v>
      </c>
      <c r="M1983" s="45">
        <v>82.2</v>
      </c>
    </row>
    <row r="1984">
      <c r="A1984" s="34" t="s">
        <v>70</v>
      </c>
      <c r="B1984" s="34" t="s">
        <v>1441</v>
      </c>
      <c r="C1984" s="34">
        <v>75.0</v>
      </c>
      <c r="D1984" s="34" t="s">
        <v>1441</v>
      </c>
      <c r="E1984" s="34" t="s">
        <v>4983</v>
      </c>
      <c r="F1984" s="34" t="s">
        <v>4984</v>
      </c>
      <c r="G1984" s="34">
        <v>75105.0</v>
      </c>
      <c r="H1984" s="34" t="s">
        <v>1444</v>
      </c>
      <c r="I1984" s="34" t="s">
        <v>17</v>
      </c>
      <c r="J1984" s="34" t="s">
        <v>15</v>
      </c>
      <c r="K1984" s="45">
        <v>141.9</v>
      </c>
      <c r="L1984" s="9"/>
      <c r="M1984" s="45">
        <v>141.9</v>
      </c>
    </row>
    <row r="1985">
      <c r="A1985" s="34" t="s">
        <v>70</v>
      </c>
      <c r="B1985" s="34" t="s">
        <v>1441</v>
      </c>
      <c r="C1985" s="34">
        <v>75.0</v>
      </c>
      <c r="D1985" s="34" t="s">
        <v>1441</v>
      </c>
      <c r="E1985" s="34" t="s">
        <v>4985</v>
      </c>
      <c r="F1985" s="34" t="s">
        <v>4986</v>
      </c>
      <c r="G1985" s="34">
        <v>75109.0</v>
      </c>
      <c r="H1985" s="34" t="s">
        <v>1455</v>
      </c>
      <c r="I1985" s="34" t="s">
        <v>17</v>
      </c>
      <c r="J1985" s="34" t="s">
        <v>15</v>
      </c>
      <c r="K1985" s="45">
        <v>134.7</v>
      </c>
      <c r="L1985" s="9"/>
      <c r="M1985" s="45">
        <v>134.7</v>
      </c>
    </row>
    <row r="1986">
      <c r="A1986" s="34" t="s">
        <v>70</v>
      </c>
      <c r="B1986" s="34" t="s">
        <v>1441</v>
      </c>
      <c r="C1986" s="34">
        <v>75.0</v>
      </c>
      <c r="D1986" s="34" t="s">
        <v>1441</v>
      </c>
      <c r="E1986" s="34" t="s">
        <v>4987</v>
      </c>
      <c r="F1986" s="34" t="s">
        <v>4988</v>
      </c>
      <c r="G1986" s="34">
        <v>75113.0</v>
      </c>
      <c r="H1986" s="34" t="s">
        <v>1477</v>
      </c>
      <c r="I1986" s="34" t="s">
        <v>17</v>
      </c>
      <c r="J1986" s="34" t="s">
        <v>15</v>
      </c>
      <c r="K1986" s="45">
        <v>143.7</v>
      </c>
      <c r="L1986" s="9"/>
      <c r="M1986" s="45">
        <v>143.7</v>
      </c>
    </row>
    <row r="1987">
      <c r="A1987" s="34" t="s">
        <v>70</v>
      </c>
      <c r="B1987" s="34" t="s">
        <v>1441</v>
      </c>
      <c r="C1987" s="34">
        <v>75.0</v>
      </c>
      <c r="D1987" s="34" t="s">
        <v>1441</v>
      </c>
      <c r="E1987" s="34" t="s">
        <v>4989</v>
      </c>
      <c r="F1987" s="34" t="s">
        <v>4990</v>
      </c>
      <c r="G1987" s="34">
        <v>75106.0</v>
      </c>
      <c r="H1987" s="34" t="s">
        <v>1495</v>
      </c>
      <c r="I1987" s="34" t="s">
        <v>17</v>
      </c>
      <c r="J1987" s="34" t="s">
        <v>15</v>
      </c>
      <c r="K1987" s="45">
        <v>147.4</v>
      </c>
      <c r="L1987" s="9"/>
      <c r="M1987" s="45">
        <v>147.4</v>
      </c>
    </row>
    <row r="1988">
      <c r="A1988" s="34" t="s">
        <v>70</v>
      </c>
      <c r="B1988" s="34" t="s">
        <v>1441</v>
      </c>
      <c r="C1988" s="34">
        <v>75.0</v>
      </c>
      <c r="D1988" s="34" t="s">
        <v>1441</v>
      </c>
      <c r="E1988" s="34" t="s">
        <v>4991</v>
      </c>
      <c r="F1988" s="34" t="s">
        <v>4992</v>
      </c>
      <c r="G1988" s="34">
        <v>75106.0</v>
      </c>
      <c r="H1988" s="34" t="s">
        <v>1495</v>
      </c>
      <c r="I1988" s="34" t="s">
        <v>17</v>
      </c>
      <c r="J1988" s="34" t="s">
        <v>15</v>
      </c>
      <c r="K1988" s="45">
        <v>140.7</v>
      </c>
      <c r="L1988" s="9"/>
      <c r="M1988" s="45">
        <v>140.7</v>
      </c>
    </row>
    <row r="1989">
      <c r="A1989" s="34" t="s">
        <v>70</v>
      </c>
      <c r="B1989" s="34" t="s">
        <v>1441</v>
      </c>
      <c r="C1989" s="34">
        <v>75.0</v>
      </c>
      <c r="D1989" s="34" t="s">
        <v>1441</v>
      </c>
      <c r="E1989" s="34" t="s">
        <v>4993</v>
      </c>
      <c r="F1989" s="34" t="s">
        <v>4994</v>
      </c>
      <c r="G1989" s="34">
        <v>75107.0</v>
      </c>
      <c r="H1989" s="34" t="s">
        <v>1449</v>
      </c>
      <c r="I1989" s="34" t="s">
        <v>17</v>
      </c>
      <c r="J1989" s="34" t="s">
        <v>15</v>
      </c>
      <c r="K1989" s="45">
        <v>142.8</v>
      </c>
      <c r="L1989" s="9"/>
      <c r="M1989" s="45">
        <v>142.8</v>
      </c>
    </row>
    <row r="1990">
      <c r="A1990" s="34" t="s">
        <v>70</v>
      </c>
      <c r="B1990" s="34" t="s">
        <v>1441</v>
      </c>
      <c r="C1990" s="34">
        <v>75.0</v>
      </c>
      <c r="D1990" s="34" t="s">
        <v>1441</v>
      </c>
      <c r="E1990" s="34" t="s">
        <v>4995</v>
      </c>
      <c r="F1990" s="34" t="s">
        <v>4996</v>
      </c>
      <c r="G1990" s="34">
        <v>75112.0</v>
      </c>
      <c r="H1990" s="34" t="s">
        <v>1498</v>
      </c>
      <c r="I1990" s="34" t="s">
        <v>17</v>
      </c>
      <c r="J1990" s="34" t="s">
        <v>15</v>
      </c>
      <c r="K1990" s="45">
        <v>112.5</v>
      </c>
      <c r="L1990" s="9"/>
      <c r="M1990" s="45">
        <v>112.5</v>
      </c>
    </row>
    <row r="1991">
      <c r="A1991" s="34" t="s">
        <v>70</v>
      </c>
      <c r="B1991" s="34" t="s">
        <v>1441</v>
      </c>
      <c r="C1991" s="34">
        <v>75.0</v>
      </c>
      <c r="D1991" s="34" t="s">
        <v>1441</v>
      </c>
      <c r="E1991" s="34" t="s">
        <v>4997</v>
      </c>
      <c r="F1991" s="34" t="s">
        <v>4998</v>
      </c>
      <c r="G1991" s="34">
        <v>75113.0</v>
      </c>
      <c r="H1991" s="34" t="s">
        <v>1477</v>
      </c>
      <c r="I1991" s="34" t="s">
        <v>17</v>
      </c>
      <c r="J1991" s="34" t="s">
        <v>15</v>
      </c>
      <c r="K1991" s="45">
        <v>142.8</v>
      </c>
      <c r="L1991" s="9"/>
      <c r="M1991" s="45">
        <v>142.8</v>
      </c>
    </row>
    <row r="1992">
      <c r="A1992" s="34" t="s">
        <v>70</v>
      </c>
      <c r="B1992" s="34" t="s">
        <v>1441</v>
      </c>
      <c r="C1992" s="34">
        <v>75.0</v>
      </c>
      <c r="D1992" s="34" t="s">
        <v>1441</v>
      </c>
      <c r="E1992" s="34" t="s">
        <v>4999</v>
      </c>
      <c r="F1992" s="34" t="s">
        <v>5000</v>
      </c>
      <c r="G1992" s="34">
        <v>75119.0</v>
      </c>
      <c r="H1992" s="34" t="s">
        <v>1471</v>
      </c>
      <c r="I1992" s="34" t="s">
        <v>17</v>
      </c>
      <c r="J1992" s="34" t="s">
        <v>14</v>
      </c>
      <c r="K1992" s="45">
        <v>129.6</v>
      </c>
      <c r="L1992" s="45">
        <v>120.3</v>
      </c>
      <c r="M1992" s="45">
        <v>127.4</v>
      </c>
    </row>
    <row r="1993">
      <c r="A1993" s="34" t="s">
        <v>70</v>
      </c>
      <c r="B1993" s="34" t="s">
        <v>1441</v>
      </c>
      <c r="C1993" s="34">
        <v>75.0</v>
      </c>
      <c r="D1993" s="34" t="s">
        <v>1441</v>
      </c>
      <c r="E1993" s="34" t="s">
        <v>5001</v>
      </c>
      <c r="F1993" s="34" t="s">
        <v>5002</v>
      </c>
      <c r="G1993" s="34">
        <v>75106.0</v>
      </c>
      <c r="H1993" s="34" t="s">
        <v>1495</v>
      </c>
      <c r="I1993" s="34" t="s">
        <v>17</v>
      </c>
      <c r="J1993" s="34" t="s">
        <v>14</v>
      </c>
      <c r="K1993" s="45">
        <v>132.8</v>
      </c>
      <c r="L1993" s="45">
        <v>114.3</v>
      </c>
      <c r="M1993" s="45">
        <v>125.4</v>
      </c>
    </row>
    <row r="1994">
      <c r="A1994" s="34" t="s">
        <v>70</v>
      </c>
      <c r="B1994" s="34" t="s">
        <v>1441</v>
      </c>
      <c r="C1994" s="34">
        <v>75.0</v>
      </c>
      <c r="D1994" s="34" t="s">
        <v>1441</v>
      </c>
      <c r="E1994" s="34" t="s">
        <v>5003</v>
      </c>
      <c r="F1994" s="34" t="s">
        <v>5004</v>
      </c>
      <c r="G1994" s="34">
        <v>75118.0</v>
      </c>
      <c r="H1994" s="34" t="s">
        <v>1463</v>
      </c>
      <c r="I1994" s="34" t="s">
        <v>17</v>
      </c>
      <c r="J1994" s="34" t="s">
        <v>15</v>
      </c>
      <c r="K1994" s="45">
        <v>110.0</v>
      </c>
      <c r="L1994" s="9"/>
      <c r="M1994" s="45">
        <v>110.0</v>
      </c>
    </row>
    <row r="1995">
      <c r="A1995" s="34" t="s">
        <v>70</v>
      </c>
      <c r="B1995" s="34" t="s">
        <v>1441</v>
      </c>
      <c r="C1995" s="34">
        <v>75.0</v>
      </c>
      <c r="D1995" s="34" t="s">
        <v>1441</v>
      </c>
      <c r="E1995" s="34" t="s">
        <v>5005</v>
      </c>
      <c r="F1995" s="34" t="s">
        <v>5006</v>
      </c>
      <c r="G1995" s="34">
        <v>75118.0</v>
      </c>
      <c r="H1995" s="34" t="s">
        <v>1463</v>
      </c>
      <c r="I1995" s="34" t="s">
        <v>17</v>
      </c>
      <c r="J1995" s="34" t="s">
        <v>14</v>
      </c>
      <c r="K1995" s="45">
        <v>119.2</v>
      </c>
      <c r="L1995" s="45">
        <v>108.3</v>
      </c>
      <c r="M1995" s="45">
        <v>110.4</v>
      </c>
    </row>
    <row r="1996">
      <c r="A1996" s="34" t="s">
        <v>70</v>
      </c>
      <c r="B1996" s="34" t="s">
        <v>1441</v>
      </c>
      <c r="C1996" s="34">
        <v>75.0</v>
      </c>
      <c r="D1996" s="34" t="s">
        <v>1441</v>
      </c>
      <c r="E1996" s="34" t="s">
        <v>5007</v>
      </c>
      <c r="F1996" s="34" t="s">
        <v>5008</v>
      </c>
      <c r="G1996" s="34">
        <v>75119.0</v>
      </c>
      <c r="H1996" s="34" t="s">
        <v>1471</v>
      </c>
      <c r="I1996" s="34" t="s">
        <v>17</v>
      </c>
      <c r="J1996" s="34" t="s">
        <v>15</v>
      </c>
      <c r="K1996" s="45">
        <v>128.7</v>
      </c>
      <c r="L1996" s="9"/>
      <c r="M1996" s="45">
        <v>128.7</v>
      </c>
    </row>
    <row r="1997">
      <c r="A1997" s="34" t="s">
        <v>70</v>
      </c>
      <c r="B1997" s="34" t="s">
        <v>1441</v>
      </c>
      <c r="C1997" s="34">
        <v>75.0</v>
      </c>
      <c r="D1997" s="34" t="s">
        <v>1441</v>
      </c>
      <c r="E1997" s="34" t="s">
        <v>5009</v>
      </c>
      <c r="F1997" s="34" t="s">
        <v>5010</v>
      </c>
      <c r="G1997" s="34">
        <v>75117.0</v>
      </c>
      <c r="H1997" s="34" t="s">
        <v>1469</v>
      </c>
      <c r="I1997" s="34" t="s">
        <v>17</v>
      </c>
      <c r="J1997" s="34" t="s">
        <v>15</v>
      </c>
      <c r="K1997" s="45">
        <v>122.7</v>
      </c>
      <c r="L1997" s="9"/>
      <c r="M1997" s="45">
        <v>122.7</v>
      </c>
    </row>
    <row r="1998">
      <c r="A1998" s="34" t="s">
        <v>70</v>
      </c>
      <c r="B1998" s="34" t="s">
        <v>269</v>
      </c>
      <c r="C1998" s="34">
        <v>76.0</v>
      </c>
      <c r="D1998" s="34" t="s">
        <v>1506</v>
      </c>
      <c r="E1998" s="34" t="s">
        <v>5011</v>
      </c>
      <c r="F1998" s="34" t="s">
        <v>5012</v>
      </c>
      <c r="G1998" s="34">
        <v>76351.0</v>
      </c>
      <c r="H1998" s="34" t="s">
        <v>1515</v>
      </c>
      <c r="I1998" s="34" t="s">
        <v>18</v>
      </c>
      <c r="J1998" s="34" t="s">
        <v>14</v>
      </c>
      <c r="K1998" s="45">
        <v>106.1</v>
      </c>
      <c r="L1998" s="45">
        <v>75.8</v>
      </c>
      <c r="M1998" s="45">
        <v>79.0</v>
      </c>
    </row>
    <row r="1999">
      <c r="A1999" s="34" t="s">
        <v>70</v>
      </c>
      <c r="B1999" s="34" t="s">
        <v>269</v>
      </c>
      <c r="C1999" s="34">
        <v>76.0</v>
      </c>
      <c r="D1999" s="34" t="s">
        <v>1506</v>
      </c>
      <c r="E1999" s="34" t="s">
        <v>5013</v>
      </c>
      <c r="F1999" s="34" t="s">
        <v>5014</v>
      </c>
      <c r="G1999" s="34">
        <v>76498.0</v>
      </c>
      <c r="H1999" s="34" t="s">
        <v>1521</v>
      </c>
      <c r="I1999" s="34" t="s">
        <v>18</v>
      </c>
      <c r="J1999" s="34" t="s">
        <v>13</v>
      </c>
      <c r="K1999" s="9"/>
      <c r="L1999" s="45">
        <v>80.8</v>
      </c>
      <c r="M1999" s="45">
        <v>80.8</v>
      </c>
    </row>
    <row r="2000">
      <c r="A2000" s="34" t="s">
        <v>70</v>
      </c>
      <c r="B2000" s="34" t="s">
        <v>269</v>
      </c>
      <c r="C2000" s="34">
        <v>76.0</v>
      </c>
      <c r="D2000" s="34" t="s">
        <v>1506</v>
      </c>
      <c r="E2000" s="34" t="s">
        <v>5015</v>
      </c>
      <c r="F2000" s="34" t="s">
        <v>1814</v>
      </c>
      <c r="G2000" s="34">
        <v>76540.0</v>
      </c>
      <c r="H2000" s="34" t="s">
        <v>1534</v>
      </c>
      <c r="I2000" s="34" t="s">
        <v>18</v>
      </c>
      <c r="J2000" s="34" t="s">
        <v>15</v>
      </c>
      <c r="K2000" s="45">
        <v>123.8</v>
      </c>
      <c r="L2000" s="9"/>
      <c r="M2000" s="45">
        <v>123.8</v>
      </c>
    </row>
    <row r="2001">
      <c r="A2001" s="34" t="s">
        <v>70</v>
      </c>
      <c r="B2001" s="34" t="s">
        <v>269</v>
      </c>
      <c r="C2001" s="34">
        <v>76.0</v>
      </c>
      <c r="D2001" s="34" t="s">
        <v>1506</v>
      </c>
      <c r="E2001" s="34" t="s">
        <v>5016</v>
      </c>
      <c r="F2001" s="34" t="s">
        <v>5017</v>
      </c>
      <c r="G2001" s="34">
        <v>76540.0</v>
      </c>
      <c r="H2001" s="34" t="s">
        <v>1534</v>
      </c>
      <c r="I2001" s="34" t="s">
        <v>18</v>
      </c>
      <c r="J2001" s="34" t="s">
        <v>15</v>
      </c>
      <c r="K2001" s="45">
        <v>129.1</v>
      </c>
      <c r="L2001" s="9"/>
      <c r="M2001" s="45">
        <v>129.1</v>
      </c>
    </row>
    <row r="2002">
      <c r="A2002" s="34" t="s">
        <v>70</v>
      </c>
      <c r="B2002" s="34" t="s">
        <v>269</v>
      </c>
      <c r="C2002" s="34">
        <v>76.0</v>
      </c>
      <c r="D2002" s="34" t="s">
        <v>1506</v>
      </c>
      <c r="E2002" s="34" t="s">
        <v>5018</v>
      </c>
      <c r="F2002" s="34" t="s">
        <v>1566</v>
      </c>
      <c r="G2002" s="34">
        <v>76540.0</v>
      </c>
      <c r="H2002" s="34" t="s">
        <v>1534</v>
      </c>
      <c r="I2002" s="34" t="s">
        <v>18</v>
      </c>
      <c r="J2002" s="34" t="s">
        <v>14</v>
      </c>
      <c r="K2002" s="45">
        <v>106.7</v>
      </c>
      <c r="L2002" s="45">
        <v>79.7</v>
      </c>
      <c r="M2002" s="45">
        <v>104.6</v>
      </c>
    </row>
    <row r="2003">
      <c r="A2003" s="34" t="s">
        <v>70</v>
      </c>
      <c r="B2003" s="34" t="s">
        <v>269</v>
      </c>
      <c r="C2003" s="34">
        <v>76.0</v>
      </c>
      <c r="D2003" s="34" t="s">
        <v>1506</v>
      </c>
      <c r="E2003" s="34" t="s">
        <v>5019</v>
      </c>
      <c r="F2003" s="34" t="s">
        <v>5020</v>
      </c>
      <c r="G2003" s="34">
        <v>76681.0</v>
      </c>
      <c r="H2003" s="34" t="s">
        <v>3393</v>
      </c>
      <c r="I2003" s="34" t="s">
        <v>18</v>
      </c>
      <c r="J2003" s="34" t="s">
        <v>15</v>
      </c>
      <c r="K2003" s="45">
        <v>92.6</v>
      </c>
      <c r="L2003" s="9"/>
      <c r="M2003" s="45">
        <v>92.6</v>
      </c>
    </row>
    <row r="2004">
      <c r="A2004" s="34" t="s">
        <v>70</v>
      </c>
      <c r="B2004" s="34" t="s">
        <v>269</v>
      </c>
      <c r="C2004" s="34">
        <v>76.0</v>
      </c>
      <c r="D2004" s="34" t="s">
        <v>1506</v>
      </c>
      <c r="E2004" s="34" t="s">
        <v>5021</v>
      </c>
      <c r="F2004" s="34" t="s">
        <v>5022</v>
      </c>
      <c r="G2004" s="34">
        <v>76711.0</v>
      </c>
      <c r="H2004" s="34" t="s">
        <v>5023</v>
      </c>
      <c r="I2004" s="34" t="s">
        <v>18</v>
      </c>
      <c r="J2004" s="34" t="s">
        <v>13</v>
      </c>
      <c r="K2004" s="9"/>
      <c r="L2004" s="45">
        <v>75.3</v>
      </c>
      <c r="M2004" s="45">
        <v>75.3</v>
      </c>
    </row>
    <row r="2005">
      <c r="A2005" s="34" t="s">
        <v>70</v>
      </c>
      <c r="B2005" s="34" t="s">
        <v>269</v>
      </c>
      <c r="C2005" s="34">
        <v>76.0</v>
      </c>
      <c r="D2005" s="34" t="s">
        <v>1506</v>
      </c>
      <c r="E2005" s="34" t="s">
        <v>5024</v>
      </c>
      <c r="F2005" s="34" t="s">
        <v>5025</v>
      </c>
      <c r="G2005" s="34">
        <v>76540.0</v>
      </c>
      <c r="H2005" s="34" t="s">
        <v>1534</v>
      </c>
      <c r="I2005" s="34" t="s">
        <v>18</v>
      </c>
      <c r="J2005" s="34" t="s">
        <v>13</v>
      </c>
      <c r="K2005" s="9"/>
      <c r="L2005" s="45">
        <v>81.2</v>
      </c>
      <c r="M2005" s="45">
        <v>81.2</v>
      </c>
    </row>
    <row r="2006">
      <c r="A2006" s="34" t="s">
        <v>70</v>
      </c>
      <c r="B2006" s="34" t="s">
        <v>269</v>
      </c>
      <c r="C2006" s="34">
        <v>76.0</v>
      </c>
      <c r="D2006" s="34" t="s">
        <v>1506</v>
      </c>
      <c r="E2006" s="34" t="s">
        <v>5026</v>
      </c>
      <c r="F2006" s="34" t="s">
        <v>5027</v>
      </c>
      <c r="G2006" s="34">
        <v>76681.0</v>
      </c>
      <c r="H2006" s="34" t="s">
        <v>3393</v>
      </c>
      <c r="I2006" s="34" t="s">
        <v>18</v>
      </c>
      <c r="J2006" s="34" t="s">
        <v>13</v>
      </c>
      <c r="K2006" s="9"/>
      <c r="L2006" s="45">
        <v>84.9</v>
      </c>
      <c r="M2006" s="45">
        <v>84.9</v>
      </c>
    </row>
    <row r="2007">
      <c r="A2007" s="34" t="s">
        <v>70</v>
      </c>
      <c r="B2007" s="34" t="s">
        <v>269</v>
      </c>
      <c r="C2007" s="34">
        <v>76.0</v>
      </c>
      <c r="D2007" s="34" t="s">
        <v>1506</v>
      </c>
      <c r="E2007" s="34" t="s">
        <v>5028</v>
      </c>
      <c r="F2007" s="34" t="s">
        <v>5029</v>
      </c>
      <c r="G2007" s="34">
        <v>76351.0</v>
      </c>
      <c r="H2007" s="34" t="s">
        <v>1515</v>
      </c>
      <c r="I2007" s="34" t="s">
        <v>18</v>
      </c>
      <c r="J2007" s="34" t="s">
        <v>13</v>
      </c>
      <c r="K2007" s="9"/>
      <c r="L2007" s="45">
        <v>81.8</v>
      </c>
      <c r="M2007" s="45">
        <v>81.8</v>
      </c>
    </row>
    <row r="2008">
      <c r="A2008" s="34" t="s">
        <v>70</v>
      </c>
      <c r="B2008" s="34" t="s">
        <v>269</v>
      </c>
      <c r="C2008" s="34">
        <v>76.0</v>
      </c>
      <c r="D2008" s="34" t="s">
        <v>1506</v>
      </c>
      <c r="E2008" s="34" t="s">
        <v>5030</v>
      </c>
      <c r="F2008" s="34" t="s">
        <v>80</v>
      </c>
      <c r="G2008" s="34">
        <v>76351.0</v>
      </c>
      <c r="H2008" s="34" t="s">
        <v>1515</v>
      </c>
      <c r="I2008" s="34" t="s">
        <v>17</v>
      </c>
      <c r="J2008" s="34" t="s">
        <v>15</v>
      </c>
      <c r="K2008" s="45">
        <v>137.9</v>
      </c>
      <c r="L2008" s="9"/>
      <c r="M2008" s="45">
        <v>137.9</v>
      </c>
    </row>
    <row r="2009">
      <c r="A2009" s="34" t="s">
        <v>70</v>
      </c>
      <c r="B2009" s="34" t="s">
        <v>269</v>
      </c>
      <c r="C2009" s="34">
        <v>76.0</v>
      </c>
      <c r="D2009" s="34" t="s">
        <v>1506</v>
      </c>
      <c r="E2009" s="34" t="s">
        <v>5031</v>
      </c>
      <c r="F2009" s="34" t="s">
        <v>1639</v>
      </c>
      <c r="G2009" s="34">
        <v>76540.0</v>
      </c>
      <c r="H2009" s="34" t="s">
        <v>1534</v>
      </c>
      <c r="I2009" s="34" t="s">
        <v>17</v>
      </c>
      <c r="J2009" s="34" t="s">
        <v>15</v>
      </c>
      <c r="K2009" s="45">
        <v>109.1</v>
      </c>
      <c r="L2009" s="9"/>
      <c r="M2009" s="45">
        <v>109.1</v>
      </c>
    </row>
    <row r="2010">
      <c r="A2010" s="34" t="s">
        <v>70</v>
      </c>
      <c r="B2010" s="34" t="s">
        <v>269</v>
      </c>
      <c r="C2010" s="34">
        <v>76.0</v>
      </c>
      <c r="D2010" s="34" t="s">
        <v>1506</v>
      </c>
      <c r="E2010" s="34" t="s">
        <v>5032</v>
      </c>
      <c r="F2010" s="34" t="s">
        <v>5033</v>
      </c>
      <c r="G2010" s="34">
        <v>76322.0</v>
      </c>
      <c r="H2010" s="34" t="s">
        <v>5034</v>
      </c>
      <c r="I2010" s="34" t="s">
        <v>18</v>
      </c>
      <c r="J2010" s="34" t="s">
        <v>15</v>
      </c>
      <c r="K2010" s="45">
        <v>100.7</v>
      </c>
      <c r="L2010" s="9"/>
      <c r="M2010" s="45">
        <v>100.7</v>
      </c>
    </row>
    <row r="2011">
      <c r="A2011" s="34" t="s">
        <v>70</v>
      </c>
      <c r="B2011" s="34" t="s">
        <v>269</v>
      </c>
      <c r="C2011" s="34">
        <v>76.0</v>
      </c>
      <c r="D2011" s="34" t="s">
        <v>1506</v>
      </c>
      <c r="E2011" s="34" t="s">
        <v>5035</v>
      </c>
      <c r="F2011" s="34" t="s">
        <v>5036</v>
      </c>
      <c r="G2011" s="34">
        <v>76217.0</v>
      </c>
      <c r="H2011" s="34" t="s">
        <v>1529</v>
      </c>
      <c r="I2011" s="34" t="s">
        <v>18</v>
      </c>
      <c r="J2011" s="34" t="s">
        <v>14</v>
      </c>
      <c r="K2011" s="45">
        <v>98.4</v>
      </c>
      <c r="L2011" s="45">
        <v>80.9</v>
      </c>
      <c r="M2011" s="45">
        <v>86.7</v>
      </c>
    </row>
    <row r="2012">
      <c r="A2012" s="34" t="s">
        <v>70</v>
      </c>
      <c r="B2012" s="34" t="s">
        <v>269</v>
      </c>
      <c r="C2012" s="34">
        <v>76.0</v>
      </c>
      <c r="D2012" s="34" t="s">
        <v>1506</v>
      </c>
      <c r="E2012" s="34" t="s">
        <v>5037</v>
      </c>
      <c r="F2012" s="34" t="s">
        <v>1528</v>
      </c>
      <c r="G2012" s="34">
        <v>76259.0</v>
      </c>
      <c r="H2012" s="34" t="s">
        <v>1512</v>
      </c>
      <c r="I2012" s="34" t="s">
        <v>17</v>
      </c>
      <c r="J2012" s="34" t="s">
        <v>15</v>
      </c>
      <c r="K2012" s="45">
        <v>112.3</v>
      </c>
      <c r="L2012" s="9"/>
      <c r="M2012" s="45">
        <v>112.3</v>
      </c>
    </row>
    <row r="2013">
      <c r="A2013" s="34" t="s">
        <v>70</v>
      </c>
      <c r="B2013" s="34" t="s">
        <v>1545</v>
      </c>
      <c r="C2013" s="34">
        <v>77.0</v>
      </c>
      <c r="D2013" s="34" t="s">
        <v>1546</v>
      </c>
      <c r="E2013" s="34" t="s">
        <v>5038</v>
      </c>
      <c r="F2013" s="34" t="s">
        <v>5039</v>
      </c>
      <c r="G2013" s="34">
        <v>77333.0</v>
      </c>
      <c r="H2013" s="34" t="s">
        <v>5040</v>
      </c>
      <c r="I2013" s="34" t="s">
        <v>18</v>
      </c>
      <c r="J2013" s="34" t="s">
        <v>14</v>
      </c>
      <c r="K2013" s="45">
        <v>109.3</v>
      </c>
      <c r="L2013" s="45">
        <v>84.6</v>
      </c>
      <c r="M2013" s="45">
        <v>102.7</v>
      </c>
    </row>
    <row r="2014">
      <c r="A2014" s="34" t="s">
        <v>70</v>
      </c>
      <c r="B2014" s="34" t="s">
        <v>1545</v>
      </c>
      <c r="C2014" s="34">
        <v>77.0</v>
      </c>
      <c r="D2014" s="34" t="s">
        <v>1546</v>
      </c>
      <c r="E2014" s="34" t="s">
        <v>5041</v>
      </c>
      <c r="F2014" s="34" t="s">
        <v>5042</v>
      </c>
      <c r="G2014" s="34">
        <v>77108.0</v>
      </c>
      <c r="H2014" s="34" t="s">
        <v>1549</v>
      </c>
      <c r="I2014" s="34" t="s">
        <v>18</v>
      </c>
      <c r="J2014" s="34" t="s">
        <v>14</v>
      </c>
      <c r="K2014" s="45">
        <v>67.0</v>
      </c>
      <c r="L2014" s="45">
        <v>83.8</v>
      </c>
      <c r="M2014" s="45">
        <v>83.6</v>
      </c>
    </row>
    <row r="2015">
      <c r="A2015" s="34" t="s">
        <v>70</v>
      </c>
      <c r="B2015" s="34" t="s">
        <v>1545</v>
      </c>
      <c r="C2015" s="34">
        <v>77.0</v>
      </c>
      <c r="D2015" s="34" t="s">
        <v>1546</v>
      </c>
      <c r="E2015" s="34" t="s">
        <v>5043</v>
      </c>
      <c r="F2015" s="34" t="s">
        <v>5044</v>
      </c>
      <c r="G2015" s="34">
        <v>77379.0</v>
      </c>
      <c r="H2015" s="34" t="s">
        <v>5045</v>
      </c>
      <c r="I2015" s="34" t="s">
        <v>18</v>
      </c>
      <c r="J2015" s="34" t="s">
        <v>14</v>
      </c>
      <c r="K2015" s="45">
        <v>103.3</v>
      </c>
      <c r="L2015" s="45">
        <v>86.5</v>
      </c>
      <c r="M2015" s="45">
        <v>94.2</v>
      </c>
    </row>
    <row r="2016">
      <c r="A2016" s="34" t="s">
        <v>70</v>
      </c>
      <c r="B2016" s="34" t="s">
        <v>1545</v>
      </c>
      <c r="C2016" s="34">
        <v>77.0</v>
      </c>
      <c r="D2016" s="34" t="s">
        <v>1546</v>
      </c>
      <c r="E2016" s="34" t="s">
        <v>5046</v>
      </c>
      <c r="F2016" s="34" t="s">
        <v>5047</v>
      </c>
      <c r="G2016" s="34">
        <v>77108.0</v>
      </c>
      <c r="H2016" s="34" t="s">
        <v>1549</v>
      </c>
      <c r="I2016" s="34" t="s">
        <v>17</v>
      </c>
      <c r="J2016" s="34" t="s">
        <v>15</v>
      </c>
      <c r="K2016" s="45">
        <v>126.8</v>
      </c>
      <c r="L2016" s="9"/>
      <c r="M2016" s="45">
        <v>126.8</v>
      </c>
    </row>
    <row r="2017">
      <c r="A2017" s="34" t="s">
        <v>70</v>
      </c>
      <c r="B2017" s="34" t="s">
        <v>1545</v>
      </c>
      <c r="C2017" s="34">
        <v>77.0</v>
      </c>
      <c r="D2017" s="34" t="s">
        <v>1546</v>
      </c>
      <c r="E2017" s="34" t="s">
        <v>5048</v>
      </c>
      <c r="F2017" s="34" t="s">
        <v>4336</v>
      </c>
      <c r="G2017" s="34">
        <v>77337.0</v>
      </c>
      <c r="H2017" s="34" t="s">
        <v>5049</v>
      </c>
      <c r="I2017" s="34" t="s">
        <v>18</v>
      </c>
      <c r="J2017" s="34" t="s">
        <v>14</v>
      </c>
      <c r="K2017" s="45">
        <v>108.4</v>
      </c>
      <c r="L2017" s="45">
        <v>91.8</v>
      </c>
      <c r="M2017" s="45">
        <v>101.4</v>
      </c>
    </row>
    <row r="2018">
      <c r="A2018" s="34" t="s">
        <v>70</v>
      </c>
      <c r="B2018" s="34" t="s">
        <v>1545</v>
      </c>
      <c r="C2018" s="34">
        <v>77.0</v>
      </c>
      <c r="D2018" s="34" t="s">
        <v>1546</v>
      </c>
      <c r="E2018" s="34" t="s">
        <v>5050</v>
      </c>
      <c r="F2018" s="34" t="s">
        <v>5051</v>
      </c>
      <c r="G2018" s="34">
        <v>77258.0</v>
      </c>
      <c r="H2018" s="34" t="s">
        <v>5052</v>
      </c>
      <c r="I2018" s="34" t="s">
        <v>18</v>
      </c>
      <c r="J2018" s="34" t="s">
        <v>15</v>
      </c>
      <c r="K2018" s="45">
        <v>114.6</v>
      </c>
      <c r="L2018" s="9"/>
      <c r="M2018" s="45">
        <v>114.6</v>
      </c>
    </row>
    <row r="2019">
      <c r="A2019" s="34" t="s">
        <v>70</v>
      </c>
      <c r="B2019" s="34" t="s">
        <v>1545</v>
      </c>
      <c r="C2019" s="34">
        <v>77.0</v>
      </c>
      <c r="D2019" s="34" t="s">
        <v>1546</v>
      </c>
      <c r="E2019" s="34" t="s">
        <v>5053</v>
      </c>
      <c r="F2019" s="34" t="s">
        <v>5054</v>
      </c>
      <c r="G2019" s="34">
        <v>77350.0</v>
      </c>
      <c r="H2019" s="34" t="s">
        <v>5055</v>
      </c>
      <c r="I2019" s="34" t="s">
        <v>17</v>
      </c>
      <c r="J2019" s="34" t="s">
        <v>15</v>
      </c>
      <c r="K2019" s="45">
        <v>134.9</v>
      </c>
      <c r="L2019" s="9"/>
      <c r="M2019" s="45">
        <v>134.9</v>
      </c>
    </row>
    <row r="2020">
      <c r="A2020" s="34" t="s">
        <v>70</v>
      </c>
      <c r="B2020" s="34" t="s">
        <v>1545</v>
      </c>
      <c r="C2020" s="34">
        <v>77.0</v>
      </c>
      <c r="D2020" s="34" t="s">
        <v>1546</v>
      </c>
      <c r="E2020" s="34" t="s">
        <v>5056</v>
      </c>
      <c r="F2020" s="34" t="s">
        <v>5057</v>
      </c>
      <c r="G2020" s="34">
        <v>77067.0</v>
      </c>
      <c r="H2020" s="34" t="s">
        <v>5058</v>
      </c>
      <c r="I2020" s="34" t="s">
        <v>18</v>
      </c>
      <c r="J2020" s="34" t="s">
        <v>14</v>
      </c>
      <c r="K2020" s="45">
        <v>122.1</v>
      </c>
      <c r="L2020" s="45">
        <v>94.1</v>
      </c>
      <c r="M2020" s="45">
        <v>115.9</v>
      </c>
    </row>
    <row r="2021">
      <c r="A2021" s="34" t="s">
        <v>70</v>
      </c>
      <c r="B2021" s="34" t="s">
        <v>1545</v>
      </c>
      <c r="C2021" s="34">
        <v>77.0</v>
      </c>
      <c r="D2021" s="34" t="s">
        <v>1546</v>
      </c>
      <c r="E2021" s="34" t="s">
        <v>5059</v>
      </c>
      <c r="F2021" s="34" t="s">
        <v>5060</v>
      </c>
      <c r="G2021" s="34">
        <v>77153.0</v>
      </c>
      <c r="H2021" s="34" t="s">
        <v>5061</v>
      </c>
      <c r="I2021" s="34" t="s">
        <v>18</v>
      </c>
      <c r="J2021" s="34" t="s">
        <v>14</v>
      </c>
      <c r="K2021" s="45">
        <v>115.5</v>
      </c>
      <c r="L2021" s="45">
        <v>95.3</v>
      </c>
      <c r="M2021" s="45">
        <v>111.0</v>
      </c>
    </row>
    <row r="2022">
      <c r="A2022" s="34" t="s">
        <v>70</v>
      </c>
      <c r="B2022" s="34" t="s">
        <v>1579</v>
      </c>
      <c r="C2022" s="34">
        <v>78.0</v>
      </c>
      <c r="D2022" s="34" t="s">
        <v>1580</v>
      </c>
      <c r="E2022" s="34" t="s">
        <v>5062</v>
      </c>
      <c r="F2022" s="34" t="s">
        <v>5063</v>
      </c>
      <c r="G2022" s="34">
        <v>78297.0</v>
      </c>
      <c r="H2022" s="34" t="s">
        <v>5064</v>
      </c>
      <c r="I2022" s="34" t="s">
        <v>18</v>
      </c>
      <c r="J2022" s="34" t="s">
        <v>14</v>
      </c>
      <c r="K2022" s="45">
        <v>121.2</v>
      </c>
      <c r="L2022" s="45">
        <v>101.0</v>
      </c>
      <c r="M2022" s="45">
        <v>107.7</v>
      </c>
    </row>
    <row r="2023">
      <c r="A2023" s="34" t="s">
        <v>70</v>
      </c>
      <c r="B2023" s="34" t="s">
        <v>1579</v>
      </c>
      <c r="C2023" s="34">
        <v>78.0</v>
      </c>
      <c r="D2023" s="34" t="s">
        <v>1580</v>
      </c>
      <c r="E2023" s="34" t="s">
        <v>5065</v>
      </c>
      <c r="F2023" s="34" t="s">
        <v>5066</v>
      </c>
      <c r="G2023" s="34">
        <v>78513.0</v>
      </c>
      <c r="H2023" s="34" t="s">
        <v>5067</v>
      </c>
      <c r="I2023" s="34" t="s">
        <v>18</v>
      </c>
      <c r="J2023" s="34" t="s">
        <v>14</v>
      </c>
      <c r="K2023" s="45">
        <v>135.7</v>
      </c>
      <c r="L2023" s="45">
        <v>113.8</v>
      </c>
      <c r="M2023" s="45">
        <v>132.7</v>
      </c>
    </row>
    <row r="2024">
      <c r="A2024" s="34" t="s">
        <v>70</v>
      </c>
      <c r="B2024" s="34" t="s">
        <v>1579</v>
      </c>
      <c r="C2024" s="34">
        <v>78.0</v>
      </c>
      <c r="D2024" s="34" t="s">
        <v>1580</v>
      </c>
      <c r="E2024" s="34" t="s">
        <v>5068</v>
      </c>
      <c r="F2024" s="34" t="s">
        <v>5069</v>
      </c>
      <c r="G2024" s="34">
        <v>78383.0</v>
      </c>
      <c r="H2024" s="34" t="s">
        <v>1586</v>
      </c>
      <c r="I2024" s="34" t="s">
        <v>18</v>
      </c>
      <c r="J2024" s="34" t="s">
        <v>14</v>
      </c>
      <c r="K2024" s="45">
        <v>113.4</v>
      </c>
      <c r="L2024" s="45">
        <v>89.3</v>
      </c>
      <c r="M2024" s="45">
        <v>107.5</v>
      </c>
    </row>
    <row r="2025">
      <c r="A2025" s="34" t="s">
        <v>70</v>
      </c>
      <c r="B2025" s="34" t="s">
        <v>1579</v>
      </c>
      <c r="C2025" s="34">
        <v>78.0</v>
      </c>
      <c r="D2025" s="34" t="s">
        <v>1580</v>
      </c>
      <c r="E2025" s="34" t="s">
        <v>5070</v>
      </c>
      <c r="F2025" s="34" t="s">
        <v>5071</v>
      </c>
      <c r="G2025" s="34">
        <v>78297.0</v>
      </c>
      <c r="H2025" s="34" t="s">
        <v>5064</v>
      </c>
      <c r="I2025" s="34" t="s">
        <v>18</v>
      </c>
      <c r="J2025" s="34" t="s">
        <v>15</v>
      </c>
      <c r="K2025" s="45">
        <v>119.5</v>
      </c>
      <c r="L2025" s="9"/>
      <c r="M2025" s="45">
        <v>119.5</v>
      </c>
    </row>
    <row r="2026">
      <c r="A2026" s="34" t="s">
        <v>70</v>
      </c>
      <c r="B2026" s="34" t="s">
        <v>1579</v>
      </c>
      <c r="C2026" s="34">
        <v>78.0</v>
      </c>
      <c r="D2026" s="34" t="s">
        <v>1580</v>
      </c>
      <c r="E2026" s="34" t="s">
        <v>5072</v>
      </c>
      <c r="F2026" s="34" t="s">
        <v>1297</v>
      </c>
      <c r="G2026" s="34">
        <v>78005.0</v>
      </c>
      <c r="H2026" s="34" t="s">
        <v>5073</v>
      </c>
      <c r="I2026" s="34" t="s">
        <v>18</v>
      </c>
      <c r="J2026" s="34" t="s">
        <v>14</v>
      </c>
      <c r="K2026" s="45">
        <v>106.8</v>
      </c>
      <c r="L2026" s="45">
        <v>82.0</v>
      </c>
      <c r="M2026" s="45">
        <v>101.3</v>
      </c>
    </row>
    <row r="2027">
      <c r="A2027" s="34" t="s">
        <v>70</v>
      </c>
      <c r="B2027" s="34" t="s">
        <v>1579</v>
      </c>
      <c r="C2027" s="34">
        <v>78.0</v>
      </c>
      <c r="D2027" s="34" t="s">
        <v>1580</v>
      </c>
      <c r="E2027" s="34" t="s">
        <v>5074</v>
      </c>
      <c r="F2027" s="34" t="s">
        <v>5057</v>
      </c>
      <c r="G2027" s="34">
        <v>78674.0</v>
      </c>
      <c r="H2027" s="34" t="s">
        <v>5075</v>
      </c>
      <c r="I2027" s="34" t="s">
        <v>18</v>
      </c>
      <c r="J2027" s="34" t="s">
        <v>15</v>
      </c>
      <c r="K2027" s="45">
        <v>130.0</v>
      </c>
      <c r="L2027" s="9"/>
      <c r="M2027" s="45">
        <v>130.0</v>
      </c>
    </row>
    <row r="2028">
      <c r="A2028" s="34" t="s">
        <v>70</v>
      </c>
      <c r="B2028" s="34" t="s">
        <v>1579</v>
      </c>
      <c r="C2028" s="34">
        <v>78.0</v>
      </c>
      <c r="D2028" s="34" t="s">
        <v>1580</v>
      </c>
      <c r="E2028" s="34" t="s">
        <v>5076</v>
      </c>
      <c r="F2028" s="34" t="s">
        <v>5077</v>
      </c>
      <c r="G2028" s="34">
        <v>78646.0</v>
      </c>
      <c r="H2028" s="34" t="s">
        <v>1579</v>
      </c>
      <c r="I2028" s="34" t="s">
        <v>17</v>
      </c>
      <c r="J2028" s="34" t="s">
        <v>13</v>
      </c>
      <c r="K2028" s="9"/>
      <c r="L2028" s="45">
        <v>113.3</v>
      </c>
      <c r="M2028" s="45">
        <v>113.3</v>
      </c>
    </row>
    <row r="2029">
      <c r="A2029" s="34" t="s">
        <v>70</v>
      </c>
      <c r="B2029" s="34" t="s">
        <v>1579</v>
      </c>
      <c r="C2029" s="34">
        <v>78.0</v>
      </c>
      <c r="D2029" s="34" t="s">
        <v>1580</v>
      </c>
      <c r="E2029" s="34" t="s">
        <v>5078</v>
      </c>
      <c r="F2029" s="34" t="s">
        <v>5079</v>
      </c>
      <c r="G2029" s="34">
        <v>78551.0</v>
      </c>
      <c r="H2029" s="34" t="s">
        <v>1592</v>
      </c>
      <c r="I2029" s="34" t="s">
        <v>18</v>
      </c>
      <c r="J2029" s="34" t="s">
        <v>14</v>
      </c>
      <c r="K2029" s="45">
        <v>119.0</v>
      </c>
      <c r="L2029" s="45">
        <v>97.3</v>
      </c>
      <c r="M2029" s="45">
        <v>112.8</v>
      </c>
    </row>
    <row r="2030">
      <c r="A2030" s="34" t="s">
        <v>70</v>
      </c>
      <c r="B2030" s="34" t="s">
        <v>1579</v>
      </c>
      <c r="C2030" s="34">
        <v>78.0</v>
      </c>
      <c r="D2030" s="34" t="s">
        <v>1580</v>
      </c>
      <c r="E2030" s="34" t="s">
        <v>5080</v>
      </c>
      <c r="F2030" s="34" t="s">
        <v>4183</v>
      </c>
      <c r="G2030" s="34">
        <v>78551.0</v>
      </c>
      <c r="H2030" s="34" t="s">
        <v>1592</v>
      </c>
      <c r="I2030" s="34" t="s">
        <v>17</v>
      </c>
      <c r="J2030" s="34" t="s">
        <v>14</v>
      </c>
      <c r="K2030" s="45">
        <v>149.7</v>
      </c>
      <c r="L2030" s="45">
        <v>118.3</v>
      </c>
      <c r="M2030" s="45">
        <v>148.8</v>
      </c>
    </row>
    <row r="2031">
      <c r="A2031" s="34" t="s">
        <v>70</v>
      </c>
      <c r="B2031" s="34" t="s">
        <v>1579</v>
      </c>
      <c r="C2031" s="34">
        <v>78.0</v>
      </c>
      <c r="D2031" s="34" t="s">
        <v>1580</v>
      </c>
      <c r="E2031" s="34" t="s">
        <v>5081</v>
      </c>
      <c r="F2031" s="34" t="s">
        <v>5082</v>
      </c>
      <c r="G2031" s="34">
        <v>78646.0</v>
      </c>
      <c r="H2031" s="34" t="s">
        <v>1579</v>
      </c>
      <c r="I2031" s="34" t="s">
        <v>17</v>
      </c>
      <c r="J2031" s="34" t="s">
        <v>14</v>
      </c>
      <c r="K2031" s="45">
        <v>122.2</v>
      </c>
      <c r="L2031" s="45">
        <v>110.6</v>
      </c>
      <c r="M2031" s="45">
        <v>111.8</v>
      </c>
    </row>
    <row r="2032">
      <c r="A2032" s="34" t="s">
        <v>70</v>
      </c>
      <c r="B2032" s="34" t="s">
        <v>1579</v>
      </c>
      <c r="C2032" s="34">
        <v>78.0</v>
      </c>
      <c r="D2032" s="34" t="s">
        <v>1580</v>
      </c>
      <c r="E2032" s="34" t="s">
        <v>5083</v>
      </c>
      <c r="F2032" s="34" t="s">
        <v>5084</v>
      </c>
      <c r="G2032" s="34">
        <v>78646.0</v>
      </c>
      <c r="H2032" s="34" t="s">
        <v>1579</v>
      </c>
      <c r="I2032" s="34" t="s">
        <v>17</v>
      </c>
      <c r="J2032" s="34" t="s">
        <v>15</v>
      </c>
      <c r="K2032" s="45">
        <v>150.9</v>
      </c>
      <c r="L2032" s="9"/>
      <c r="M2032" s="45">
        <v>150.9</v>
      </c>
    </row>
    <row r="2033">
      <c r="A2033" s="34" t="s">
        <v>70</v>
      </c>
      <c r="B2033" s="34" t="s">
        <v>284</v>
      </c>
      <c r="C2033" s="34">
        <v>79.0</v>
      </c>
      <c r="D2033" s="34" t="s">
        <v>1622</v>
      </c>
      <c r="E2033" s="34" t="s">
        <v>5085</v>
      </c>
      <c r="F2033" s="34" t="s">
        <v>5086</v>
      </c>
      <c r="G2033" s="34">
        <v>79270.0</v>
      </c>
      <c r="H2033" s="34" t="s">
        <v>5087</v>
      </c>
      <c r="I2033" s="34" t="s">
        <v>18</v>
      </c>
      <c r="J2033" s="34" t="s">
        <v>14</v>
      </c>
      <c r="K2033" s="45">
        <v>119.2</v>
      </c>
      <c r="L2033" s="45">
        <v>90.5</v>
      </c>
      <c r="M2033" s="45">
        <v>111.6</v>
      </c>
    </row>
    <row r="2034">
      <c r="A2034" s="34" t="s">
        <v>70</v>
      </c>
      <c r="B2034" s="34" t="s">
        <v>284</v>
      </c>
      <c r="C2034" s="34">
        <v>79.0</v>
      </c>
      <c r="D2034" s="34" t="s">
        <v>1622</v>
      </c>
      <c r="E2034" s="34" t="s">
        <v>5088</v>
      </c>
      <c r="F2034" s="34" t="s">
        <v>5089</v>
      </c>
      <c r="G2034" s="34">
        <v>79191.0</v>
      </c>
      <c r="H2034" s="34" t="s">
        <v>1625</v>
      </c>
      <c r="I2034" s="34" t="s">
        <v>18</v>
      </c>
      <c r="J2034" s="34" t="s">
        <v>13</v>
      </c>
      <c r="K2034" s="9"/>
      <c r="L2034" s="45">
        <v>87.5</v>
      </c>
      <c r="M2034" s="45">
        <v>87.5</v>
      </c>
    </row>
    <row r="2035">
      <c r="A2035" s="34" t="s">
        <v>70</v>
      </c>
      <c r="B2035" s="34" t="s">
        <v>284</v>
      </c>
      <c r="C2035" s="34">
        <v>79.0</v>
      </c>
      <c r="D2035" s="34" t="s">
        <v>1622</v>
      </c>
      <c r="E2035" s="34" t="s">
        <v>5090</v>
      </c>
      <c r="F2035" s="34" t="s">
        <v>5091</v>
      </c>
      <c r="G2035" s="34">
        <v>79191.0</v>
      </c>
      <c r="H2035" s="34" t="s">
        <v>1625</v>
      </c>
      <c r="I2035" s="34" t="s">
        <v>18</v>
      </c>
      <c r="J2035" s="34" t="s">
        <v>13</v>
      </c>
      <c r="K2035" s="9"/>
      <c r="L2035" s="45">
        <v>85.1</v>
      </c>
      <c r="M2035" s="45">
        <v>85.1</v>
      </c>
    </row>
    <row r="2036">
      <c r="A2036" s="34" t="s">
        <v>70</v>
      </c>
      <c r="B2036" s="34" t="s">
        <v>88</v>
      </c>
      <c r="C2036" s="34">
        <v>80.0</v>
      </c>
      <c r="D2036" s="34" t="s">
        <v>1635</v>
      </c>
      <c r="E2036" s="34" t="s">
        <v>5092</v>
      </c>
      <c r="F2036" s="34" t="s">
        <v>5093</v>
      </c>
      <c r="G2036" s="34">
        <v>80021.0</v>
      </c>
      <c r="H2036" s="34" t="s">
        <v>88</v>
      </c>
      <c r="I2036" s="34" t="s">
        <v>18</v>
      </c>
      <c r="J2036" s="34" t="s">
        <v>15</v>
      </c>
      <c r="K2036" s="45">
        <v>91.5</v>
      </c>
      <c r="L2036" s="9"/>
      <c r="M2036" s="45">
        <v>91.5</v>
      </c>
    </row>
    <row r="2037">
      <c r="A2037" s="34" t="s">
        <v>70</v>
      </c>
      <c r="B2037" s="34" t="s">
        <v>88</v>
      </c>
      <c r="C2037" s="34">
        <v>80.0</v>
      </c>
      <c r="D2037" s="34" t="s">
        <v>1635</v>
      </c>
      <c r="E2037" s="34" t="s">
        <v>5094</v>
      </c>
      <c r="F2037" s="34" t="s">
        <v>5095</v>
      </c>
      <c r="G2037" s="34">
        <v>80021.0</v>
      </c>
      <c r="H2037" s="34" t="s">
        <v>88</v>
      </c>
      <c r="I2037" s="34" t="s">
        <v>18</v>
      </c>
      <c r="J2037" s="34" t="s">
        <v>13</v>
      </c>
      <c r="K2037" s="9"/>
      <c r="L2037" s="45">
        <v>76.0</v>
      </c>
      <c r="M2037" s="45">
        <v>76.0</v>
      </c>
    </row>
    <row r="2038">
      <c r="A2038" s="34" t="s">
        <v>70</v>
      </c>
      <c r="B2038" s="34" t="s">
        <v>88</v>
      </c>
      <c r="C2038" s="34">
        <v>80.0</v>
      </c>
      <c r="D2038" s="34" t="s">
        <v>1635</v>
      </c>
      <c r="E2038" s="34" t="s">
        <v>5096</v>
      </c>
      <c r="F2038" s="34" t="s">
        <v>1639</v>
      </c>
      <c r="G2038" s="34">
        <v>80021.0</v>
      </c>
      <c r="H2038" s="34" t="s">
        <v>88</v>
      </c>
      <c r="I2038" s="34" t="s">
        <v>17</v>
      </c>
      <c r="J2038" s="34" t="s">
        <v>15</v>
      </c>
      <c r="K2038" s="45">
        <v>117.1</v>
      </c>
      <c r="L2038" s="9"/>
      <c r="M2038" s="45">
        <v>117.1</v>
      </c>
    </row>
    <row r="2039">
      <c r="A2039" s="34" t="s">
        <v>70</v>
      </c>
      <c r="B2039" s="34" t="s">
        <v>88</v>
      </c>
      <c r="C2039" s="34">
        <v>80.0</v>
      </c>
      <c r="D2039" s="34" t="s">
        <v>1635</v>
      </c>
      <c r="E2039" s="34" t="s">
        <v>5097</v>
      </c>
      <c r="F2039" s="34" t="s">
        <v>5098</v>
      </c>
      <c r="G2039" s="34">
        <v>80021.0</v>
      </c>
      <c r="H2039" s="34" t="s">
        <v>88</v>
      </c>
      <c r="I2039" s="34" t="s">
        <v>17</v>
      </c>
      <c r="J2039" s="34" t="s">
        <v>15</v>
      </c>
      <c r="K2039" s="45">
        <v>127.1</v>
      </c>
      <c r="L2039" s="9"/>
      <c r="M2039" s="45">
        <v>127.1</v>
      </c>
    </row>
    <row r="2040">
      <c r="A2040" s="34" t="s">
        <v>70</v>
      </c>
      <c r="B2040" s="34" t="s">
        <v>88</v>
      </c>
      <c r="C2040" s="34">
        <v>80.0</v>
      </c>
      <c r="D2040" s="34" t="s">
        <v>1635</v>
      </c>
      <c r="E2040" s="34" t="s">
        <v>5099</v>
      </c>
      <c r="F2040" s="34" t="s">
        <v>5100</v>
      </c>
      <c r="G2040" s="34">
        <v>80021.0</v>
      </c>
      <c r="H2040" s="34" t="s">
        <v>88</v>
      </c>
      <c r="I2040" s="34" t="s">
        <v>18</v>
      </c>
      <c r="J2040" s="34" t="s">
        <v>15</v>
      </c>
      <c r="K2040" s="45">
        <v>108.7</v>
      </c>
      <c r="L2040" s="9"/>
      <c r="M2040" s="45">
        <v>108.7</v>
      </c>
    </row>
    <row r="2041">
      <c r="A2041" s="34" t="s">
        <v>70</v>
      </c>
      <c r="B2041" s="34" t="s">
        <v>88</v>
      </c>
      <c r="C2041" s="34">
        <v>80.0</v>
      </c>
      <c r="D2041" s="34" t="s">
        <v>1635</v>
      </c>
      <c r="E2041" s="34" t="s">
        <v>5101</v>
      </c>
      <c r="F2041" s="34" t="s">
        <v>5102</v>
      </c>
      <c r="G2041" s="34">
        <v>80318.0</v>
      </c>
      <c r="H2041" s="34" t="s">
        <v>5103</v>
      </c>
      <c r="I2041" s="34" t="s">
        <v>18</v>
      </c>
      <c r="J2041" s="34" t="s">
        <v>13</v>
      </c>
      <c r="K2041" s="9"/>
      <c r="L2041" s="45">
        <v>70.2</v>
      </c>
      <c r="M2041" s="45">
        <v>70.2</v>
      </c>
    </row>
    <row r="2042">
      <c r="A2042" s="34" t="s">
        <v>70</v>
      </c>
      <c r="B2042" s="34" t="s">
        <v>88</v>
      </c>
      <c r="C2042" s="34">
        <v>80.0</v>
      </c>
      <c r="D2042" s="34" t="s">
        <v>1635</v>
      </c>
      <c r="E2042" s="34" t="s">
        <v>5104</v>
      </c>
      <c r="F2042" s="34" t="s">
        <v>5105</v>
      </c>
      <c r="G2042" s="34">
        <v>80368.0</v>
      </c>
      <c r="H2042" s="34" t="s">
        <v>5106</v>
      </c>
      <c r="I2042" s="34" t="s">
        <v>18</v>
      </c>
      <c r="J2042" s="34" t="s">
        <v>14</v>
      </c>
      <c r="K2042" s="45">
        <v>97.9</v>
      </c>
      <c r="L2042" s="45">
        <v>73.2</v>
      </c>
      <c r="M2042" s="45">
        <v>88.7</v>
      </c>
    </row>
    <row r="2043">
      <c r="A2043" s="34" t="s">
        <v>70</v>
      </c>
      <c r="B2043" s="34" t="s">
        <v>88</v>
      </c>
      <c r="C2043" s="34">
        <v>80.0</v>
      </c>
      <c r="D2043" s="34" t="s">
        <v>1635</v>
      </c>
      <c r="E2043" s="34" t="s">
        <v>5107</v>
      </c>
      <c r="F2043" s="34" t="s">
        <v>5108</v>
      </c>
      <c r="G2043" s="34">
        <v>80253.0</v>
      </c>
      <c r="H2043" s="34" t="s">
        <v>5109</v>
      </c>
      <c r="I2043" s="34" t="s">
        <v>18</v>
      </c>
      <c r="J2043" s="34" t="s">
        <v>14</v>
      </c>
      <c r="K2043" s="45">
        <v>97.8</v>
      </c>
      <c r="L2043" s="45">
        <v>74.4</v>
      </c>
      <c r="M2043" s="45">
        <v>89.2</v>
      </c>
    </row>
    <row r="2044">
      <c r="A2044" s="34" t="s">
        <v>70</v>
      </c>
      <c r="B2044" s="34" t="s">
        <v>88</v>
      </c>
      <c r="C2044" s="34">
        <v>80.0</v>
      </c>
      <c r="D2044" s="34" t="s">
        <v>1635</v>
      </c>
      <c r="E2044" s="34" t="s">
        <v>5110</v>
      </c>
      <c r="F2044" s="34" t="s">
        <v>5111</v>
      </c>
      <c r="G2044" s="34">
        <v>80021.0</v>
      </c>
      <c r="H2044" s="34" t="s">
        <v>88</v>
      </c>
      <c r="I2044" s="34" t="s">
        <v>17</v>
      </c>
      <c r="J2044" s="34" t="s">
        <v>13</v>
      </c>
      <c r="K2044" s="9"/>
      <c r="L2044" s="45">
        <v>103.6</v>
      </c>
      <c r="M2044" s="45">
        <v>103.6</v>
      </c>
    </row>
    <row r="2045">
      <c r="A2045" s="34" t="s">
        <v>70</v>
      </c>
      <c r="B2045" s="34" t="s">
        <v>182</v>
      </c>
      <c r="C2045" s="34">
        <v>81.0</v>
      </c>
      <c r="D2045" s="34" t="s">
        <v>1650</v>
      </c>
      <c r="E2045" s="34" t="s">
        <v>5112</v>
      </c>
      <c r="F2045" s="34" t="s">
        <v>1733</v>
      </c>
      <c r="G2045" s="34">
        <v>81099.0</v>
      </c>
      <c r="H2045" s="34" t="s">
        <v>5113</v>
      </c>
      <c r="I2045" s="34" t="s">
        <v>18</v>
      </c>
      <c r="J2045" s="34" t="s">
        <v>15</v>
      </c>
      <c r="K2045" s="45">
        <v>118.2</v>
      </c>
      <c r="L2045" s="9"/>
      <c r="M2045" s="45">
        <v>118.2</v>
      </c>
    </row>
    <row r="2046">
      <c r="A2046" s="34" t="s">
        <v>70</v>
      </c>
      <c r="B2046" s="34" t="s">
        <v>182</v>
      </c>
      <c r="C2046" s="34">
        <v>81.0</v>
      </c>
      <c r="D2046" s="34" t="s">
        <v>1650</v>
      </c>
      <c r="E2046" s="34" t="s">
        <v>5114</v>
      </c>
      <c r="F2046" s="34" t="s">
        <v>5115</v>
      </c>
      <c r="G2046" s="34">
        <v>81163.0</v>
      </c>
      <c r="H2046" s="34" t="s">
        <v>1664</v>
      </c>
      <c r="I2046" s="34" t="s">
        <v>18</v>
      </c>
      <c r="J2046" s="34" t="s">
        <v>13</v>
      </c>
      <c r="K2046" s="9"/>
      <c r="L2046" s="45">
        <v>88.3</v>
      </c>
      <c r="M2046" s="45">
        <v>88.3</v>
      </c>
    </row>
    <row r="2047">
      <c r="A2047" s="34" t="s">
        <v>70</v>
      </c>
      <c r="B2047" s="34" t="s">
        <v>182</v>
      </c>
      <c r="C2047" s="34">
        <v>82.0</v>
      </c>
      <c r="D2047" s="34" t="s">
        <v>1665</v>
      </c>
      <c r="E2047" s="34" t="s">
        <v>5116</v>
      </c>
      <c r="F2047" s="34" t="s">
        <v>5117</v>
      </c>
      <c r="G2047" s="34">
        <v>82121.0</v>
      </c>
      <c r="H2047" s="34" t="s">
        <v>1674</v>
      </c>
      <c r="I2047" s="34" t="s">
        <v>18</v>
      </c>
      <c r="J2047" s="34" t="s">
        <v>15</v>
      </c>
      <c r="K2047" s="45">
        <v>119.5</v>
      </c>
      <c r="L2047" s="9"/>
      <c r="M2047" s="45">
        <v>119.5</v>
      </c>
    </row>
    <row r="2048">
      <c r="A2048" s="34" t="s">
        <v>70</v>
      </c>
      <c r="B2048" s="34" t="s">
        <v>182</v>
      </c>
      <c r="C2048" s="34">
        <v>82.0</v>
      </c>
      <c r="D2048" s="34" t="s">
        <v>1665</v>
      </c>
      <c r="E2048" s="34" t="s">
        <v>5118</v>
      </c>
      <c r="F2048" s="34" t="s">
        <v>5119</v>
      </c>
      <c r="G2048" s="34">
        <v>82121.0</v>
      </c>
      <c r="H2048" s="34" t="s">
        <v>1674</v>
      </c>
      <c r="I2048" s="34" t="s">
        <v>18</v>
      </c>
      <c r="J2048" s="34" t="s">
        <v>13</v>
      </c>
      <c r="K2048" s="9"/>
      <c r="L2048" s="45">
        <v>87.2</v>
      </c>
      <c r="M2048" s="45">
        <v>87.2</v>
      </c>
    </row>
    <row r="2049">
      <c r="A2049" s="34" t="s">
        <v>70</v>
      </c>
      <c r="B2049" s="34" t="s">
        <v>182</v>
      </c>
      <c r="C2049" s="34">
        <v>82.0</v>
      </c>
      <c r="D2049" s="34" t="s">
        <v>1665</v>
      </c>
      <c r="E2049" s="34" t="s">
        <v>5120</v>
      </c>
      <c r="F2049" s="34" t="s">
        <v>5121</v>
      </c>
      <c r="G2049" s="34">
        <v>82037.0</v>
      </c>
      <c r="H2049" s="34" t="s">
        <v>5122</v>
      </c>
      <c r="I2049" s="34" t="s">
        <v>17</v>
      </c>
      <c r="J2049" s="34" t="s">
        <v>13</v>
      </c>
      <c r="K2049" s="9"/>
      <c r="L2049" s="45">
        <v>87.1</v>
      </c>
      <c r="M2049" s="45">
        <v>87.1</v>
      </c>
    </row>
    <row r="2050">
      <c r="A2050" s="34" t="s">
        <v>70</v>
      </c>
      <c r="B2050" s="34" t="s">
        <v>182</v>
      </c>
      <c r="C2050" s="34">
        <v>82.0</v>
      </c>
      <c r="D2050" s="34" t="s">
        <v>1665</v>
      </c>
      <c r="E2050" s="34" t="s">
        <v>5123</v>
      </c>
      <c r="F2050" s="34" t="s">
        <v>5124</v>
      </c>
      <c r="G2050" s="34">
        <v>82186.0</v>
      </c>
      <c r="H2050" s="34" t="s">
        <v>411</v>
      </c>
      <c r="I2050" s="34" t="s">
        <v>18</v>
      </c>
      <c r="J2050" s="34" t="s">
        <v>14</v>
      </c>
      <c r="K2050" s="45">
        <v>105.6</v>
      </c>
      <c r="L2050" s="45">
        <v>83.1</v>
      </c>
      <c r="M2050" s="45">
        <v>95.5</v>
      </c>
    </row>
    <row r="2051">
      <c r="A2051" s="34" t="s">
        <v>70</v>
      </c>
      <c r="B2051" s="34" t="s">
        <v>134</v>
      </c>
      <c r="C2051" s="34">
        <v>83.0</v>
      </c>
      <c r="D2051" s="34" t="s">
        <v>1678</v>
      </c>
      <c r="E2051" s="34" t="s">
        <v>5125</v>
      </c>
      <c r="F2051" s="34" t="s">
        <v>80</v>
      </c>
      <c r="G2051" s="34">
        <v>83090.0</v>
      </c>
      <c r="H2051" s="34" t="s">
        <v>3531</v>
      </c>
      <c r="I2051" s="34" t="s">
        <v>17</v>
      </c>
      <c r="J2051" s="34" t="s">
        <v>15</v>
      </c>
      <c r="K2051" s="45">
        <v>127.8</v>
      </c>
      <c r="L2051" s="9"/>
      <c r="M2051" s="45">
        <v>127.8</v>
      </c>
    </row>
    <row r="2052">
      <c r="A2052" s="34" t="s">
        <v>70</v>
      </c>
      <c r="B2052" s="34" t="s">
        <v>134</v>
      </c>
      <c r="C2052" s="34">
        <v>83.0</v>
      </c>
      <c r="D2052" s="34" t="s">
        <v>1678</v>
      </c>
      <c r="E2052" s="34" t="s">
        <v>5126</v>
      </c>
      <c r="F2052" s="34" t="s">
        <v>5127</v>
      </c>
      <c r="G2052" s="34">
        <v>83137.0</v>
      </c>
      <c r="H2052" s="34" t="s">
        <v>1688</v>
      </c>
      <c r="I2052" s="34" t="s">
        <v>17</v>
      </c>
      <c r="J2052" s="34" t="s">
        <v>15</v>
      </c>
      <c r="K2052" s="45">
        <v>129.1</v>
      </c>
      <c r="L2052" s="9"/>
      <c r="M2052" s="45">
        <v>129.1</v>
      </c>
    </row>
    <row r="2053">
      <c r="A2053" s="34" t="s">
        <v>70</v>
      </c>
      <c r="B2053" s="34" t="s">
        <v>134</v>
      </c>
      <c r="C2053" s="34">
        <v>83.0</v>
      </c>
      <c r="D2053" s="34" t="s">
        <v>1678</v>
      </c>
      <c r="E2053" s="34" t="s">
        <v>5128</v>
      </c>
      <c r="F2053" s="34" t="s">
        <v>1617</v>
      </c>
      <c r="G2053" s="34">
        <v>83137.0</v>
      </c>
      <c r="H2053" s="34" t="s">
        <v>1688</v>
      </c>
      <c r="I2053" s="34" t="s">
        <v>17</v>
      </c>
      <c r="J2053" s="34" t="s">
        <v>15</v>
      </c>
      <c r="K2053" s="45">
        <v>123.4</v>
      </c>
      <c r="L2053" s="9"/>
      <c r="M2053" s="45">
        <v>123.4</v>
      </c>
    </row>
    <row r="2054">
      <c r="A2054" s="34" t="s">
        <v>70</v>
      </c>
      <c r="B2054" s="34" t="s">
        <v>134</v>
      </c>
      <c r="C2054" s="34">
        <v>83.0</v>
      </c>
      <c r="D2054" s="34" t="s">
        <v>1678</v>
      </c>
      <c r="E2054" s="34" t="s">
        <v>5129</v>
      </c>
      <c r="F2054" s="34" t="s">
        <v>5130</v>
      </c>
      <c r="G2054" s="34">
        <v>83137.0</v>
      </c>
      <c r="H2054" s="34" t="s">
        <v>1688</v>
      </c>
      <c r="I2054" s="34" t="s">
        <v>17</v>
      </c>
      <c r="J2054" s="34" t="s">
        <v>13</v>
      </c>
      <c r="K2054" s="9"/>
      <c r="L2054" s="45">
        <v>100.6</v>
      </c>
      <c r="M2054" s="45">
        <v>100.6</v>
      </c>
    </row>
    <row r="2055">
      <c r="A2055" s="34" t="s">
        <v>70</v>
      </c>
      <c r="B2055" s="34" t="s">
        <v>134</v>
      </c>
      <c r="C2055" s="34">
        <v>83.0</v>
      </c>
      <c r="D2055" s="34" t="s">
        <v>1678</v>
      </c>
      <c r="E2055" s="34" t="s">
        <v>5131</v>
      </c>
      <c r="F2055" s="34" t="s">
        <v>5132</v>
      </c>
      <c r="G2055" s="34">
        <v>83137.0</v>
      </c>
      <c r="H2055" s="34" t="s">
        <v>1688</v>
      </c>
      <c r="I2055" s="34" t="s">
        <v>18</v>
      </c>
      <c r="J2055" s="34" t="s">
        <v>15</v>
      </c>
      <c r="K2055" s="45">
        <v>96.3</v>
      </c>
      <c r="L2055" s="9"/>
      <c r="M2055" s="45">
        <v>96.3</v>
      </c>
    </row>
    <row r="2056">
      <c r="A2056" s="34" t="s">
        <v>70</v>
      </c>
      <c r="B2056" s="34" t="s">
        <v>134</v>
      </c>
      <c r="C2056" s="34">
        <v>83.0</v>
      </c>
      <c r="D2056" s="34" t="s">
        <v>1678</v>
      </c>
      <c r="E2056" s="34" t="s">
        <v>5133</v>
      </c>
      <c r="F2056" s="34" t="s">
        <v>5134</v>
      </c>
      <c r="G2056" s="34">
        <v>83137.0</v>
      </c>
      <c r="H2056" s="34" t="s">
        <v>1688</v>
      </c>
      <c r="I2056" s="34" t="s">
        <v>18</v>
      </c>
      <c r="J2056" s="34" t="s">
        <v>14</v>
      </c>
      <c r="K2056" s="45">
        <v>119.9</v>
      </c>
      <c r="L2056" s="45">
        <v>101.1</v>
      </c>
      <c r="M2056" s="45">
        <v>118.4</v>
      </c>
    </row>
    <row r="2057">
      <c r="A2057" s="34" t="s">
        <v>70</v>
      </c>
      <c r="B2057" s="34" t="s">
        <v>129</v>
      </c>
      <c r="C2057" s="34">
        <v>84.0</v>
      </c>
      <c r="D2057" s="34" t="s">
        <v>1704</v>
      </c>
      <c r="E2057" s="34" t="s">
        <v>5135</v>
      </c>
      <c r="F2057" s="34" t="s">
        <v>5136</v>
      </c>
      <c r="G2057" s="34">
        <v>84007.0</v>
      </c>
      <c r="H2057" s="34" t="s">
        <v>1707</v>
      </c>
      <c r="I2057" s="34" t="s">
        <v>18</v>
      </c>
      <c r="J2057" s="34" t="s">
        <v>15</v>
      </c>
      <c r="K2057" s="45">
        <v>102.7</v>
      </c>
      <c r="L2057" s="9"/>
      <c r="M2057" s="45">
        <v>102.7</v>
      </c>
    </row>
    <row r="2058">
      <c r="A2058" s="34" t="s">
        <v>70</v>
      </c>
      <c r="B2058" s="34" t="s">
        <v>129</v>
      </c>
      <c r="C2058" s="34">
        <v>84.0</v>
      </c>
      <c r="D2058" s="34" t="s">
        <v>1704</v>
      </c>
      <c r="E2058" s="34" t="s">
        <v>5137</v>
      </c>
      <c r="F2058" s="34" t="s">
        <v>5138</v>
      </c>
      <c r="G2058" s="34">
        <v>84054.0</v>
      </c>
      <c r="H2058" s="34" t="s">
        <v>5139</v>
      </c>
      <c r="I2058" s="34" t="s">
        <v>18</v>
      </c>
      <c r="J2058" s="34" t="s">
        <v>14</v>
      </c>
      <c r="K2058" s="45">
        <v>119.6</v>
      </c>
      <c r="L2058" s="45">
        <v>93.8</v>
      </c>
      <c r="M2058" s="45">
        <v>114.0</v>
      </c>
    </row>
    <row r="2059">
      <c r="A2059" s="34" t="s">
        <v>70</v>
      </c>
      <c r="B2059" s="34" t="s">
        <v>129</v>
      </c>
      <c r="C2059" s="34">
        <v>84.0</v>
      </c>
      <c r="D2059" s="34" t="s">
        <v>1704</v>
      </c>
      <c r="E2059" s="34" t="s">
        <v>5140</v>
      </c>
      <c r="F2059" s="34" t="s">
        <v>5141</v>
      </c>
      <c r="G2059" s="34">
        <v>84007.0</v>
      </c>
      <c r="H2059" s="34" t="s">
        <v>1707</v>
      </c>
      <c r="I2059" s="34" t="s">
        <v>18</v>
      </c>
      <c r="J2059" s="34" t="s">
        <v>13</v>
      </c>
      <c r="K2059" s="9"/>
      <c r="L2059" s="45">
        <v>75.5</v>
      </c>
      <c r="M2059" s="45">
        <v>75.5</v>
      </c>
    </row>
    <row r="2060">
      <c r="A2060" s="34" t="s">
        <v>70</v>
      </c>
      <c r="B2060" s="34" t="s">
        <v>129</v>
      </c>
      <c r="C2060" s="34">
        <v>84.0</v>
      </c>
      <c r="D2060" s="34" t="s">
        <v>1704</v>
      </c>
      <c r="E2060" s="34" t="s">
        <v>5142</v>
      </c>
      <c r="F2060" s="34" t="s">
        <v>80</v>
      </c>
      <c r="G2060" s="34">
        <v>84007.0</v>
      </c>
      <c r="H2060" s="34" t="s">
        <v>1707</v>
      </c>
      <c r="I2060" s="34" t="s">
        <v>17</v>
      </c>
      <c r="J2060" s="34" t="s">
        <v>15</v>
      </c>
      <c r="K2060" s="45">
        <v>118.7</v>
      </c>
      <c r="L2060" s="9"/>
      <c r="M2060" s="45">
        <v>118.7</v>
      </c>
    </row>
    <row r="2061">
      <c r="A2061" s="34" t="s">
        <v>70</v>
      </c>
      <c r="B2061" s="34" t="s">
        <v>129</v>
      </c>
      <c r="C2061" s="34">
        <v>84.0</v>
      </c>
      <c r="D2061" s="34" t="s">
        <v>1704</v>
      </c>
      <c r="E2061" s="34" t="s">
        <v>5143</v>
      </c>
      <c r="F2061" s="34" t="s">
        <v>5144</v>
      </c>
      <c r="G2061" s="34">
        <v>84007.0</v>
      </c>
      <c r="H2061" s="34" t="s">
        <v>1707</v>
      </c>
      <c r="I2061" s="34" t="s">
        <v>17</v>
      </c>
      <c r="J2061" s="34" t="s">
        <v>14</v>
      </c>
      <c r="K2061" s="45">
        <v>122.1</v>
      </c>
      <c r="L2061" s="45">
        <v>111.9</v>
      </c>
      <c r="M2061" s="45">
        <v>117.6</v>
      </c>
    </row>
    <row r="2062">
      <c r="A2062" s="34" t="s">
        <v>70</v>
      </c>
      <c r="B2062" s="34" t="s">
        <v>779</v>
      </c>
      <c r="C2062" s="34">
        <v>85.0</v>
      </c>
      <c r="D2062" s="34" t="s">
        <v>1708</v>
      </c>
      <c r="E2062" s="34" t="s">
        <v>5145</v>
      </c>
      <c r="F2062" s="34" t="s">
        <v>5146</v>
      </c>
      <c r="G2062" s="34">
        <v>85191.0</v>
      </c>
      <c r="H2062" s="34" t="s">
        <v>1725</v>
      </c>
      <c r="I2062" s="34" t="s">
        <v>18</v>
      </c>
      <c r="J2062" s="34" t="s">
        <v>15</v>
      </c>
      <c r="K2062" s="45">
        <v>109.2</v>
      </c>
      <c r="L2062" s="9"/>
      <c r="M2062" s="45">
        <v>109.2</v>
      </c>
    </row>
    <row r="2063">
      <c r="A2063" s="34" t="s">
        <v>70</v>
      </c>
      <c r="B2063" s="34" t="s">
        <v>779</v>
      </c>
      <c r="C2063" s="34">
        <v>85.0</v>
      </c>
      <c r="D2063" s="34" t="s">
        <v>1708</v>
      </c>
      <c r="E2063" s="34" t="s">
        <v>5147</v>
      </c>
      <c r="F2063" s="34" t="s">
        <v>5148</v>
      </c>
      <c r="G2063" s="34">
        <v>85194.0</v>
      </c>
      <c r="H2063" s="34" t="s">
        <v>1714</v>
      </c>
      <c r="I2063" s="34" t="s">
        <v>18</v>
      </c>
      <c r="J2063" s="34" t="s">
        <v>13</v>
      </c>
      <c r="K2063" s="9"/>
      <c r="L2063" s="45">
        <v>88.3</v>
      </c>
      <c r="M2063" s="45">
        <v>88.3</v>
      </c>
    </row>
    <row r="2064">
      <c r="A2064" s="34" t="s">
        <v>70</v>
      </c>
      <c r="B2064" s="34" t="s">
        <v>779</v>
      </c>
      <c r="C2064" s="34">
        <v>85.0</v>
      </c>
      <c r="D2064" s="34" t="s">
        <v>1708</v>
      </c>
      <c r="E2064" s="34" t="s">
        <v>5149</v>
      </c>
      <c r="F2064" s="34" t="s">
        <v>5150</v>
      </c>
      <c r="G2064" s="34">
        <v>85051.0</v>
      </c>
      <c r="H2064" s="34" t="s">
        <v>3559</v>
      </c>
      <c r="I2064" s="34" t="s">
        <v>17</v>
      </c>
      <c r="J2064" s="34" t="s">
        <v>14</v>
      </c>
      <c r="K2064" s="45">
        <v>111.1</v>
      </c>
      <c r="L2064" s="45">
        <v>98.0</v>
      </c>
      <c r="M2064" s="45">
        <v>105.0</v>
      </c>
    </row>
    <row r="2065">
      <c r="A2065" s="34" t="s">
        <v>70</v>
      </c>
      <c r="B2065" s="34" t="s">
        <v>779</v>
      </c>
      <c r="C2065" s="34">
        <v>85.0</v>
      </c>
      <c r="D2065" s="34" t="s">
        <v>1708</v>
      </c>
      <c r="E2065" s="34" t="s">
        <v>5151</v>
      </c>
      <c r="F2065" s="34" t="s">
        <v>5152</v>
      </c>
      <c r="G2065" s="34">
        <v>85146.0</v>
      </c>
      <c r="H2065" s="34" t="s">
        <v>3570</v>
      </c>
      <c r="I2065" s="34" t="s">
        <v>17</v>
      </c>
      <c r="J2065" s="34" t="s">
        <v>14</v>
      </c>
      <c r="K2065" s="45">
        <v>114.8</v>
      </c>
      <c r="L2065" s="45">
        <v>90.9</v>
      </c>
      <c r="M2065" s="45">
        <v>108.0</v>
      </c>
    </row>
    <row r="2066">
      <c r="A2066" s="34" t="s">
        <v>70</v>
      </c>
      <c r="B2066" s="34" t="s">
        <v>779</v>
      </c>
      <c r="C2066" s="34">
        <v>85.0</v>
      </c>
      <c r="D2066" s="34" t="s">
        <v>1708</v>
      </c>
      <c r="E2066" s="34" t="s">
        <v>5153</v>
      </c>
      <c r="F2066" s="34" t="s">
        <v>4183</v>
      </c>
      <c r="G2066" s="34">
        <v>85047.0</v>
      </c>
      <c r="H2066" s="34" t="s">
        <v>5154</v>
      </c>
      <c r="I2066" s="34" t="s">
        <v>17</v>
      </c>
      <c r="J2066" s="34" t="s">
        <v>14</v>
      </c>
      <c r="K2066" s="45">
        <v>110.0</v>
      </c>
      <c r="L2066" s="45">
        <v>94.1</v>
      </c>
      <c r="M2066" s="45">
        <v>106.7</v>
      </c>
    </row>
    <row r="2067">
      <c r="A2067" s="34" t="s">
        <v>70</v>
      </c>
      <c r="B2067" s="34" t="s">
        <v>779</v>
      </c>
      <c r="C2067" s="34">
        <v>85.0</v>
      </c>
      <c r="D2067" s="34" t="s">
        <v>1708</v>
      </c>
      <c r="E2067" s="34" t="s">
        <v>5155</v>
      </c>
      <c r="F2067" s="34" t="s">
        <v>5156</v>
      </c>
      <c r="G2067" s="34">
        <v>85047.0</v>
      </c>
      <c r="H2067" s="34" t="s">
        <v>5154</v>
      </c>
      <c r="I2067" s="34" t="s">
        <v>18</v>
      </c>
      <c r="J2067" s="34" t="s">
        <v>13</v>
      </c>
      <c r="K2067" s="9"/>
      <c r="L2067" s="45">
        <v>84.8</v>
      </c>
      <c r="M2067" s="45">
        <v>84.8</v>
      </c>
    </row>
    <row r="2068">
      <c r="A2068" s="34" t="s">
        <v>70</v>
      </c>
      <c r="B2068" s="34" t="s">
        <v>779</v>
      </c>
      <c r="C2068" s="34">
        <v>85.0</v>
      </c>
      <c r="D2068" s="34" t="s">
        <v>1708</v>
      </c>
      <c r="E2068" s="34" t="s">
        <v>5157</v>
      </c>
      <c r="F2068" s="34" t="s">
        <v>2316</v>
      </c>
      <c r="G2068" s="34">
        <v>85109.0</v>
      </c>
      <c r="H2068" s="34" t="s">
        <v>1717</v>
      </c>
      <c r="I2068" s="34" t="s">
        <v>18</v>
      </c>
      <c r="J2068" s="34" t="s">
        <v>14</v>
      </c>
      <c r="K2068" s="45">
        <v>103.4</v>
      </c>
      <c r="L2068" s="45">
        <v>85.9</v>
      </c>
      <c r="M2068" s="45">
        <v>95.8</v>
      </c>
    </row>
    <row r="2069">
      <c r="A2069" s="34" t="s">
        <v>70</v>
      </c>
      <c r="B2069" s="34" t="s">
        <v>779</v>
      </c>
      <c r="C2069" s="34">
        <v>85.0</v>
      </c>
      <c r="D2069" s="34" t="s">
        <v>1708</v>
      </c>
      <c r="E2069" s="34" t="s">
        <v>5158</v>
      </c>
      <c r="F2069" s="34" t="s">
        <v>1096</v>
      </c>
      <c r="G2069" s="34">
        <v>85191.0</v>
      </c>
      <c r="H2069" s="34" t="s">
        <v>1725</v>
      </c>
      <c r="I2069" s="34" t="s">
        <v>17</v>
      </c>
      <c r="J2069" s="34" t="s">
        <v>13</v>
      </c>
      <c r="K2069" s="9"/>
      <c r="L2069" s="45">
        <v>102.8</v>
      </c>
      <c r="M2069" s="45">
        <v>102.8</v>
      </c>
    </row>
    <row r="2070">
      <c r="A2070" s="34" t="s">
        <v>70</v>
      </c>
      <c r="B2070" s="34" t="s">
        <v>779</v>
      </c>
      <c r="C2070" s="34">
        <v>85.0</v>
      </c>
      <c r="D2070" s="34" t="s">
        <v>1708</v>
      </c>
      <c r="E2070" s="34" t="s">
        <v>5159</v>
      </c>
      <c r="F2070" s="34" t="s">
        <v>5160</v>
      </c>
      <c r="G2070" s="34">
        <v>85222.0</v>
      </c>
      <c r="H2070" s="34" t="s">
        <v>5161</v>
      </c>
      <c r="I2070" s="34" t="s">
        <v>18</v>
      </c>
      <c r="J2070" s="34" t="s">
        <v>14</v>
      </c>
      <c r="K2070" s="45">
        <v>115.2</v>
      </c>
      <c r="L2070" s="45">
        <v>90.7</v>
      </c>
      <c r="M2070" s="45">
        <v>109.2</v>
      </c>
    </row>
    <row r="2071">
      <c r="A2071" s="34" t="s">
        <v>70</v>
      </c>
      <c r="B2071" s="34" t="s">
        <v>284</v>
      </c>
      <c r="C2071" s="34">
        <v>86.0</v>
      </c>
      <c r="D2071" s="34" t="s">
        <v>695</v>
      </c>
      <c r="E2071" s="34" t="s">
        <v>5162</v>
      </c>
      <c r="F2071" s="34" t="s">
        <v>5163</v>
      </c>
      <c r="G2071" s="34">
        <v>86066.0</v>
      </c>
      <c r="H2071" s="34" t="s">
        <v>3583</v>
      </c>
      <c r="I2071" s="34" t="s">
        <v>18</v>
      </c>
      <c r="J2071" s="34" t="s">
        <v>15</v>
      </c>
      <c r="K2071" s="45">
        <v>103.3</v>
      </c>
      <c r="L2071" s="9"/>
      <c r="M2071" s="45">
        <v>103.3</v>
      </c>
    </row>
    <row r="2072">
      <c r="A2072" s="34" t="s">
        <v>70</v>
      </c>
      <c r="B2072" s="34" t="s">
        <v>284</v>
      </c>
      <c r="C2072" s="34">
        <v>86.0</v>
      </c>
      <c r="D2072" s="34" t="s">
        <v>695</v>
      </c>
      <c r="E2072" s="34" t="s">
        <v>5164</v>
      </c>
      <c r="F2072" s="34" t="s">
        <v>5165</v>
      </c>
      <c r="G2072" s="34">
        <v>86066.0</v>
      </c>
      <c r="H2072" s="34" t="s">
        <v>3583</v>
      </c>
      <c r="I2072" s="34" t="s">
        <v>18</v>
      </c>
      <c r="J2072" s="34" t="s">
        <v>13</v>
      </c>
      <c r="K2072" s="9"/>
      <c r="L2072" s="45">
        <v>90.6</v>
      </c>
      <c r="M2072" s="45">
        <v>90.6</v>
      </c>
    </row>
    <row r="2073">
      <c r="A2073" s="34" t="s">
        <v>70</v>
      </c>
      <c r="B2073" s="34" t="s">
        <v>284</v>
      </c>
      <c r="C2073" s="34">
        <v>86.0</v>
      </c>
      <c r="D2073" s="34" t="s">
        <v>695</v>
      </c>
      <c r="E2073" s="34" t="s">
        <v>5166</v>
      </c>
      <c r="F2073" s="34" t="s">
        <v>5167</v>
      </c>
      <c r="G2073" s="34">
        <v>86137.0</v>
      </c>
      <c r="H2073" s="34" t="s">
        <v>1729</v>
      </c>
      <c r="I2073" s="34" t="s">
        <v>18</v>
      </c>
      <c r="J2073" s="34" t="s">
        <v>15</v>
      </c>
      <c r="K2073" s="45">
        <v>104.4</v>
      </c>
      <c r="L2073" s="9"/>
      <c r="M2073" s="45">
        <v>104.4</v>
      </c>
    </row>
    <row r="2074">
      <c r="A2074" s="34" t="s">
        <v>70</v>
      </c>
      <c r="B2074" s="34" t="s">
        <v>284</v>
      </c>
      <c r="C2074" s="34">
        <v>86.0</v>
      </c>
      <c r="D2074" s="34" t="s">
        <v>695</v>
      </c>
      <c r="E2074" s="34" t="s">
        <v>5168</v>
      </c>
      <c r="F2074" s="34" t="s">
        <v>5169</v>
      </c>
      <c r="G2074" s="34">
        <v>86194.0</v>
      </c>
      <c r="H2074" s="34" t="s">
        <v>284</v>
      </c>
      <c r="I2074" s="34" t="s">
        <v>18</v>
      </c>
      <c r="J2074" s="34" t="s">
        <v>15</v>
      </c>
      <c r="K2074" s="45">
        <v>123.9</v>
      </c>
      <c r="L2074" s="9"/>
      <c r="M2074" s="45">
        <v>123.9</v>
      </c>
    </row>
    <row r="2075">
      <c r="A2075" s="34" t="s">
        <v>70</v>
      </c>
      <c r="B2075" s="34" t="s">
        <v>284</v>
      </c>
      <c r="C2075" s="34">
        <v>86.0</v>
      </c>
      <c r="D2075" s="34" t="s">
        <v>695</v>
      </c>
      <c r="E2075" s="34" t="s">
        <v>5170</v>
      </c>
      <c r="F2075" s="34" t="s">
        <v>5171</v>
      </c>
      <c r="G2075" s="34">
        <v>86194.0</v>
      </c>
      <c r="H2075" s="34" t="s">
        <v>284</v>
      </c>
      <c r="I2075" s="34" t="s">
        <v>18</v>
      </c>
      <c r="J2075" s="34" t="s">
        <v>13</v>
      </c>
      <c r="K2075" s="9"/>
      <c r="L2075" s="45">
        <v>84.0</v>
      </c>
      <c r="M2075" s="45">
        <v>84.0</v>
      </c>
    </row>
    <row r="2076">
      <c r="A2076" s="34" t="s">
        <v>70</v>
      </c>
      <c r="B2076" s="34" t="s">
        <v>284</v>
      </c>
      <c r="C2076" s="34">
        <v>86.0</v>
      </c>
      <c r="D2076" s="34" t="s">
        <v>695</v>
      </c>
      <c r="E2076" s="34" t="s">
        <v>5172</v>
      </c>
      <c r="F2076" s="34" t="s">
        <v>5173</v>
      </c>
      <c r="G2076" s="34">
        <v>86194.0</v>
      </c>
      <c r="H2076" s="34" t="s">
        <v>284</v>
      </c>
      <c r="I2076" s="34" t="s">
        <v>17</v>
      </c>
      <c r="J2076" s="34" t="s">
        <v>15</v>
      </c>
      <c r="K2076" s="45">
        <v>137.9</v>
      </c>
      <c r="L2076" s="9"/>
      <c r="M2076" s="45">
        <v>137.9</v>
      </c>
    </row>
    <row r="2077">
      <c r="A2077" s="34" t="s">
        <v>70</v>
      </c>
      <c r="B2077" s="34" t="s">
        <v>284</v>
      </c>
      <c r="C2077" s="34">
        <v>86.0</v>
      </c>
      <c r="D2077" s="34" t="s">
        <v>695</v>
      </c>
      <c r="E2077" s="34" t="s">
        <v>5174</v>
      </c>
      <c r="F2077" s="34" t="s">
        <v>5175</v>
      </c>
      <c r="G2077" s="34">
        <v>86115.0</v>
      </c>
      <c r="H2077" s="34" t="s">
        <v>5176</v>
      </c>
      <c r="I2077" s="34" t="s">
        <v>18</v>
      </c>
      <c r="J2077" s="34" t="s">
        <v>15</v>
      </c>
      <c r="K2077" s="45">
        <v>127.0</v>
      </c>
      <c r="L2077" s="9"/>
      <c r="M2077" s="45">
        <v>127.0</v>
      </c>
    </row>
    <row r="2078">
      <c r="A2078" s="34" t="s">
        <v>70</v>
      </c>
      <c r="B2078" s="34" t="s">
        <v>322</v>
      </c>
      <c r="C2078" s="34">
        <v>87.0</v>
      </c>
      <c r="D2078" s="34" t="s">
        <v>1736</v>
      </c>
      <c r="E2078" s="34" t="s">
        <v>5177</v>
      </c>
      <c r="F2078" s="34" t="s">
        <v>5178</v>
      </c>
      <c r="G2078" s="34">
        <v>87187.0</v>
      </c>
      <c r="H2078" s="34" t="s">
        <v>5179</v>
      </c>
      <c r="I2078" s="34" t="s">
        <v>18</v>
      </c>
      <c r="J2078" s="34" t="s">
        <v>15</v>
      </c>
      <c r="K2078" s="45">
        <v>109.7</v>
      </c>
      <c r="L2078" s="9"/>
      <c r="M2078" s="45">
        <v>109.7</v>
      </c>
    </row>
    <row r="2079">
      <c r="A2079" s="34" t="s">
        <v>70</v>
      </c>
      <c r="B2079" s="34" t="s">
        <v>322</v>
      </c>
      <c r="C2079" s="34">
        <v>87.0</v>
      </c>
      <c r="D2079" s="34" t="s">
        <v>1736</v>
      </c>
      <c r="E2079" s="34" t="s">
        <v>5180</v>
      </c>
      <c r="F2079" s="34" t="s">
        <v>5181</v>
      </c>
      <c r="G2079" s="34">
        <v>87085.0</v>
      </c>
      <c r="H2079" s="34" t="s">
        <v>322</v>
      </c>
      <c r="I2079" s="34" t="s">
        <v>18</v>
      </c>
      <c r="J2079" s="34" t="s">
        <v>15</v>
      </c>
      <c r="K2079" s="45">
        <v>109.0</v>
      </c>
      <c r="L2079" s="9"/>
      <c r="M2079" s="45">
        <v>109.0</v>
      </c>
    </row>
    <row r="2080">
      <c r="A2080" s="34" t="s">
        <v>70</v>
      </c>
      <c r="B2080" s="34" t="s">
        <v>930</v>
      </c>
      <c r="C2080" s="34">
        <v>88.0</v>
      </c>
      <c r="D2080" s="34" t="s">
        <v>1745</v>
      </c>
      <c r="E2080" s="34" t="s">
        <v>5182</v>
      </c>
      <c r="F2080" s="34" t="s">
        <v>5183</v>
      </c>
      <c r="G2080" s="34">
        <v>88160.0</v>
      </c>
      <c r="H2080" s="34" t="s">
        <v>1748</v>
      </c>
      <c r="I2080" s="34" t="s">
        <v>18</v>
      </c>
      <c r="J2080" s="34" t="s">
        <v>15</v>
      </c>
      <c r="K2080" s="45">
        <v>116.7</v>
      </c>
      <c r="L2080" s="9"/>
      <c r="M2080" s="45">
        <v>116.7</v>
      </c>
    </row>
    <row r="2081">
      <c r="A2081" s="34" t="s">
        <v>70</v>
      </c>
      <c r="B2081" s="34" t="s">
        <v>930</v>
      </c>
      <c r="C2081" s="34">
        <v>88.0</v>
      </c>
      <c r="D2081" s="34" t="s">
        <v>1745</v>
      </c>
      <c r="E2081" s="34" t="s">
        <v>5184</v>
      </c>
      <c r="F2081" s="34" t="s">
        <v>5185</v>
      </c>
      <c r="G2081" s="34">
        <v>88304.0</v>
      </c>
      <c r="H2081" s="34" t="s">
        <v>5186</v>
      </c>
      <c r="I2081" s="34" t="s">
        <v>18</v>
      </c>
      <c r="J2081" s="34" t="s">
        <v>14</v>
      </c>
      <c r="K2081" s="45">
        <v>111.5</v>
      </c>
      <c r="L2081" s="45">
        <v>92.5</v>
      </c>
      <c r="M2081" s="45">
        <v>111.0</v>
      </c>
    </row>
    <row r="2082">
      <c r="A2082" s="34" t="s">
        <v>70</v>
      </c>
      <c r="B2082" s="34" t="s">
        <v>930</v>
      </c>
      <c r="C2082" s="34">
        <v>88.0</v>
      </c>
      <c r="D2082" s="34" t="s">
        <v>1745</v>
      </c>
      <c r="E2082" s="34" t="s">
        <v>5187</v>
      </c>
      <c r="F2082" s="34" t="s">
        <v>210</v>
      </c>
      <c r="G2082" s="34">
        <v>88383.0</v>
      </c>
      <c r="H2082" s="34" t="s">
        <v>3601</v>
      </c>
      <c r="I2082" s="34" t="s">
        <v>17</v>
      </c>
      <c r="J2082" s="34" t="s">
        <v>15</v>
      </c>
      <c r="K2082" s="45">
        <v>109.5</v>
      </c>
      <c r="L2082" s="9"/>
      <c r="M2082" s="45">
        <v>109.5</v>
      </c>
    </row>
    <row r="2083">
      <c r="A2083" s="34" t="s">
        <v>70</v>
      </c>
      <c r="B2083" s="34" t="s">
        <v>930</v>
      </c>
      <c r="C2083" s="34">
        <v>88.0</v>
      </c>
      <c r="D2083" s="34" t="s">
        <v>1745</v>
      </c>
      <c r="E2083" s="34" t="s">
        <v>5188</v>
      </c>
      <c r="F2083" s="34" t="s">
        <v>3729</v>
      </c>
      <c r="G2083" s="34">
        <v>88383.0</v>
      </c>
      <c r="H2083" s="34" t="s">
        <v>3601</v>
      </c>
      <c r="I2083" s="34" t="s">
        <v>18</v>
      </c>
      <c r="J2083" s="34" t="s">
        <v>13</v>
      </c>
      <c r="K2083" s="9"/>
      <c r="L2083" s="45">
        <v>80.4</v>
      </c>
      <c r="M2083" s="45">
        <v>80.4</v>
      </c>
    </row>
    <row r="2084">
      <c r="A2084" s="34" t="s">
        <v>70</v>
      </c>
      <c r="B2084" s="34" t="s">
        <v>930</v>
      </c>
      <c r="C2084" s="34">
        <v>88.0</v>
      </c>
      <c r="D2084" s="34" t="s">
        <v>1745</v>
      </c>
      <c r="E2084" s="34" t="s">
        <v>5189</v>
      </c>
      <c r="F2084" s="34" t="s">
        <v>5190</v>
      </c>
      <c r="G2084" s="34">
        <v>88372.0</v>
      </c>
      <c r="H2084" s="34" t="s">
        <v>5191</v>
      </c>
      <c r="I2084" s="34" t="s">
        <v>18</v>
      </c>
      <c r="J2084" s="34" t="s">
        <v>13</v>
      </c>
      <c r="K2084" s="9"/>
      <c r="L2084" s="45">
        <v>72.5</v>
      </c>
      <c r="M2084" s="45">
        <v>72.5</v>
      </c>
    </row>
    <row r="2085">
      <c r="A2085" s="34" t="s">
        <v>70</v>
      </c>
      <c r="B2085" s="34" t="s">
        <v>333</v>
      </c>
      <c r="C2085" s="34">
        <v>89.0</v>
      </c>
      <c r="D2085" s="34" t="s">
        <v>1763</v>
      </c>
      <c r="E2085" s="34" t="s">
        <v>5192</v>
      </c>
      <c r="F2085" s="34" t="s">
        <v>5193</v>
      </c>
      <c r="G2085" s="34">
        <v>89024.0</v>
      </c>
      <c r="H2085" s="34" t="s">
        <v>1766</v>
      </c>
      <c r="I2085" s="34" t="s">
        <v>18</v>
      </c>
      <c r="J2085" s="34" t="s">
        <v>15</v>
      </c>
      <c r="K2085" s="45">
        <v>119.4</v>
      </c>
      <c r="L2085" s="9"/>
      <c r="M2085" s="45">
        <v>119.4</v>
      </c>
    </row>
    <row r="2086">
      <c r="A2086" s="34" t="s">
        <v>70</v>
      </c>
      <c r="B2086" s="34" t="s">
        <v>333</v>
      </c>
      <c r="C2086" s="34">
        <v>89.0</v>
      </c>
      <c r="D2086" s="34" t="s">
        <v>1763</v>
      </c>
      <c r="E2086" s="34" t="s">
        <v>5194</v>
      </c>
      <c r="F2086" s="34" t="s">
        <v>5195</v>
      </c>
      <c r="G2086" s="34">
        <v>89206.0</v>
      </c>
      <c r="H2086" s="34" t="s">
        <v>1777</v>
      </c>
      <c r="I2086" s="34" t="s">
        <v>18</v>
      </c>
      <c r="J2086" s="34" t="s">
        <v>14</v>
      </c>
      <c r="K2086" s="45">
        <v>103.4</v>
      </c>
      <c r="L2086" s="45">
        <v>81.7</v>
      </c>
      <c r="M2086" s="45">
        <v>96.9</v>
      </c>
    </row>
    <row r="2087">
      <c r="A2087" s="34" t="s">
        <v>70</v>
      </c>
      <c r="B2087" s="34" t="s">
        <v>393</v>
      </c>
      <c r="C2087" s="34">
        <v>90.0</v>
      </c>
      <c r="D2087" s="34" t="s">
        <v>1778</v>
      </c>
      <c r="E2087" s="34" t="s">
        <v>5196</v>
      </c>
      <c r="F2087" s="34" t="s">
        <v>2778</v>
      </c>
      <c r="G2087" s="34">
        <v>90010.0</v>
      </c>
      <c r="H2087" s="34" t="s">
        <v>1781</v>
      </c>
      <c r="I2087" s="34" t="s">
        <v>17</v>
      </c>
      <c r="J2087" s="34" t="s">
        <v>15</v>
      </c>
      <c r="K2087" s="45">
        <v>133.8</v>
      </c>
      <c r="L2087" s="9"/>
      <c r="M2087" s="45">
        <v>133.8</v>
      </c>
    </row>
    <row r="2088">
      <c r="A2088" s="34" t="s">
        <v>70</v>
      </c>
      <c r="B2088" s="34" t="s">
        <v>393</v>
      </c>
      <c r="C2088" s="34">
        <v>90.0</v>
      </c>
      <c r="D2088" s="34" t="s">
        <v>1778</v>
      </c>
      <c r="E2088" s="34" t="s">
        <v>5197</v>
      </c>
      <c r="F2088" s="34" t="s">
        <v>5198</v>
      </c>
      <c r="G2088" s="34">
        <v>90008.0</v>
      </c>
      <c r="H2088" s="34" t="s">
        <v>5199</v>
      </c>
      <c r="I2088" s="34" t="s">
        <v>18</v>
      </c>
      <c r="J2088" s="34" t="s">
        <v>13</v>
      </c>
      <c r="K2088" s="9"/>
      <c r="L2088" s="45">
        <v>85.7</v>
      </c>
      <c r="M2088" s="45">
        <v>85.7</v>
      </c>
    </row>
    <row r="2089">
      <c r="A2089" s="34" t="s">
        <v>70</v>
      </c>
      <c r="B2089" s="34" t="s">
        <v>393</v>
      </c>
      <c r="C2089" s="34">
        <v>90.0</v>
      </c>
      <c r="D2089" s="34" t="s">
        <v>1778</v>
      </c>
      <c r="E2089" s="34" t="s">
        <v>5200</v>
      </c>
      <c r="F2089" s="34" t="s">
        <v>218</v>
      </c>
      <c r="G2089" s="34">
        <v>90010.0</v>
      </c>
      <c r="H2089" s="34" t="s">
        <v>1781</v>
      </c>
      <c r="I2089" s="34" t="s">
        <v>17</v>
      </c>
      <c r="J2089" s="34" t="s">
        <v>13</v>
      </c>
      <c r="K2089" s="9"/>
      <c r="L2089" s="45">
        <v>83.9</v>
      </c>
      <c r="M2089" s="45">
        <v>83.9</v>
      </c>
    </row>
    <row r="2090">
      <c r="A2090" s="34" t="s">
        <v>70</v>
      </c>
      <c r="B2090" s="34" t="s">
        <v>1579</v>
      </c>
      <c r="C2090" s="34">
        <v>91.0</v>
      </c>
      <c r="D2090" s="34" t="s">
        <v>1784</v>
      </c>
      <c r="E2090" s="34" t="s">
        <v>5201</v>
      </c>
      <c r="F2090" s="34" t="s">
        <v>3991</v>
      </c>
      <c r="G2090" s="34">
        <v>91027.0</v>
      </c>
      <c r="H2090" s="34" t="s">
        <v>5202</v>
      </c>
      <c r="I2090" s="34" t="s">
        <v>18</v>
      </c>
      <c r="J2090" s="34" t="s">
        <v>15</v>
      </c>
      <c r="K2090" s="45">
        <v>100.4</v>
      </c>
      <c r="L2090" s="9"/>
      <c r="M2090" s="45">
        <v>100.4</v>
      </c>
    </row>
    <row r="2091">
      <c r="A2091" s="34" t="s">
        <v>70</v>
      </c>
      <c r="B2091" s="34" t="s">
        <v>1579</v>
      </c>
      <c r="C2091" s="34">
        <v>91.0</v>
      </c>
      <c r="D2091" s="34" t="s">
        <v>1784</v>
      </c>
      <c r="E2091" s="34" t="s">
        <v>5203</v>
      </c>
      <c r="F2091" s="34" t="s">
        <v>5204</v>
      </c>
      <c r="G2091" s="34">
        <v>91129.0</v>
      </c>
      <c r="H2091" s="34" t="s">
        <v>5205</v>
      </c>
      <c r="I2091" s="34" t="s">
        <v>18</v>
      </c>
      <c r="J2091" s="34" t="s">
        <v>14</v>
      </c>
      <c r="K2091" s="45">
        <v>127.5</v>
      </c>
      <c r="L2091" s="45">
        <v>98.9</v>
      </c>
      <c r="M2091" s="45">
        <v>112.4</v>
      </c>
    </row>
    <row r="2092">
      <c r="A2092" s="34" t="s">
        <v>70</v>
      </c>
      <c r="B2092" s="34" t="s">
        <v>1579</v>
      </c>
      <c r="C2092" s="34">
        <v>91.0</v>
      </c>
      <c r="D2092" s="34" t="s">
        <v>1784</v>
      </c>
      <c r="E2092" s="34" t="s">
        <v>5206</v>
      </c>
      <c r="F2092" s="34" t="s">
        <v>5207</v>
      </c>
      <c r="G2092" s="34">
        <v>91377.0</v>
      </c>
      <c r="H2092" s="34" t="s">
        <v>1787</v>
      </c>
      <c r="I2092" s="34" t="s">
        <v>18</v>
      </c>
      <c r="J2092" s="34" t="s">
        <v>15</v>
      </c>
      <c r="K2092" s="45">
        <v>119.3</v>
      </c>
      <c r="L2092" s="9"/>
      <c r="M2092" s="45">
        <v>119.3</v>
      </c>
    </row>
    <row r="2093">
      <c r="A2093" s="34" t="s">
        <v>70</v>
      </c>
      <c r="B2093" s="34" t="s">
        <v>1579</v>
      </c>
      <c r="C2093" s="34">
        <v>91.0</v>
      </c>
      <c r="D2093" s="34" t="s">
        <v>1784</v>
      </c>
      <c r="E2093" s="34" t="s">
        <v>5208</v>
      </c>
      <c r="F2093" s="34" t="s">
        <v>694</v>
      </c>
      <c r="G2093" s="34">
        <v>91027.0</v>
      </c>
      <c r="H2093" s="34" t="s">
        <v>5202</v>
      </c>
      <c r="I2093" s="34" t="s">
        <v>17</v>
      </c>
      <c r="J2093" s="34" t="s">
        <v>15</v>
      </c>
      <c r="K2093" s="45">
        <v>133.2</v>
      </c>
      <c r="L2093" s="9"/>
      <c r="M2093" s="45">
        <v>133.2</v>
      </c>
    </row>
    <row r="2094">
      <c r="A2094" s="34" t="s">
        <v>70</v>
      </c>
      <c r="B2094" s="34" t="s">
        <v>1579</v>
      </c>
      <c r="C2094" s="34">
        <v>91.0</v>
      </c>
      <c r="D2094" s="34" t="s">
        <v>1784</v>
      </c>
      <c r="E2094" s="34" t="s">
        <v>5209</v>
      </c>
      <c r="F2094" s="34" t="s">
        <v>5210</v>
      </c>
      <c r="G2094" s="34">
        <v>91114.0</v>
      </c>
      <c r="H2094" s="34" t="s">
        <v>3623</v>
      </c>
      <c r="I2094" s="34" t="s">
        <v>18</v>
      </c>
      <c r="J2094" s="34" t="s">
        <v>15</v>
      </c>
      <c r="K2094" s="45">
        <v>118.2</v>
      </c>
      <c r="L2094" s="9"/>
      <c r="M2094" s="45">
        <v>118.2</v>
      </c>
    </row>
    <row r="2095">
      <c r="A2095" s="34" t="s">
        <v>70</v>
      </c>
      <c r="B2095" s="34" t="s">
        <v>1579</v>
      </c>
      <c r="C2095" s="34">
        <v>91.0</v>
      </c>
      <c r="D2095" s="34" t="s">
        <v>1784</v>
      </c>
      <c r="E2095" s="34" t="s">
        <v>5211</v>
      </c>
      <c r="F2095" s="34" t="s">
        <v>5212</v>
      </c>
      <c r="G2095" s="34">
        <v>91692.0</v>
      </c>
      <c r="H2095" s="34" t="s">
        <v>5213</v>
      </c>
      <c r="I2095" s="34" t="s">
        <v>18</v>
      </c>
      <c r="J2095" s="34" t="s">
        <v>14</v>
      </c>
      <c r="K2095" s="45">
        <v>117.2</v>
      </c>
      <c r="L2095" s="45">
        <v>83.2</v>
      </c>
      <c r="M2095" s="45">
        <v>110.3</v>
      </c>
    </row>
    <row r="2096">
      <c r="A2096" s="34" t="s">
        <v>70</v>
      </c>
      <c r="B2096" s="34" t="s">
        <v>1579</v>
      </c>
      <c r="C2096" s="34">
        <v>91.0</v>
      </c>
      <c r="D2096" s="34" t="s">
        <v>1784</v>
      </c>
      <c r="E2096" s="34" t="s">
        <v>5214</v>
      </c>
      <c r="F2096" s="34" t="s">
        <v>5215</v>
      </c>
      <c r="G2096" s="34">
        <v>91514.0</v>
      </c>
      <c r="H2096" s="34" t="s">
        <v>5216</v>
      </c>
      <c r="I2096" s="34" t="s">
        <v>18</v>
      </c>
      <c r="J2096" s="34" t="s">
        <v>13</v>
      </c>
      <c r="K2096" s="9"/>
      <c r="L2096" s="45">
        <v>85.2</v>
      </c>
      <c r="M2096" s="45">
        <v>85.2</v>
      </c>
    </row>
    <row r="2097">
      <c r="A2097" s="34" t="s">
        <v>70</v>
      </c>
      <c r="B2097" s="34" t="s">
        <v>1579</v>
      </c>
      <c r="C2097" s="34">
        <v>91.0</v>
      </c>
      <c r="D2097" s="34" t="s">
        <v>1784</v>
      </c>
      <c r="E2097" s="34" t="s">
        <v>5217</v>
      </c>
      <c r="F2097" s="34" t="s">
        <v>1179</v>
      </c>
      <c r="G2097" s="34">
        <v>91521.0</v>
      </c>
      <c r="H2097" s="34" t="s">
        <v>5218</v>
      </c>
      <c r="I2097" s="34" t="s">
        <v>18</v>
      </c>
      <c r="J2097" s="34" t="s">
        <v>13</v>
      </c>
      <c r="K2097" s="9"/>
      <c r="L2097" s="45">
        <v>79.5</v>
      </c>
      <c r="M2097" s="45">
        <v>79.5</v>
      </c>
    </row>
    <row r="2098">
      <c r="A2098" s="34" t="s">
        <v>70</v>
      </c>
      <c r="B2098" s="34" t="s">
        <v>1579</v>
      </c>
      <c r="C2098" s="34">
        <v>91.0</v>
      </c>
      <c r="D2098" s="34" t="s">
        <v>1784</v>
      </c>
      <c r="E2098" s="34" t="s">
        <v>5219</v>
      </c>
      <c r="F2098" s="34" t="s">
        <v>4380</v>
      </c>
      <c r="G2098" s="34">
        <v>91021.0</v>
      </c>
      <c r="H2098" s="34" t="s">
        <v>1809</v>
      </c>
      <c r="I2098" s="34" t="s">
        <v>18</v>
      </c>
      <c r="J2098" s="34" t="s">
        <v>15</v>
      </c>
      <c r="K2098" s="45">
        <v>128.1</v>
      </c>
      <c r="L2098" s="9"/>
      <c r="M2098" s="45">
        <v>128.1</v>
      </c>
    </row>
    <row r="2099">
      <c r="A2099" s="34" t="s">
        <v>70</v>
      </c>
      <c r="B2099" s="34" t="s">
        <v>1579</v>
      </c>
      <c r="C2099" s="34">
        <v>91.0</v>
      </c>
      <c r="D2099" s="34" t="s">
        <v>1784</v>
      </c>
      <c r="E2099" s="34" t="s">
        <v>5220</v>
      </c>
      <c r="F2099" s="34" t="s">
        <v>5221</v>
      </c>
      <c r="G2099" s="34">
        <v>91228.0</v>
      </c>
      <c r="H2099" s="34" t="s">
        <v>1804</v>
      </c>
      <c r="I2099" s="34" t="s">
        <v>18</v>
      </c>
      <c r="J2099" s="34" t="s">
        <v>14</v>
      </c>
      <c r="K2099" s="45">
        <v>96.4</v>
      </c>
      <c r="L2099" s="45">
        <v>92.2</v>
      </c>
      <c r="M2099" s="45">
        <v>95.3</v>
      </c>
    </row>
    <row r="2100">
      <c r="A2100" s="34" t="s">
        <v>70</v>
      </c>
      <c r="B2100" s="34" t="s">
        <v>1579</v>
      </c>
      <c r="C2100" s="34">
        <v>91.0</v>
      </c>
      <c r="D2100" s="34" t="s">
        <v>1784</v>
      </c>
      <c r="E2100" s="34" t="s">
        <v>5222</v>
      </c>
      <c r="F2100" s="34" t="s">
        <v>5223</v>
      </c>
      <c r="G2100" s="34">
        <v>91272.0</v>
      </c>
      <c r="H2100" s="34" t="s">
        <v>5224</v>
      </c>
      <c r="I2100" s="34" t="s">
        <v>18</v>
      </c>
      <c r="J2100" s="34" t="s">
        <v>15</v>
      </c>
      <c r="K2100" s="45">
        <v>147.3</v>
      </c>
      <c r="L2100" s="9"/>
      <c r="M2100" s="45">
        <v>147.3</v>
      </c>
    </row>
    <row r="2101">
      <c r="A2101" s="34" t="s">
        <v>70</v>
      </c>
      <c r="B2101" s="34" t="s">
        <v>1579</v>
      </c>
      <c r="C2101" s="34">
        <v>91.0</v>
      </c>
      <c r="D2101" s="34" t="s">
        <v>1784</v>
      </c>
      <c r="E2101" s="34" t="s">
        <v>5225</v>
      </c>
      <c r="F2101" s="34" t="s">
        <v>5226</v>
      </c>
      <c r="G2101" s="34">
        <v>91215.0</v>
      </c>
      <c r="H2101" s="34" t="s">
        <v>5227</v>
      </c>
      <c r="I2101" s="34" t="s">
        <v>18</v>
      </c>
      <c r="J2101" s="34" t="s">
        <v>15</v>
      </c>
      <c r="K2101" s="45">
        <v>105.5</v>
      </c>
      <c r="L2101" s="9"/>
      <c r="M2101" s="45">
        <v>105.5</v>
      </c>
    </row>
    <row r="2102">
      <c r="A2102" s="34" t="s">
        <v>70</v>
      </c>
      <c r="B2102" s="34" t="s">
        <v>1579</v>
      </c>
      <c r="C2102" s="34">
        <v>91.0</v>
      </c>
      <c r="D2102" s="34" t="s">
        <v>1784</v>
      </c>
      <c r="E2102" s="34" t="s">
        <v>5228</v>
      </c>
      <c r="F2102" s="34" t="s">
        <v>5229</v>
      </c>
      <c r="G2102" s="34">
        <v>91086.0</v>
      </c>
      <c r="H2102" s="34" t="s">
        <v>5230</v>
      </c>
      <c r="I2102" s="34" t="s">
        <v>18</v>
      </c>
      <c r="J2102" s="34" t="s">
        <v>15</v>
      </c>
      <c r="K2102" s="45">
        <v>105.2</v>
      </c>
      <c r="L2102" s="9"/>
      <c r="M2102" s="45">
        <v>105.2</v>
      </c>
    </row>
    <row r="2103">
      <c r="A2103" s="34" t="s">
        <v>70</v>
      </c>
      <c r="B2103" s="34" t="s">
        <v>1579</v>
      </c>
      <c r="C2103" s="34">
        <v>91.0</v>
      </c>
      <c r="D2103" s="34" t="s">
        <v>1784</v>
      </c>
      <c r="E2103" s="34" t="s">
        <v>5231</v>
      </c>
      <c r="F2103" s="34" t="s">
        <v>5232</v>
      </c>
      <c r="G2103" s="34">
        <v>91477.0</v>
      </c>
      <c r="H2103" s="34" t="s">
        <v>3636</v>
      </c>
      <c r="I2103" s="34" t="s">
        <v>17</v>
      </c>
      <c r="J2103" s="34" t="s">
        <v>14</v>
      </c>
      <c r="K2103" s="45">
        <v>129.1</v>
      </c>
      <c r="L2103" s="45">
        <v>128.3</v>
      </c>
      <c r="M2103" s="45">
        <v>128.7</v>
      </c>
    </row>
    <row r="2104">
      <c r="A2104" s="34" t="s">
        <v>70</v>
      </c>
      <c r="B2104" s="34" t="s">
        <v>1579</v>
      </c>
      <c r="C2104" s="34">
        <v>91.0</v>
      </c>
      <c r="D2104" s="34" t="s">
        <v>1784</v>
      </c>
      <c r="E2104" s="34" t="s">
        <v>5233</v>
      </c>
      <c r="F2104" s="34" t="s">
        <v>5234</v>
      </c>
      <c r="G2104" s="34">
        <v>91200.0</v>
      </c>
      <c r="H2104" s="34" t="s">
        <v>5235</v>
      </c>
      <c r="I2104" s="34" t="s">
        <v>18</v>
      </c>
      <c r="J2104" s="34" t="s">
        <v>14</v>
      </c>
      <c r="K2104" s="45">
        <v>126.4</v>
      </c>
      <c r="L2104" s="45">
        <v>101.5</v>
      </c>
      <c r="M2104" s="45">
        <v>119.3</v>
      </c>
    </row>
    <row r="2105">
      <c r="A2105" s="34" t="s">
        <v>70</v>
      </c>
      <c r="B2105" s="34" t="s">
        <v>1579</v>
      </c>
      <c r="C2105" s="34">
        <v>91.0</v>
      </c>
      <c r="D2105" s="34" t="s">
        <v>1784</v>
      </c>
      <c r="E2105" s="34" t="s">
        <v>5236</v>
      </c>
      <c r="F2105" s="34" t="s">
        <v>5237</v>
      </c>
      <c r="G2105" s="34">
        <v>91477.0</v>
      </c>
      <c r="H2105" s="34" t="s">
        <v>3636</v>
      </c>
      <c r="I2105" s="34" t="s">
        <v>18</v>
      </c>
      <c r="J2105" s="34" t="s">
        <v>15</v>
      </c>
      <c r="K2105" s="45">
        <v>136.5</v>
      </c>
      <c r="L2105" s="9"/>
      <c r="M2105" s="45">
        <v>136.5</v>
      </c>
    </row>
    <row r="2106">
      <c r="A2106" s="34" t="s">
        <v>70</v>
      </c>
      <c r="B2106" s="34" t="s">
        <v>1579</v>
      </c>
      <c r="C2106" s="34">
        <v>92.0</v>
      </c>
      <c r="D2106" s="34" t="s">
        <v>1815</v>
      </c>
      <c r="E2106" s="34" t="s">
        <v>5238</v>
      </c>
      <c r="F2106" s="34" t="s">
        <v>140</v>
      </c>
      <c r="G2106" s="34">
        <v>92004.0</v>
      </c>
      <c r="H2106" s="34" t="s">
        <v>5239</v>
      </c>
      <c r="I2106" s="34" t="s">
        <v>18</v>
      </c>
      <c r="J2106" s="34" t="s">
        <v>15</v>
      </c>
      <c r="K2106" s="45">
        <v>107.5</v>
      </c>
      <c r="L2106" s="9"/>
      <c r="M2106" s="45">
        <v>107.5</v>
      </c>
    </row>
    <row r="2107">
      <c r="A2107" s="34" t="s">
        <v>70</v>
      </c>
      <c r="B2107" s="34" t="s">
        <v>1579</v>
      </c>
      <c r="C2107" s="34">
        <v>92.0</v>
      </c>
      <c r="D2107" s="34" t="s">
        <v>1815</v>
      </c>
      <c r="E2107" s="34" t="s">
        <v>5240</v>
      </c>
      <c r="F2107" s="34" t="s">
        <v>1511</v>
      </c>
      <c r="G2107" s="34">
        <v>92025.0</v>
      </c>
      <c r="H2107" s="34" t="s">
        <v>1839</v>
      </c>
      <c r="I2107" s="34" t="s">
        <v>18</v>
      </c>
      <c r="J2107" s="34" t="s">
        <v>15</v>
      </c>
      <c r="K2107" s="45">
        <v>96.7</v>
      </c>
      <c r="L2107" s="9"/>
      <c r="M2107" s="45">
        <v>96.7</v>
      </c>
    </row>
    <row r="2108">
      <c r="A2108" s="34" t="s">
        <v>70</v>
      </c>
      <c r="B2108" s="34" t="s">
        <v>1579</v>
      </c>
      <c r="C2108" s="34">
        <v>92.0</v>
      </c>
      <c r="D2108" s="34" t="s">
        <v>1815</v>
      </c>
      <c r="E2108" s="34" t="s">
        <v>5241</v>
      </c>
      <c r="F2108" s="34" t="s">
        <v>5242</v>
      </c>
      <c r="G2108" s="34">
        <v>92073.0</v>
      </c>
      <c r="H2108" s="34" t="s">
        <v>5243</v>
      </c>
      <c r="I2108" s="34" t="s">
        <v>18</v>
      </c>
      <c r="J2108" s="34" t="s">
        <v>13</v>
      </c>
      <c r="K2108" s="9"/>
      <c r="L2108" s="45">
        <v>87.4</v>
      </c>
      <c r="M2108" s="45">
        <v>87.4</v>
      </c>
    </row>
    <row r="2109">
      <c r="A2109" s="34" t="s">
        <v>70</v>
      </c>
      <c r="B2109" s="34" t="s">
        <v>1579</v>
      </c>
      <c r="C2109" s="34">
        <v>92.0</v>
      </c>
      <c r="D2109" s="34" t="s">
        <v>1815</v>
      </c>
      <c r="E2109" s="34" t="s">
        <v>5244</v>
      </c>
      <c r="F2109" s="34" t="s">
        <v>4992</v>
      </c>
      <c r="G2109" s="34">
        <v>92004.0</v>
      </c>
      <c r="H2109" s="34" t="s">
        <v>5239</v>
      </c>
      <c r="I2109" s="34" t="s">
        <v>17</v>
      </c>
      <c r="J2109" s="34" t="s">
        <v>15</v>
      </c>
      <c r="K2109" s="45">
        <v>151.2</v>
      </c>
      <c r="L2109" s="9"/>
      <c r="M2109" s="45">
        <v>151.2</v>
      </c>
    </row>
    <row r="2110">
      <c r="A2110" s="34" t="s">
        <v>70</v>
      </c>
      <c r="B2110" s="34" t="s">
        <v>1579</v>
      </c>
      <c r="C2110" s="34">
        <v>92.0</v>
      </c>
      <c r="D2110" s="34" t="s">
        <v>1815</v>
      </c>
      <c r="E2110" s="34" t="s">
        <v>5245</v>
      </c>
      <c r="F2110" s="34" t="s">
        <v>5246</v>
      </c>
      <c r="G2110" s="34">
        <v>92022.0</v>
      </c>
      <c r="H2110" s="34" t="s">
        <v>5247</v>
      </c>
      <c r="I2110" s="34" t="s">
        <v>17</v>
      </c>
      <c r="J2110" s="34" t="s">
        <v>15</v>
      </c>
      <c r="K2110" s="45">
        <v>151.3</v>
      </c>
      <c r="L2110" s="9"/>
      <c r="M2110" s="45">
        <v>151.3</v>
      </c>
    </row>
    <row r="2111">
      <c r="A2111" s="34" t="s">
        <v>70</v>
      </c>
      <c r="B2111" s="34" t="s">
        <v>1579</v>
      </c>
      <c r="C2111" s="34">
        <v>92.0</v>
      </c>
      <c r="D2111" s="34" t="s">
        <v>1815</v>
      </c>
      <c r="E2111" s="34" t="s">
        <v>5248</v>
      </c>
      <c r="F2111" s="34" t="s">
        <v>1617</v>
      </c>
      <c r="G2111" s="34">
        <v>92048.0</v>
      </c>
      <c r="H2111" s="34" t="s">
        <v>1832</v>
      </c>
      <c r="I2111" s="34" t="s">
        <v>17</v>
      </c>
      <c r="J2111" s="34" t="s">
        <v>15</v>
      </c>
      <c r="K2111" s="45">
        <v>148.1</v>
      </c>
      <c r="L2111" s="9"/>
      <c r="M2111" s="45">
        <v>148.1</v>
      </c>
    </row>
    <row r="2112">
      <c r="A2112" s="34" t="s">
        <v>70</v>
      </c>
      <c r="B2112" s="34" t="s">
        <v>1579</v>
      </c>
      <c r="C2112" s="34">
        <v>92.0</v>
      </c>
      <c r="D2112" s="34" t="s">
        <v>1815</v>
      </c>
      <c r="E2112" s="34" t="s">
        <v>5249</v>
      </c>
      <c r="F2112" s="34" t="s">
        <v>210</v>
      </c>
      <c r="G2112" s="34">
        <v>92049.0</v>
      </c>
      <c r="H2112" s="34" t="s">
        <v>3641</v>
      </c>
      <c r="I2112" s="34" t="s">
        <v>17</v>
      </c>
      <c r="J2112" s="34" t="s">
        <v>15</v>
      </c>
      <c r="K2112" s="45">
        <v>139.0</v>
      </c>
      <c r="L2112" s="9"/>
      <c r="M2112" s="45">
        <v>139.0</v>
      </c>
    </row>
    <row r="2113">
      <c r="A2113" s="34" t="s">
        <v>70</v>
      </c>
      <c r="B2113" s="34" t="s">
        <v>1579</v>
      </c>
      <c r="C2113" s="34">
        <v>92.0</v>
      </c>
      <c r="D2113" s="34" t="s">
        <v>1815</v>
      </c>
      <c r="E2113" s="34" t="s">
        <v>5250</v>
      </c>
      <c r="F2113" s="34" t="s">
        <v>5251</v>
      </c>
      <c r="G2113" s="34">
        <v>92076.0</v>
      </c>
      <c r="H2113" s="34" t="s">
        <v>5252</v>
      </c>
      <c r="I2113" s="34" t="s">
        <v>17</v>
      </c>
      <c r="J2113" s="34" t="s">
        <v>15</v>
      </c>
      <c r="K2113" s="45">
        <v>123.9</v>
      </c>
      <c r="L2113" s="9"/>
      <c r="M2113" s="45">
        <v>123.9</v>
      </c>
    </row>
    <row r="2114">
      <c r="A2114" s="34" t="s">
        <v>70</v>
      </c>
      <c r="B2114" s="34" t="s">
        <v>1579</v>
      </c>
      <c r="C2114" s="34">
        <v>92.0</v>
      </c>
      <c r="D2114" s="34" t="s">
        <v>1815</v>
      </c>
      <c r="E2114" s="34" t="s">
        <v>5253</v>
      </c>
      <c r="F2114" s="34" t="s">
        <v>4333</v>
      </c>
      <c r="G2114" s="34">
        <v>92019.0</v>
      </c>
      <c r="H2114" s="34" t="s">
        <v>1818</v>
      </c>
      <c r="I2114" s="34" t="s">
        <v>18</v>
      </c>
      <c r="J2114" s="34" t="s">
        <v>14</v>
      </c>
      <c r="K2114" s="45">
        <v>108.1</v>
      </c>
      <c r="L2114" s="45">
        <v>91.1</v>
      </c>
      <c r="M2114" s="45">
        <v>102.2</v>
      </c>
    </row>
    <row r="2115">
      <c r="A2115" s="34" t="s">
        <v>70</v>
      </c>
      <c r="B2115" s="34" t="s">
        <v>1579</v>
      </c>
      <c r="C2115" s="34">
        <v>92.0</v>
      </c>
      <c r="D2115" s="34" t="s">
        <v>1815</v>
      </c>
      <c r="E2115" s="34" t="s">
        <v>5254</v>
      </c>
      <c r="F2115" s="34" t="s">
        <v>5255</v>
      </c>
      <c r="G2115" s="34">
        <v>92075.0</v>
      </c>
      <c r="H2115" s="34" t="s">
        <v>5256</v>
      </c>
      <c r="I2115" s="34" t="s">
        <v>18</v>
      </c>
      <c r="J2115" s="34" t="s">
        <v>13</v>
      </c>
      <c r="K2115" s="9"/>
      <c r="L2115" s="45">
        <v>89.1</v>
      </c>
      <c r="M2115" s="45">
        <v>89.1</v>
      </c>
    </row>
    <row r="2116">
      <c r="A2116" s="34" t="s">
        <v>70</v>
      </c>
      <c r="B2116" s="34" t="s">
        <v>1579</v>
      </c>
      <c r="C2116" s="34">
        <v>92.0</v>
      </c>
      <c r="D2116" s="34" t="s">
        <v>1815</v>
      </c>
      <c r="E2116" s="34" t="s">
        <v>5257</v>
      </c>
      <c r="F2116" s="34" t="s">
        <v>5258</v>
      </c>
      <c r="G2116" s="34">
        <v>92078.0</v>
      </c>
      <c r="H2116" s="34" t="s">
        <v>3658</v>
      </c>
      <c r="I2116" s="34" t="s">
        <v>18</v>
      </c>
      <c r="J2116" s="34" t="s">
        <v>15</v>
      </c>
      <c r="K2116" s="45">
        <v>92.6</v>
      </c>
      <c r="L2116" s="9"/>
      <c r="M2116" s="45">
        <v>92.6</v>
      </c>
    </row>
    <row r="2117">
      <c r="A2117" s="34" t="s">
        <v>70</v>
      </c>
      <c r="B2117" s="34" t="s">
        <v>1579</v>
      </c>
      <c r="C2117" s="34">
        <v>92.0</v>
      </c>
      <c r="D2117" s="34" t="s">
        <v>1815</v>
      </c>
      <c r="E2117" s="34" t="s">
        <v>5259</v>
      </c>
      <c r="F2117" s="34" t="s">
        <v>5260</v>
      </c>
      <c r="G2117" s="34">
        <v>92026.0</v>
      </c>
      <c r="H2117" s="34" t="s">
        <v>1851</v>
      </c>
      <c r="I2117" s="34" t="s">
        <v>18</v>
      </c>
      <c r="J2117" s="34" t="s">
        <v>13</v>
      </c>
      <c r="K2117" s="9"/>
      <c r="L2117" s="45">
        <v>86.9</v>
      </c>
      <c r="M2117" s="45">
        <v>86.9</v>
      </c>
    </row>
    <row r="2118">
      <c r="A2118" s="34" t="s">
        <v>70</v>
      </c>
      <c r="B2118" s="34" t="s">
        <v>1579</v>
      </c>
      <c r="C2118" s="34">
        <v>92.0</v>
      </c>
      <c r="D2118" s="34" t="s">
        <v>1815</v>
      </c>
      <c r="E2118" s="34" t="s">
        <v>5261</v>
      </c>
      <c r="F2118" s="34" t="s">
        <v>5262</v>
      </c>
      <c r="G2118" s="34">
        <v>92002.0</v>
      </c>
      <c r="H2118" s="34" t="s">
        <v>3638</v>
      </c>
      <c r="I2118" s="34" t="s">
        <v>18</v>
      </c>
      <c r="J2118" s="34" t="s">
        <v>13</v>
      </c>
      <c r="K2118" s="9"/>
      <c r="L2118" s="45">
        <v>86.3</v>
      </c>
      <c r="M2118" s="45">
        <v>86.3</v>
      </c>
    </row>
    <row r="2119">
      <c r="A2119" s="34" t="s">
        <v>70</v>
      </c>
      <c r="B2119" s="34" t="s">
        <v>1579</v>
      </c>
      <c r="C2119" s="34">
        <v>92.0</v>
      </c>
      <c r="D2119" s="34" t="s">
        <v>1815</v>
      </c>
      <c r="E2119" s="34" t="s">
        <v>5263</v>
      </c>
      <c r="F2119" s="34" t="s">
        <v>5264</v>
      </c>
      <c r="G2119" s="34">
        <v>92040.0</v>
      </c>
      <c r="H2119" s="34" t="s">
        <v>3667</v>
      </c>
      <c r="I2119" s="34" t="s">
        <v>18</v>
      </c>
      <c r="J2119" s="34" t="s">
        <v>15</v>
      </c>
      <c r="K2119" s="45">
        <v>130.6</v>
      </c>
      <c r="L2119" s="9"/>
      <c r="M2119" s="45">
        <v>130.6</v>
      </c>
    </row>
    <row r="2120">
      <c r="A2120" s="34" t="s">
        <v>70</v>
      </c>
      <c r="B2120" s="34" t="s">
        <v>1545</v>
      </c>
      <c r="C2120" s="34">
        <v>93.0</v>
      </c>
      <c r="D2120" s="34" t="s">
        <v>1852</v>
      </c>
      <c r="E2120" s="34" t="s">
        <v>5265</v>
      </c>
      <c r="F2120" s="34" t="s">
        <v>1605</v>
      </c>
      <c r="G2120" s="34">
        <v>93001.0</v>
      </c>
      <c r="H2120" s="34" t="s">
        <v>1874</v>
      </c>
      <c r="I2120" s="34" t="s">
        <v>18</v>
      </c>
      <c r="J2120" s="34" t="s">
        <v>15</v>
      </c>
      <c r="K2120" s="45">
        <v>77.3</v>
      </c>
      <c r="L2120" s="9"/>
      <c r="M2120" s="45">
        <v>77.3</v>
      </c>
    </row>
    <row r="2121">
      <c r="A2121" s="34" t="s">
        <v>70</v>
      </c>
      <c r="B2121" s="34" t="s">
        <v>1545</v>
      </c>
      <c r="C2121" s="34">
        <v>93.0</v>
      </c>
      <c r="D2121" s="34" t="s">
        <v>1852</v>
      </c>
      <c r="E2121" s="34" t="s">
        <v>5266</v>
      </c>
      <c r="F2121" s="34" t="s">
        <v>2485</v>
      </c>
      <c r="G2121" s="34">
        <v>93055.0</v>
      </c>
      <c r="H2121" s="34" t="s">
        <v>1894</v>
      </c>
      <c r="I2121" s="34" t="s">
        <v>18</v>
      </c>
      <c r="J2121" s="34" t="s">
        <v>15</v>
      </c>
      <c r="K2121" s="45">
        <v>81.4</v>
      </c>
      <c r="L2121" s="9"/>
      <c r="M2121" s="45">
        <v>81.4</v>
      </c>
    </row>
    <row r="2122">
      <c r="A2122" s="34" t="s">
        <v>70</v>
      </c>
      <c r="B2122" s="34" t="s">
        <v>1545</v>
      </c>
      <c r="C2122" s="34">
        <v>93.0</v>
      </c>
      <c r="D2122" s="34" t="s">
        <v>1852</v>
      </c>
      <c r="E2122" s="34" t="s">
        <v>5267</v>
      </c>
      <c r="F2122" s="34" t="s">
        <v>5268</v>
      </c>
      <c r="G2122" s="34">
        <v>93055.0</v>
      </c>
      <c r="H2122" s="34" t="s">
        <v>1894</v>
      </c>
      <c r="I2122" s="34" t="s">
        <v>18</v>
      </c>
      <c r="J2122" s="34" t="s">
        <v>14</v>
      </c>
      <c r="K2122" s="45">
        <v>86.8</v>
      </c>
      <c r="L2122" s="45">
        <v>77.1</v>
      </c>
      <c r="M2122" s="45">
        <v>77.5</v>
      </c>
    </row>
    <row r="2123">
      <c r="A2123" s="34" t="s">
        <v>70</v>
      </c>
      <c r="B2123" s="34" t="s">
        <v>1545</v>
      </c>
      <c r="C2123" s="34">
        <v>93.0</v>
      </c>
      <c r="D2123" s="34" t="s">
        <v>1852</v>
      </c>
      <c r="E2123" s="34" t="s">
        <v>5269</v>
      </c>
      <c r="F2123" s="34" t="s">
        <v>5270</v>
      </c>
      <c r="G2123" s="34">
        <v>93007.0</v>
      </c>
      <c r="H2123" s="34" t="s">
        <v>5271</v>
      </c>
      <c r="I2123" s="34" t="s">
        <v>18</v>
      </c>
      <c r="J2123" s="34" t="s">
        <v>13</v>
      </c>
      <c r="K2123" s="9"/>
      <c r="L2123" s="45">
        <v>79.1</v>
      </c>
      <c r="M2123" s="45">
        <v>79.1</v>
      </c>
    </row>
    <row r="2124">
      <c r="A2124" s="34" t="s">
        <v>70</v>
      </c>
      <c r="B2124" s="34" t="s">
        <v>1545</v>
      </c>
      <c r="C2124" s="34">
        <v>93.0</v>
      </c>
      <c r="D2124" s="34" t="s">
        <v>1852</v>
      </c>
      <c r="E2124" s="34" t="s">
        <v>5272</v>
      </c>
      <c r="F2124" s="34" t="s">
        <v>5273</v>
      </c>
      <c r="G2124" s="34">
        <v>93005.0</v>
      </c>
      <c r="H2124" s="34" t="s">
        <v>1861</v>
      </c>
      <c r="I2124" s="34" t="s">
        <v>18</v>
      </c>
      <c r="J2124" s="34" t="s">
        <v>15</v>
      </c>
      <c r="K2124" s="45">
        <v>97.2</v>
      </c>
      <c r="L2124" s="9"/>
      <c r="M2124" s="45">
        <v>97.2</v>
      </c>
    </row>
    <row r="2125">
      <c r="A2125" s="34" t="s">
        <v>70</v>
      </c>
      <c r="B2125" s="34" t="s">
        <v>1545</v>
      </c>
      <c r="C2125" s="34">
        <v>93.0</v>
      </c>
      <c r="D2125" s="34" t="s">
        <v>1852</v>
      </c>
      <c r="E2125" s="34" t="s">
        <v>5274</v>
      </c>
      <c r="F2125" s="34" t="s">
        <v>5275</v>
      </c>
      <c r="G2125" s="34">
        <v>93062.0</v>
      </c>
      <c r="H2125" s="34" t="s">
        <v>3678</v>
      </c>
      <c r="I2125" s="34" t="s">
        <v>17</v>
      </c>
      <c r="J2125" s="34" t="s">
        <v>13</v>
      </c>
      <c r="K2125" s="9"/>
      <c r="L2125" s="45">
        <v>103.0</v>
      </c>
      <c r="M2125" s="45">
        <v>103.0</v>
      </c>
    </row>
    <row r="2126">
      <c r="A2126" s="34" t="s">
        <v>70</v>
      </c>
      <c r="B2126" s="34" t="s">
        <v>1545</v>
      </c>
      <c r="C2126" s="34">
        <v>93.0</v>
      </c>
      <c r="D2126" s="34" t="s">
        <v>1852</v>
      </c>
      <c r="E2126" s="34" t="s">
        <v>5276</v>
      </c>
      <c r="F2126" s="34" t="s">
        <v>5277</v>
      </c>
      <c r="G2126" s="34">
        <v>93010.0</v>
      </c>
      <c r="H2126" s="34" t="s">
        <v>3670</v>
      </c>
      <c r="I2126" s="34" t="s">
        <v>17</v>
      </c>
      <c r="J2126" s="34" t="s">
        <v>14</v>
      </c>
      <c r="K2126" s="45">
        <v>117.7</v>
      </c>
      <c r="L2126" s="45">
        <v>107.8</v>
      </c>
      <c r="M2126" s="45">
        <v>114.8</v>
      </c>
    </row>
    <row r="2127">
      <c r="A2127" s="34" t="s">
        <v>70</v>
      </c>
      <c r="B2127" s="34" t="s">
        <v>1545</v>
      </c>
      <c r="C2127" s="34">
        <v>93.0</v>
      </c>
      <c r="D2127" s="34" t="s">
        <v>1852</v>
      </c>
      <c r="E2127" s="34" t="s">
        <v>5278</v>
      </c>
      <c r="F2127" s="34" t="s">
        <v>5279</v>
      </c>
      <c r="G2127" s="34">
        <v>93006.0</v>
      </c>
      <c r="H2127" s="34" t="s">
        <v>3703</v>
      </c>
      <c r="I2127" s="34" t="s">
        <v>17</v>
      </c>
      <c r="J2127" s="34" t="s">
        <v>14</v>
      </c>
      <c r="K2127" s="45">
        <v>105.9</v>
      </c>
      <c r="L2127" s="45">
        <v>99.8</v>
      </c>
      <c r="M2127" s="45">
        <v>104.7</v>
      </c>
    </row>
    <row r="2128">
      <c r="A2128" s="34" t="s">
        <v>70</v>
      </c>
      <c r="B2128" s="34" t="s">
        <v>1545</v>
      </c>
      <c r="C2128" s="34">
        <v>93.0</v>
      </c>
      <c r="D2128" s="34" t="s">
        <v>1852</v>
      </c>
      <c r="E2128" s="34" t="s">
        <v>5280</v>
      </c>
      <c r="F2128" s="34" t="s">
        <v>5281</v>
      </c>
      <c r="G2128" s="34">
        <v>93051.0</v>
      </c>
      <c r="H2128" s="34" t="s">
        <v>3698</v>
      </c>
      <c r="I2128" s="34" t="s">
        <v>17</v>
      </c>
      <c r="J2128" s="34" t="s">
        <v>13</v>
      </c>
      <c r="K2128" s="9"/>
      <c r="L2128" s="45">
        <v>107.7</v>
      </c>
      <c r="M2128" s="45">
        <v>107.7</v>
      </c>
    </row>
    <row r="2129">
      <c r="A2129" s="34" t="s">
        <v>70</v>
      </c>
      <c r="B2129" s="34" t="s">
        <v>1545</v>
      </c>
      <c r="C2129" s="34">
        <v>93.0</v>
      </c>
      <c r="D2129" s="34" t="s">
        <v>1852</v>
      </c>
      <c r="E2129" s="34" t="s">
        <v>5282</v>
      </c>
      <c r="F2129" s="34" t="s">
        <v>5283</v>
      </c>
      <c r="G2129" s="34">
        <v>93046.0</v>
      </c>
      <c r="H2129" s="34" t="s">
        <v>5284</v>
      </c>
      <c r="I2129" s="34" t="s">
        <v>18</v>
      </c>
      <c r="J2129" s="34" t="s">
        <v>15</v>
      </c>
      <c r="K2129" s="45">
        <v>110.6</v>
      </c>
      <c r="L2129" s="9"/>
      <c r="M2129" s="45">
        <v>110.6</v>
      </c>
    </row>
    <row r="2130">
      <c r="A2130" s="34" t="s">
        <v>70</v>
      </c>
      <c r="B2130" s="34" t="s">
        <v>1545</v>
      </c>
      <c r="C2130" s="34">
        <v>93.0</v>
      </c>
      <c r="D2130" s="34" t="s">
        <v>1852</v>
      </c>
      <c r="E2130" s="34" t="s">
        <v>5285</v>
      </c>
      <c r="F2130" s="34" t="s">
        <v>5286</v>
      </c>
      <c r="G2130" s="34">
        <v>93008.0</v>
      </c>
      <c r="H2130" s="34" t="s">
        <v>1866</v>
      </c>
      <c r="I2130" s="34" t="s">
        <v>18</v>
      </c>
      <c r="J2130" s="34" t="s">
        <v>15</v>
      </c>
      <c r="K2130" s="45">
        <v>77.5</v>
      </c>
      <c r="L2130" s="9"/>
      <c r="M2130" s="45">
        <v>77.5</v>
      </c>
    </row>
    <row r="2131">
      <c r="A2131" s="34" t="s">
        <v>70</v>
      </c>
      <c r="B2131" s="34" t="s">
        <v>1545</v>
      </c>
      <c r="C2131" s="34">
        <v>93.0</v>
      </c>
      <c r="D2131" s="34" t="s">
        <v>1852</v>
      </c>
      <c r="E2131" s="34" t="s">
        <v>5287</v>
      </c>
      <c r="F2131" s="34" t="s">
        <v>2355</v>
      </c>
      <c r="G2131" s="34">
        <v>93064.0</v>
      </c>
      <c r="H2131" s="34" t="s">
        <v>1886</v>
      </c>
      <c r="I2131" s="34" t="s">
        <v>18</v>
      </c>
      <c r="J2131" s="34" t="s">
        <v>14</v>
      </c>
      <c r="K2131" s="45">
        <v>64.8</v>
      </c>
      <c r="L2131" s="45">
        <v>78.6</v>
      </c>
      <c r="M2131" s="45">
        <v>78.5</v>
      </c>
    </row>
    <row r="2132">
      <c r="A2132" s="34" t="s">
        <v>70</v>
      </c>
      <c r="B2132" s="34" t="s">
        <v>1545</v>
      </c>
      <c r="C2132" s="34">
        <v>93.0</v>
      </c>
      <c r="D2132" s="34" t="s">
        <v>1852</v>
      </c>
      <c r="E2132" s="34" t="s">
        <v>5288</v>
      </c>
      <c r="F2132" s="34" t="s">
        <v>5289</v>
      </c>
      <c r="G2132" s="34">
        <v>93066.0</v>
      </c>
      <c r="H2132" s="34" t="s">
        <v>1858</v>
      </c>
      <c r="I2132" s="34" t="s">
        <v>17</v>
      </c>
      <c r="J2132" s="34" t="s">
        <v>14</v>
      </c>
      <c r="K2132" s="45">
        <v>110.3</v>
      </c>
      <c r="L2132" s="45">
        <v>106.3</v>
      </c>
      <c r="M2132" s="45">
        <v>109.7</v>
      </c>
    </row>
    <row r="2133">
      <c r="A2133" s="34" t="s">
        <v>70</v>
      </c>
      <c r="B2133" s="34" t="s">
        <v>1545</v>
      </c>
      <c r="C2133" s="34">
        <v>93.0</v>
      </c>
      <c r="D2133" s="34" t="s">
        <v>1852</v>
      </c>
      <c r="E2133" s="34" t="s">
        <v>5290</v>
      </c>
      <c r="F2133" s="34" t="s">
        <v>2446</v>
      </c>
      <c r="G2133" s="34">
        <v>93007.0</v>
      </c>
      <c r="H2133" s="34" t="s">
        <v>5271</v>
      </c>
      <c r="I2133" s="34" t="s">
        <v>18</v>
      </c>
      <c r="J2133" s="34" t="s">
        <v>14</v>
      </c>
      <c r="K2133" s="45">
        <v>82.4</v>
      </c>
      <c r="L2133" s="45">
        <v>73.3</v>
      </c>
      <c r="M2133" s="45">
        <v>75.8</v>
      </c>
    </row>
    <row r="2134">
      <c r="A2134" s="34" t="s">
        <v>70</v>
      </c>
      <c r="B2134" s="34" t="s">
        <v>1545</v>
      </c>
      <c r="C2134" s="34">
        <v>93.0</v>
      </c>
      <c r="D2134" s="34" t="s">
        <v>1852</v>
      </c>
      <c r="E2134" s="34" t="s">
        <v>5291</v>
      </c>
      <c r="F2134" s="34" t="s">
        <v>5292</v>
      </c>
      <c r="G2134" s="34">
        <v>93046.0</v>
      </c>
      <c r="H2134" s="34" t="s">
        <v>5284</v>
      </c>
      <c r="I2134" s="34" t="s">
        <v>18</v>
      </c>
      <c r="J2134" s="34" t="s">
        <v>14</v>
      </c>
      <c r="K2134" s="45">
        <v>94.5</v>
      </c>
      <c r="L2134" s="45">
        <v>86.8</v>
      </c>
      <c r="M2134" s="45">
        <v>90.9</v>
      </c>
    </row>
    <row r="2135">
      <c r="A2135" s="34" t="s">
        <v>70</v>
      </c>
      <c r="B2135" s="34" t="s">
        <v>1545</v>
      </c>
      <c r="C2135" s="34">
        <v>93.0</v>
      </c>
      <c r="D2135" s="34" t="s">
        <v>1852</v>
      </c>
      <c r="E2135" s="34" t="s">
        <v>5293</v>
      </c>
      <c r="F2135" s="34" t="s">
        <v>5294</v>
      </c>
      <c r="G2135" s="34">
        <v>93066.0</v>
      </c>
      <c r="H2135" s="34" t="s">
        <v>1858</v>
      </c>
      <c r="I2135" s="34" t="s">
        <v>18</v>
      </c>
      <c r="J2135" s="34" t="s">
        <v>14</v>
      </c>
      <c r="K2135" s="45">
        <v>78.2</v>
      </c>
      <c r="L2135" s="45">
        <v>74.0</v>
      </c>
      <c r="M2135" s="45">
        <v>76.6</v>
      </c>
    </row>
    <row r="2136">
      <c r="A2136" s="34" t="s">
        <v>70</v>
      </c>
      <c r="B2136" s="34" t="s">
        <v>1545</v>
      </c>
      <c r="C2136" s="34">
        <v>93.0</v>
      </c>
      <c r="D2136" s="34" t="s">
        <v>1852</v>
      </c>
      <c r="E2136" s="34" t="s">
        <v>5295</v>
      </c>
      <c r="F2136" s="34" t="s">
        <v>5296</v>
      </c>
      <c r="G2136" s="34">
        <v>93062.0</v>
      </c>
      <c r="H2136" s="34" t="s">
        <v>3678</v>
      </c>
      <c r="I2136" s="34" t="s">
        <v>18</v>
      </c>
      <c r="J2136" s="34" t="s">
        <v>14</v>
      </c>
      <c r="K2136" s="45">
        <v>100.5</v>
      </c>
      <c r="L2136" s="45">
        <v>84.7</v>
      </c>
      <c r="M2136" s="45">
        <v>91.2</v>
      </c>
    </row>
    <row r="2137">
      <c r="A2137" s="34" t="s">
        <v>70</v>
      </c>
      <c r="B2137" s="34" t="s">
        <v>1545</v>
      </c>
      <c r="C2137" s="34">
        <v>93.0</v>
      </c>
      <c r="D2137" s="34" t="s">
        <v>1852</v>
      </c>
      <c r="E2137" s="34" t="s">
        <v>5297</v>
      </c>
      <c r="F2137" s="34" t="s">
        <v>5298</v>
      </c>
      <c r="G2137" s="34">
        <v>93059.0</v>
      </c>
      <c r="H2137" s="34" t="s">
        <v>5299</v>
      </c>
      <c r="I2137" s="34" t="s">
        <v>18</v>
      </c>
      <c r="J2137" s="34" t="s">
        <v>15</v>
      </c>
      <c r="K2137" s="45">
        <v>78.5</v>
      </c>
      <c r="L2137" s="9"/>
      <c r="M2137" s="45">
        <v>78.5</v>
      </c>
    </row>
    <row r="2138">
      <c r="A2138" s="34" t="s">
        <v>70</v>
      </c>
      <c r="B2138" s="34" t="s">
        <v>1545</v>
      </c>
      <c r="C2138" s="34">
        <v>94.0</v>
      </c>
      <c r="D2138" s="34" t="s">
        <v>1895</v>
      </c>
      <c r="E2138" s="34" t="s">
        <v>5300</v>
      </c>
      <c r="F2138" s="34" t="s">
        <v>5301</v>
      </c>
      <c r="G2138" s="34">
        <v>94017.0</v>
      </c>
      <c r="H2138" s="34" t="s">
        <v>1898</v>
      </c>
      <c r="I2138" s="34" t="s">
        <v>18</v>
      </c>
      <c r="J2138" s="34" t="s">
        <v>14</v>
      </c>
      <c r="K2138" s="45">
        <v>102.9</v>
      </c>
      <c r="L2138" s="45">
        <v>82.5</v>
      </c>
      <c r="M2138" s="45">
        <v>97.5</v>
      </c>
    </row>
    <row r="2139">
      <c r="A2139" s="34" t="s">
        <v>70</v>
      </c>
      <c r="B2139" s="34" t="s">
        <v>1545</v>
      </c>
      <c r="C2139" s="34">
        <v>94.0</v>
      </c>
      <c r="D2139" s="34" t="s">
        <v>1895</v>
      </c>
      <c r="E2139" s="34" t="s">
        <v>5302</v>
      </c>
      <c r="F2139" s="34" t="s">
        <v>5303</v>
      </c>
      <c r="G2139" s="34">
        <v>94068.0</v>
      </c>
      <c r="H2139" s="34" t="s">
        <v>3735</v>
      </c>
      <c r="I2139" s="34" t="s">
        <v>18</v>
      </c>
      <c r="J2139" s="34" t="s">
        <v>15</v>
      </c>
      <c r="K2139" s="45">
        <v>134.9</v>
      </c>
      <c r="L2139" s="9"/>
      <c r="M2139" s="45">
        <v>134.9</v>
      </c>
    </row>
    <row r="2140">
      <c r="A2140" s="34" t="s">
        <v>70</v>
      </c>
      <c r="B2140" s="34" t="s">
        <v>1545</v>
      </c>
      <c r="C2140" s="34">
        <v>94.0</v>
      </c>
      <c r="D2140" s="34" t="s">
        <v>1895</v>
      </c>
      <c r="E2140" s="34" t="s">
        <v>5304</v>
      </c>
      <c r="F2140" s="34" t="s">
        <v>5305</v>
      </c>
      <c r="G2140" s="34">
        <v>94068.0</v>
      </c>
      <c r="H2140" s="34" t="s">
        <v>3735</v>
      </c>
      <c r="I2140" s="34" t="s">
        <v>18</v>
      </c>
      <c r="J2140" s="34" t="s">
        <v>14</v>
      </c>
      <c r="K2140" s="45">
        <v>136.3</v>
      </c>
      <c r="L2140" s="45">
        <v>87.5</v>
      </c>
      <c r="M2140" s="45">
        <v>128.6</v>
      </c>
    </row>
    <row r="2141">
      <c r="A2141" s="34" t="s">
        <v>70</v>
      </c>
      <c r="B2141" s="34" t="s">
        <v>1545</v>
      </c>
      <c r="C2141" s="34">
        <v>94.0</v>
      </c>
      <c r="D2141" s="34" t="s">
        <v>1895</v>
      </c>
      <c r="E2141" s="34" t="s">
        <v>5306</v>
      </c>
      <c r="F2141" s="34" t="s">
        <v>5307</v>
      </c>
      <c r="G2141" s="34">
        <v>94073.0</v>
      </c>
      <c r="H2141" s="34" t="s">
        <v>1913</v>
      </c>
      <c r="I2141" s="34" t="s">
        <v>18</v>
      </c>
      <c r="J2141" s="34" t="s">
        <v>15</v>
      </c>
      <c r="K2141" s="45">
        <v>100.2</v>
      </c>
      <c r="L2141" s="9"/>
      <c r="M2141" s="45">
        <v>100.2</v>
      </c>
    </row>
    <row r="2142">
      <c r="A2142" s="34" t="s">
        <v>70</v>
      </c>
      <c r="B2142" s="34" t="s">
        <v>1545</v>
      </c>
      <c r="C2142" s="34">
        <v>94.0</v>
      </c>
      <c r="D2142" s="34" t="s">
        <v>1895</v>
      </c>
      <c r="E2142" s="34" t="s">
        <v>5308</v>
      </c>
      <c r="F2142" s="34" t="s">
        <v>5309</v>
      </c>
      <c r="G2142" s="34">
        <v>94080.0</v>
      </c>
      <c r="H2142" s="34" t="s">
        <v>3732</v>
      </c>
      <c r="I2142" s="34" t="s">
        <v>18</v>
      </c>
      <c r="J2142" s="34" t="s">
        <v>15</v>
      </c>
      <c r="K2142" s="45">
        <v>138.8</v>
      </c>
      <c r="L2142" s="9"/>
      <c r="M2142" s="45">
        <v>138.8</v>
      </c>
    </row>
    <row r="2143">
      <c r="A2143" s="34" t="s">
        <v>70</v>
      </c>
      <c r="B2143" s="34" t="s">
        <v>1545</v>
      </c>
      <c r="C2143" s="34">
        <v>94.0</v>
      </c>
      <c r="D2143" s="34" t="s">
        <v>1895</v>
      </c>
      <c r="E2143" s="34" t="s">
        <v>5310</v>
      </c>
      <c r="F2143" s="34" t="s">
        <v>5311</v>
      </c>
      <c r="G2143" s="34">
        <v>94017.0</v>
      </c>
      <c r="H2143" s="34" t="s">
        <v>1898</v>
      </c>
      <c r="I2143" s="34" t="s">
        <v>18</v>
      </c>
      <c r="J2143" s="34" t="s">
        <v>14</v>
      </c>
      <c r="K2143" s="45">
        <v>66.2</v>
      </c>
      <c r="L2143" s="45">
        <v>74.6</v>
      </c>
      <c r="M2143" s="45">
        <v>74.5</v>
      </c>
    </row>
    <row r="2144">
      <c r="A2144" s="34" t="s">
        <v>70</v>
      </c>
      <c r="B2144" s="34" t="s">
        <v>1545</v>
      </c>
      <c r="C2144" s="34">
        <v>94.0</v>
      </c>
      <c r="D2144" s="34" t="s">
        <v>1895</v>
      </c>
      <c r="E2144" s="34" t="s">
        <v>5312</v>
      </c>
      <c r="F2144" s="34" t="s">
        <v>5313</v>
      </c>
      <c r="G2144" s="34">
        <v>94037.0</v>
      </c>
      <c r="H2144" s="34" t="s">
        <v>5314</v>
      </c>
      <c r="I2144" s="34" t="s">
        <v>18</v>
      </c>
      <c r="J2144" s="34" t="s">
        <v>13</v>
      </c>
      <c r="K2144" s="9"/>
      <c r="L2144" s="45">
        <v>85.6</v>
      </c>
      <c r="M2144" s="45">
        <v>85.6</v>
      </c>
    </row>
    <row r="2145">
      <c r="A2145" s="34" t="s">
        <v>70</v>
      </c>
      <c r="B2145" s="34" t="s">
        <v>1545</v>
      </c>
      <c r="C2145" s="34">
        <v>94.0</v>
      </c>
      <c r="D2145" s="34" t="s">
        <v>1895</v>
      </c>
      <c r="E2145" s="34" t="s">
        <v>5315</v>
      </c>
      <c r="F2145" s="34" t="s">
        <v>5316</v>
      </c>
      <c r="G2145" s="34">
        <v>94052.0</v>
      </c>
      <c r="H2145" s="34" t="s">
        <v>1904</v>
      </c>
      <c r="I2145" s="34" t="s">
        <v>18</v>
      </c>
      <c r="J2145" s="34" t="s">
        <v>14</v>
      </c>
      <c r="K2145" s="45">
        <v>103.7</v>
      </c>
      <c r="L2145" s="45">
        <v>94.2</v>
      </c>
      <c r="M2145" s="45">
        <v>94.8</v>
      </c>
    </row>
    <row r="2146">
      <c r="A2146" s="34" t="s">
        <v>70</v>
      </c>
      <c r="B2146" s="34" t="s">
        <v>1545</v>
      </c>
      <c r="C2146" s="34">
        <v>94.0</v>
      </c>
      <c r="D2146" s="34" t="s">
        <v>1895</v>
      </c>
      <c r="E2146" s="34" t="s">
        <v>5317</v>
      </c>
      <c r="F2146" s="34" t="s">
        <v>5318</v>
      </c>
      <c r="G2146" s="34">
        <v>94071.0</v>
      </c>
      <c r="H2146" s="34" t="s">
        <v>3754</v>
      </c>
      <c r="I2146" s="34" t="s">
        <v>17</v>
      </c>
      <c r="J2146" s="34" t="s">
        <v>15</v>
      </c>
      <c r="K2146" s="45">
        <v>132.7</v>
      </c>
      <c r="L2146" s="9"/>
      <c r="M2146" s="45">
        <v>132.7</v>
      </c>
    </row>
    <row r="2147">
      <c r="A2147" s="34" t="s">
        <v>70</v>
      </c>
      <c r="B2147" s="34" t="s">
        <v>1545</v>
      </c>
      <c r="C2147" s="34">
        <v>94.0</v>
      </c>
      <c r="D2147" s="34" t="s">
        <v>1895</v>
      </c>
      <c r="E2147" s="34" t="s">
        <v>5319</v>
      </c>
      <c r="F2147" s="34" t="s">
        <v>5320</v>
      </c>
      <c r="G2147" s="34">
        <v>94041.0</v>
      </c>
      <c r="H2147" s="34" t="s">
        <v>1901</v>
      </c>
      <c r="I2147" s="34" t="s">
        <v>17</v>
      </c>
      <c r="J2147" s="34" t="s">
        <v>13</v>
      </c>
      <c r="K2147" s="9"/>
      <c r="L2147" s="45">
        <v>125.9</v>
      </c>
      <c r="M2147" s="45">
        <v>125.9</v>
      </c>
    </row>
    <row r="2148">
      <c r="A2148" s="34" t="s">
        <v>70</v>
      </c>
      <c r="B2148" s="34" t="s">
        <v>1545</v>
      </c>
      <c r="C2148" s="34">
        <v>94.0</v>
      </c>
      <c r="D2148" s="34" t="s">
        <v>1895</v>
      </c>
      <c r="E2148" s="34" t="s">
        <v>5321</v>
      </c>
      <c r="F2148" s="34" t="s">
        <v>5322</v>
      </c>
      <c r="G2148" s="34">
        <v>94019.0</v>
      </c>
      <c r="H2148" s="34" t="s">
        <v>5323</v>
      </c>
      <c r="I2148" s="34" t="s">
        <v>18</v>
      </c>
      <c r="J2148" s="34" t="s">
        <v>14</v>
      </c>
      <c r="K2148" s="45">
        <v>112.2</v>
      </c>
      <c r="L2148" s="45">
        <v>85.7</v>
      </c>
      <c r="M2148" s="45">
        <v>104.1</v>
      </c>
    </row>
    <row r="2149">
      <c r="A2149" s="34" t="s">
        <v>70</v>
      </c>
      <c r="B2149" s="34" t="s">
        <v>1545</v>
      </c>
      <c r="C2149" s="34">
        <v>94.0</v>
      </c>
      <c r="D2149" s="34" t="s">
        <v>1895</v>
      </c>
      <c r="E2149" s="34" t="s">
        <v>5324</v>
      </c>
      <c r="F2149" s="34" t="s">
        <v>5325</v>
      </c>
      <c r="G2149" s="34">
        <v>94071.0</v>
      </c>
      <c r="H2149" s="34" t="s">
        <v>3754</v>
      </c>
      <c r="I2149" s="34" t="s">
        <v>18</v>
      </c>
      <c r="J2149" s="34" t="s">
        <v>14</v>
      </c>
      <c r="K2149" s="45">
        <v>125.5</v>
      </c>
      <c r="L2149" s="45">
        <v>101.9</v>
      </c>
      <c r="M2149" s="45">
        <v>121.1</v>
      </c>
    </row>
    <row r="2150">
      <c r="A2150" s="34" t="s">
        <v>70</v>
      </c>
      <c r="B2150" s="34" t="s">
        <v>1545</v>
      </c>
      <c r="C2150" s="34">
        <v>94.0</v>
      </c>
      <c r="D2150" s="34" t="s">
        <v>1895</v>
      </c>
      <c r="E2150" s="34" t="s">
        <v>5326</v>
      </c>
      <c r="F2150" s="34" t="s">
        <v>5327</v>
      </c>
      <c r="G2150" s="34">
        <v>94028.0</v>
      </c>
      <c r="H2150" s="34" t="s">
        <v>1545</v>
      </c>
      <c r="I2150" s="34" t="s">
        <v>18</v>
      </c>
      <c r="J2150" s="34" t="s">
        <v>14</v>
      </c>
      <c r="K2150" s="45">
        <v>87.4</v>
      </c>
      <c r="L2150" s="45">
        <v>83.9</v>
      </c>
      <c r="M2150" s="45">
        <v>86.5</v>
      </c>
    </row>
    <row r="2151">
      <c r="A2151" s="34" t="s">
        <v>70</v>
      </c>
      <c r="B2151" s="34" t="s">
        <v>1545</v>
      </c>
      <c r="C2151" s="34">
        <v>94.0</v>
      </c>
      <c r="D2151" s="34" t="s">
        <v>1895</v>
      </c>
      <c r="E2151" s="34" t="s">
        <v>5328</v>
      </c>
      <c r="F2151" s="34" t="s">
        <v>5329</v>
      </c>
      <c r="G2151" s="34">
        <v>94017.0</v>
      </c>
      <c r="H2151" s="34" t="s">
        <v>1898</v>
      </c>
      <c r="I2151" s="34" t="s">
        <v>18</v>
      </c>
      <c r="J2151" s="34" t="s">
        <v>14</v>
      </c>
      <c r="K2151" s="45">
        <v>97.6</v>
      </c>
      <c r="L2151" s="45">
        <v>80.6</v>
      </c>
      <c r="M2151" s="45">
        <v>92.3</v>
      </c>
    </row>
    <row r="2152">
      <c r="A2152" s="34" t="s">
        <v>70</v>
      </c>
      <c r="B2152" s="34" t="s">
        <v>1545</v>
      </c>
      <c r="C2152" s="34">
        <v>94.0</v>
      </c>
      <c r="D2152" s="34" t="s">
        <v>1895</v>
      </c>
      <c r="E2152" s="34" t="s">
        <v>5330</v>
      </c>
      <c r="F2152" s="34" t="s">
        <v>5331</v>
      </c>
      <c r="G2152" s="34">
        <v>94028.0</v>
      </c>
      <c r="H2152" s="34" t="s">
        <v>1545</v>
      </c>
      <c r="I2152" s="34" t="s">
        <v>17</v>
      </c>
      <c r="J2152" s="34" t="s">
        <v>15</v>
      </c>
      <c r="K2152" s="45">
        <v>121.5</v>
      </c>
      <c r="L2152" s="9"/>
      <c r="M2152" s="45">
        <v>121.5</v>
      </c>
    </row>
    <row r="2153">
      <c r="A2153" s="34" t="s">
        <v>70</v>
      </c>
      <c r="B2153" s="34" t="s">
        <v>1579</v>
      </c>
      <c r="C2153" s="34">
        <v>95.0</v>
      </c>
      <c r="D2153" s="34" t="s">
        <v>1927</v>
      </c>
      <c r="E2153" s="34" t="s">
        <v>5332</v>
      </c>
      <c r="F2153" s="34" t="s">
        <v>5333</v>
      </c>
      <c r="G2153" s="34">
        <v>95219.0</v>
      </c>
      <c r="H2153" s="34" t="s">
        <v>5334</v>
      </c>
      <c r="I2153" s="34" t="s">
        <v>18</v>
      </c>
      <c r="J2153" s="34" t="s">
        <v>15</v>
      </c>
      <c r="K2153" s="45">
        <v>117.5</v>
      </c>
      <c r="L2153" s="9"/>
      <c r="M2153" s="45">
        <v>117.5</v>
      </c>
    </row>
    <row r="2154">
      <c r="A2154" s="34" t="s">
        <v>70</v>
      </c>
      <c r="B2154" s="34" t="s">
        <v>1579</v>
      </c>
      <c r="C2154" s="34">
        <v>95.0</v>
      </c>
      <c r="D2154" s="34" t="s">
        <v>1927</v>
      </c>
      <c r="E2154" s="34" t="s">
        <v>5335</v>
      </c>
      <c r="F2154" s="34" t="s">
        <v>5336</v>
      </c>
      <c r="G2154" s="34">
        <v>95352.0</v>
      </c>
      <c r="H2154" s="34" t="s">
        <v>5337</v>
      </c>
      <c r="I2154" s="34" t="s">
        <v>18</v>
      </c>
      <c r="J2154" s="34" t="s">
        <v>15</v>
      </c>
      <c r="K2154" s="45">
        <v>123.1</v>
      </c>
      <c r="L2154" s="9"/>
      <c r="M2154" s="45">
        <v>123.1</v>
      </c>
    </row>
    <row r="2155">
      <c r="A2155" s="34" t="s">
        <v>70</v>
      </c>
      <c r="B2155" s="34" t="s">
        <v>1579</v>
      </c>
      <c r="C2155" s="34">
        <v>95.0</v>
      </c>
      <c r="D2155" s="34" t="s">
        <v>1927</v>
      </c>
      <c r="E2155" s="34" t="s">
        <v>5338</v>
      </c>
      <c r="F2155" s="34" t="s">
        <v>4185</v>
      </c>
      <c r="G2155" s="34">
        <v>95607.0</v>
      </c>
      <c r="H2155" s="34" t="s">
        <v>5339</v>
      </c>
      <c r="I2155" s="34" t="s">
        <v>18</v>
      </c>
      <c r="J2155" s="34" t="s">
        <v>15</v>
      </c>
      <c r="K2155" s="45">
        <v>121.7</v>
      </c>
      <c r="L2155" s="9"/>
      <c r="M2155" s="45">
        <v>121.7</v>
      </c>
    </row>
    <row r="2156">
      <c r="A2156" s="34" t="s">
        <v>70</v>
      </c>
      <c r="B2156" s="34" t="s">
        <v>1579</v>
      </c>
      <c r="C2156" s="34">
        <v>95.0</v>
      </c>
      <c r="D2156" s="34" t="s">
        <v>1927</v>
      </c>
      <c r="E2156" s="34" t="s">
        <v>5340</v>
      </c>
      <c r="F2156" s="34" t="s">
        <v>5341</v>
      </c>
      <c r="G2156" s="34">
        <v>95018.0</v>
      </c>
      <c r="H2156" s="34" t="s">
        <v>1930</v>
      </c>
      <c r="I2156" s="34" t="s">
        <v>18</v>
      </c>
      <c r="J2156" s="34" t="s">
        <v>14</v>
      </c>
      <c r="K2156" s="45">
        <v>90.8</v>
      </c>
      <c r="L2156" s="45">
        <v>78.3</v>
      </c>
      <c r="M2156" s="45">
        <v>88.9</v>
      </c>
    </row>
    <row r="2157">
      <c r="A2157" s="34" t="s">
        <v>70</v>
      </c>
      <c r="B2157" s="34" t="s">
        <v>1579</v>
      </c>
      <c r="C2157" s="34">
        <v>95.0</v>
      </c>
      <c r="D2157" s="34" t="s">
        <v>1927</v>
      </c>
      <c r="E2157" s="34" t="s">
        <v>5342</v>
      </c>
      <c r="F2157" s="34" t="s">
        <v>5343</v>
      </c>
      <c r="G2157" s="34">
        <v>95280.0</v>
      </c>
      <c r="H2157" s="34" t="s">
        <v>5344</v>
      </c>
      <c r="I2157" s="34" t="s">
        <v>18</v>
      </c>
      <c r="J2157" s="34" t="s">
        <v>14</v>
      </c>
      <c r="K2157" s="45">
        <v>87.4</v>
      </c>
      <c r="L2157" s="45">
        <v>78.1</v>
      </c>
      <c r="M2157" s="45">
        <v>83.9</v>
      </c>
    </row>
    <row r="2158">
      <c r="A2158" s="34" t="s">
        <v>70</v>
      </c>
      <c r="B2158" s="34" t="s">
        <v>1579</v>
      </c>
      <c r="C2158" s="34">
        <v>95.0</v>
      </c>
      <c r="D2158" s="34" t="s">
        <v>1927</v>
      </c>
      <c r="E2158" s="34" t="s">
        <v>5345</v>
      </c>
      <c r="F2158" s="34" t="s">
        <v>5346</v>
      </c>
      <c r="G2158" s="34">
        <v>95476.0</v>
      </c>
      <c r="H2158" s="34" t="s">
        <v>3780</v>
      </c>
      <c r="I2158" s="34" t="s">
        <v>17</v>
      </c>
      <c r="J2158" s="34" t="s">
        <v>13</v>
      </c>
      <c r="K2158" s="9"/>
      <c r="L2158" s="45">
        <v>127.4</v>
      </c>
      <c r="M2158" s="45">
        <v>127.4</v>
      </c>
    </row>
    <row r="2159">
      <c r="A2159" s="34" t="s">
        <v>70</v>
      </c>
      <c r="B2159" s="34" t="s">
        <v>1579</v>
      </c>
      <c r="C2159" s="34">
        <v>95.0</v>
      </c>
      <c r="D2159" s="34" t="s">
        <v>1927</v>
      </c>
      <c r="E2159" s="34" t="s">
        <v>5347</v>
      </c>
      <c r="F2159" s="34" t="s">
        <v>5348</v>
      </c>
      <c r="G2159" s="34">
        <v>95252.0</v>
      </c>
      <c r="H2159" s="34" t="s">
        <v>5349</v>
      </c>
      <c r="I2159" s="34" t="s">
        <v>17</v>
      </c>
      <c r="J2159" s="34" t="s">
        <v>14</v>
      </c>
      <c r="K2159" s="45">
        <v>127.4</v>
      </c>
      <c r="L2159" s="45">
        <v>111.3</v>
      </c>
      <c r="M2159" s="45">
        <v>119.2</v>
      </c>
    </row>
    <row r="2160">
      <c r="A2160" s="34" t="s">
        <v>70</v>
      </c>
      <c r="B2160" s="34" t="s">
        <v>1579</v>
      </c>
      <c r="C2160" s="34">
        <v>95.0</v>
      </c>
      <c r="D2160" s="34" t="s">
        <v>1927</v>
      </c>
      <c r="E2160" s="34" t="s">
        <v>5350</v>
      </c>
      <c r="F2160" s="34" t="s">
        <v>5351</v>
      </c>
      <c r="G2160" s="34">
        <v>95572.0</v>
      </c>
      <c r="H2160" s="34" t="s">
        <v>1936</v>
      </c>
      <c r="I2160" s="34" t="s">
        <v>18</v>
      </c>
      <c r="J2160" s="34" t="s">
        <v>14</v>
      </c>
      <c r="K2160" s="45">
        <v>119.3</v>
      </c>
      <c r="L2160" s="45">
        <v>105.1</v>
      </c>
      <c r="M2160" s="45">
        <v>114.8</v>
      </c>
    </row>
    <row r="2161">
      <c r="A2161" s="34" t="s">
        <v>70</v>
      </c>
      <c r="B2161" s="34" t="s">
        <v>1579</v>
      </c>
      <c r="C2161" s="34">
        <v>95.0</v>
      </c>
      <c r="D2161" s="34" t="s">
        <v>1927</v>
      </c>
      <c r="E2161" s="34" t="s">
        <v>5352</v>
      </c>
      <c r="F2161" s="34" t="s">
        <v>5353</v>
      </c>
      <c r="G2161" s="34">
        <v>95313.0</v>
      </c>
      <c r="H2161" s="34" t="s">
        <v>5354</v>
      </c>
      <c r="I2161" s="34" t="s">
        <v>18</v>
      </c>
      <c r="J2161" s="34" t="s">
        <v>15</v>
      </c>
      <c r="K2161" s="45">
        <v>129.4</v>
      </c>
      <c r="L2161" s="9"/>
      <c r="M2161" s="45">
        <v>129.4</v>
      </c>
    </row>
    <row r="2162">
      <c r="A2162" s="34" t="s">
        <v>70</v>
      </c>
      <c r="B2162" s="34" t="s">
        <v>1579</v>
      </c>
      <c r="C2162" s="34">
        <v>95.0</v>
      </c>
      <c r="D2162" s="34" t="s">
        <v>1927</v>
      </c>
      <c r="E2162" s="34" t="s">
        <v>5355</v>
      </c>
      <c r="F2162" s="34" t="s">
        <v>5356</v>
      </c>
      <c r="G2162" s="34">
        <v>95428.0</v>
      </c>
      <c r="H2162" s="34" t="s">
        <v>3760</v>
      </c>
      <c r="I2162" s="34" t="s">
        <v>18</v>
      </c>
      <c r="J2162" s="34" t="s">
        <v>13</v>
      </c>
      <c r="K2162" s="9"/>
      <c r="L2162" s="45">
        <v>82.3</v>
      </c>
      <c r="M2162" s="45">
        <v>82.3</v>
      </c>
    </row>
    <row r="2163">
      <c r="A2163" s="34" t="s">
        <v>70</v>
      </c>
      <c r="B2163" s="34" t="s">
        <v>1579</v>
      </c>
      <c r="C2163" s="34">
        <v>95.0</v>
      </c>
      <c r="D2163" s="34" t="s">
        <v>1927</v>
      </c>
      <c r="E2163" s="34" t="s">
        <v>5357</v>
      </c>
      <c r="F2163" s="34" t="s">
        <v>5358</v>
      </c>
      <c r="G2163" s="34">
        <v>95218.0</v>
      </c>
      <c r="H2163" s="34" t="s">
        <v>5359</v>
      </c>
      <c r="I2163" s="34" t="s">
        <v>18</v>
      </c>
      <c r="J2163" s="34" t="s">
        <v>13</v>
      </c>
      <c r="K2163" s="9"/>
      <c r="L2163" s="45">
        <v>90.4</v>
      </c>
      <c r="M2163" s="45">
        <v>90.4</v>
      </c>
    </row>
    <row r="2164">
      <c r="A2164" s="34" t="s">
        <v>70</v>
      </c>
      <c r="B2164" s="34" t="s">
        <v>1579</v>
      </c>
      <c r="C2164" s="34">
        <v>95.0</v>
      </c>
      <c r="D2164" s="34" t="s">
        <v>1927</v>
      </c>
      <c r="E2164" s="34" t="s">
        <v>5360</v>
      </c>
      <c r="F2164" s="34" t="s">
        <v>5361</v>
      </c>
      <c r="G2164" s="34">
        <v>95127.0</v>
      </c>
      <c r="H2164" s="34" t="s">
        <v>1951</v>
      </c>
      <c r="I2164" s="34" t="s">
        <v>18</v>
      </c>
      <c r="J2164" s="34" t="s">
        <v>14</v>
      </c>
      <c r="K2164" s="45">
        <v>117.8</v>
      </c>
      <c r="L2164" s="45">
        <v>88.1</v>
      </c>
      <c r="M2164" s="45">
        <v>112.4</v>
      </c>
    </row>
    <row r="2165">
      <c r="A2165" s="34" t="s">
        <v>70</v>
      </c>
      <c r="B2165" s="34" t="s">
        <v>1579</v>
      </c>
      <c r="C2165" s="34">
        <v>95.0</v>
      </c>
      <c r="D2165" s="34" t="s">
        <v>1927</v>
      </c>
      <c r="E2165" s="34" t="s">
        <v>5362</v>
      </c>
      <c r="F2165" s="34" t="s">
        <v>5363</v>
      </c>
      <c r="G2165" s="34">
        <v>95268.0</v>
      </c>
      <c r="H2165" s="34" t="s">
        <v>1957</v>
      </c>
      <c r="I2165" s="34" t="s">
        <v>18</v>
      </c>
      <c r="J2165" s="34" t="s">
        <v>15</v>
      </c>
      <c r="K2165" s="45">
        <v>78.7</v>
      </c>
      <c r="L2165" s="9"/>
      <c r="M2165" s="45">
        <v>78.7</v>
      </c>
    </row>
    <row r="2166">
      <c r="A2166" s="34" t="s">
        <v>70</v>
      </c>
      <c r="B2166" s="34" t="s">
        <v>1579</v>
      </c>
      <c r="C2166" s="34">
        <v>95.0</v>
      </c>
      <c r="D2166" s="34" t="s">
        <v>1927</v>
      </c>
      <c r="E2166" s="34" t="s">
        <v>5364</v>
      </c>
      <c r="F2166" s="34" t="s">
        <v>1355</v>
      </c>
      <c r="G2166" s="34">
        <v>95203.0</v>
      </c>
      <c r="H2166" s="34" t="s">
        <v>5365</v>
      </c>
      <c r="I2166" s="34" t="s">
        <v>18</v>
      </c>
      <c r="J2166" s="34" t="s">
        <v>14</v>
      </c>
      <c r="K2166" s="45">
        <v>125.6</v>
      </c>
      <c r="L2166" s="45">
        <v>94.9</v>
      </c>
      <c r="M2166" s="45">
        <v>118.0</v>
      </c>
    </row>
    <row r="2167">
      <c r="A2167" s="34" t="s">
        <v>70</v>
      </c>
      <c r="B2167" s="34" t="s">
        <v>1579</v>
      </c>
      <c r="C2167" s="34">
        <v>95.0</v>
      </c>
      <c r="D2167" s="34" t="s">
        <v>1927</v>
      </c>
      <c r="E2167" s="34" t="s">
        <v>5366</v>
      </c>
      <c r="F2167" s="34" t="s">
        <v>5367</v>
      </c>
      <c r="G2167" s="34">
        <v>95210.0</v>
      </c>
      <c r="H2167" s="34" t="s">
        <v>1939</v>
      </c>
      <c r="I2167" s="34" t="s">
        <v>18</v>
      </c>
      <c r="J2167" s="34" t="s">
        <v>14</v>
      </c>
      <c r="K2167" s="45">
        <v>113.2</v>
      </c>
      <c r="L2167" s="45">
        <v>90.4</v>
      </c>
      <c r="M2167" s="45">
        <v>109.8</v>
      </c>
    </row>
    <row r="2168">
      <c r="A2168" s="34" t="s">
        <v>70</v>
      </c>
      <c r="B2168" s="34" t="s">
        <v>1579</v>
      </c>
      <c r="C2168" s="34">
        <v>95.0</v>
      </c>
      <c r="D2168" s="34" t="s">
        <v>1927</v>
      </c>
      <c r="E2168" s="34" t="s">
        <v>5368</v>
      </c>
      <c r="F2168" s="34" t="s">
        <v>5369</v>
      </c>
      <c r="G2168" s="34">
        <v>95018.0</v>
      </c>
      <c r="H2168" s="34" t="s">
        <v>1930</v>
      </c>
      <c r="I2168" s="34" t="s">
        <v>17</v>
      </c>
      <c r="J2168" s="34" t="s">
        <v>15</v>
      </c>
      <c r="K2168" s="45">
        <v>128.2</v>
      </c>
      <c r="L2168" s="9"/>
      <c r="M2168" s="45">
        <v>128.2</v>
      </c>
    </row>
    <row r="2169">
      <c r="A2169" s="34" t="s">
        <v>70</v>
      </c>
      <c r="B2169" s="34" t="s">
        <v>1964</v>
      </c>
      <c r="C2169" s="34" t="s">
        <v>1965</v>
      </c>
      <c r="D2169" s="34" t="s">
        <v>1966</v>
      </c>
      <c r="E2169" s="34" t="s">
        <v>5370</v>
      </c>
      <c r="F2169" s="34" t="s">
        <v>5371</v>
      </c>
      <c r="G2169" s="34" t="s">
        <v>1969</v>
      </c>
      <c r="H2169" s="34" t="s">
        <v>1970</v>
      </c>
      <c r="I2169" s="34" t="s">
        <v>17</v>
      </c>
      <c r="J2169" s="34" t="s">
        <v>15</v>
      </c>
      <c r="K2169" s="45">
        <v>117.3</v>
      </c>
      <c r="L2169" s="9"/>
      <c r="M2169" s="45">
        <v>117.3</v>
      </c>
    </row>
    <row r="2170">
      <c r="A2170" s="34" t="s">
        <v>70</v>
      </c>
      <c r="B2170" s="34" t="s">
        <v>1989</v>
      </c>
      <c r="C2170" s="34">
        <v>971.0</v>
      </c>
      <c r="D2170" s="34" t="s">
        <v>1989</v>
      </c>
      <c r="E2170" s="34" t="s">
        <v>5372</v>
      </c>
      <c r="F2170" s="34" t="s">
        <v>5373</v>
      </c>
      <c r="G2170" s="34">
        <v>97105.0</v>
      </c>
      <c r="H2170" s="34" t="s">
        <v>1992</v>
      </c>
      <c r="I2170" s="34" t="s">
        <v>18</v>
      </c>
      <c r="J2170" s="34" t="s">
        <v>15</v>
      </c>
      <c r="K2170" s="45">
        <v>97.5</v>
      </c>
      <c r="L2170" s="9"/>
      <c r="M2170" s="45">
        <v>97.5</v>
      </c>
    </row>
    <row r="2171">
      <c r="A2171" s="34" t="s">
        <v>70</v>
      </c>
      <c r="B2171" s="34" t="s">
        <v>1989</v>
      </c>
      <c r="C2171" s="34">
        <v>971.0</v>
      </c>
      <c r="D2171" s="34" t="s">
        <v>1989</v>
      </c>
      <c r="E2171" s="34" t="s">
        <v>5374</v>
      </c>
      <c r="F2171" s="34" t="s">
        <v>5375</v>
      </c>
      <c r="G2171" s="34">
        <v>97120.0</v>
      </c>
      <c r="H2171" s="34" t="s">
        <v>2001</v>
      </c>
      <c r="I2171" s="34" t="s">
        <v>17</v>
      </c>
      <c r="J2171" s="34" t="s">
        <v>15</v>
      </c>
      <c r="K2171" s="45">
        <v>97.1</v>
      </c>
      <c r="L2171" s="9"/>
      <c r="M2171" s="45">
        <v>97.1</v>
      </c>
    </row>
    <row r="2172">
      <c r="A2172" s="34" t="s">
        <v>70</v>
      </c>
      <c r="B2172" s="34" t="s">
        <v>1989</v>
      </c>
      <c r="C2172" s="34">
        <v>971.0</v>
      </c>
      <c r="D2172" s="34" t="s">
        <v>1989</v>
      </c>
      <c r="E2172" s="34" t="s">
        <v>5376</v>
      </c>
      <c r="F2172" s="34" t="s">
        <v>5377</v>
      </c>
      <c r="G2172" s="34">
        <v>97124.0</v>
      </c>
      <c r="H2172" s="34" t="s">
        <v>2648</v>
      </c>
      <c r="I2172" s="34" t="s">
        <v>18</v>
      </c>
      <c r="J2172" s="34" t="s">
        <v>13</v>
      </c>
      <c r="K2172" s="9"/>
      <c r="L2172" s="45">
        <v>70.6</v>
      </c>
      <c r="M2172" s="45">
        <v>70.6</v>
      </c>
    </row>
    <row r="2173">
      <c r="A2173" s="34" t="s">
        <v>70</v>
      </c>
      <c r="B2173" s="34" t="s">
        <v>1989</v>
      </c>
      <c r="C2173" s="34">
        <v>971.0</v>
      </c>
      <c r="D2173" s="34" t="s">
        <v>1989</v>
      </c>
      <c r="E2173" s="34" t="s">
        <v>5378</v>
      </c>
      <c r="F2173" s="34" t="s">
        <v>5379</v>
      </c>
      <c r="G2173" s="34">
        <v>97103.0</v>
      </c>
      <c r="H2173" s="34" t="s">
        <v>3798</v>
      </c>
      <c r="I2173" s="34" t="s">
        <v>18</v>
      </c>
      <c r="J2173" s="34" t="s">
        <v>13</v>
      </c>
      <c r="K2173" s="9"/>
      <c r="L2173" s="45">
        <v>73.6</v>
      </c>
      <c r="M2173" s="45">
        <v>73.6</v>
      </c>
    </row>
    <row r="2174">
      <c r="A2174" s="34" t="s">
        <v>70</v>
      </c>
      <c r="B2174" s="34" t="s">
        <v>1989</v>
      </c>
      <c r="C2174" s="34">
        <v>971.0</v>
      </c>
      <c r="D2174" s="34" t="s">
        <v>1989</v>
      </c>
      <c r="E2174" s="34" t="s">
        <v>5380</v>
      </c>
      <c r="F2174" s="34" t="s">
        <v>5381</v>
      </c>
      <c r="G2174" s="34">
        <v>97103.0</v>
      </c>
      <c r="H2174" s="34" t="s">
        <v>3798</v>
      </c>
      <c r="I2174" s="34" t="s">
        <v>17</v>
      </c>
      <c r="J2174" s="34" t="s">
        <v>13</v>
      </c>
      <c r="K2174" s="9"/>
      <c r="L2174" s="45">
        <v>76.5</v>
      </c>
      <c r="M2174" s="45">
        <v>76.5</v>
      </c>
    </row>
    <row r="2175">
      <c r="A2175" s="34" t="s">
        <v>70</v>
      </c>
      <c r="B2175" s="34" t="s">
        <v>1989</v>
      </c>
      <c r="C2175" s="34">
        <v>971.0</v>
      </c>
      <c r="D2175" s="34" t="s">
        <v>1989</v>
      </c>
      <c r="E2175" s="34" t="s">
        <v>5382</v>
      </c>
      <c r="F2175" s="34" t="s">
        <v>5383</v>
      </c>
      <c r="G2175" s="34">
        <v>97105.0</v>
      </c>
      <c r="H2175" s="34" t="s">
        <v>1992</v>
      </c>
      <c r="I2175" s="34" t="s">
        <v>18</v>
      </c>
      <c r="J2175" s="34" t="s">
        <v>14</v>
      </c>
      <c r="K2175" s="45">
        <v>93.8</v>
      </c>
      <c r="L2175" s="45">
        <v>79.6</v>
      </c>
      <c r="M2175" s="45">
        <v>92.1</v>
      </c>
    </row>
    <row r="2176">
      <c r="A2176" s="34" t="s">
        <v>70</v>
      </c>
      <c r="B2176" s="34" t="s">
        <v>1989</v>
      </c>
      <c r="C2176" s="34">
        <v>971.0</v>
      </c>
      <c r="D2176" s="34" t="s">
        <v>1989</v>
      </c>
      <c r="E2176" s="34" t="s">
        <v>5384</v>
      </c>
      <c r="F2176" s="34" t="s">
        <v>5385</v>
      </c>
      <c r="G2176" s="34">
        <v>97129.0</v>
      </c>
      <c r="H2176" s="34" t="s">
        <v>5386</v>
      </c>
      <c r="I2176" s="34" t="s">
        <v>18</v>
      </c>
      <c r="J2176" s="34" t="s">
        <v>15</v>
      </c>
      <c r="K2176" s="45">
        <v>97.3</v>
      </c>
      <c r="L2176" s="9"/>
      <c r="M2176" s="45">
        <v>97.3</v>
      </c>
    </row>
    <row r="2177">
      <c r="A2177" s="34" t="s">
        <v>70</v>
      </c>
      <c r="B2177" s="34" t="s">
        <v>1989</v>
      </c>
      <c r="C2177" s="34">
        <v>971.0</v>
      </c>
      <c r="D2177" s="34" t="s">
        <v>1989</v>
      </c>
      <c r="E2177" s="34" t="s">
        <v>5387</v>
      </c>
      <c r="F2177" s="34" t="s">
        <v>5388</v>
      </c>
      <c r="G2177" s="34">
        <v>97112.0</v>
      </c>
      <c r="H2177" s="34" t="s">
        <v>5389</v>
      </c>
      <c r="I2177" s="34" t="s">
        <v>18</v>
      </c>
      <c r="J2177" s="34" t="s">
        <v>14</v>
      </c>
      <c r="K2177" s="45">
        <v>94.0</v>
      </c>
      <c r="L2177" s="45">
        <v>71.9</v>
      </c>
      <c r="M2177" s="45">
        <v>81.7</v>
      </c>
    </row>
    <row r="2178">
      <c r="A2178" s="34" t="s">
        <v>70</v>
      </c>
      <c r="B2178" s="34" t="s">
        <v>2013</v>
      </c>
      <c r="C2178" s="34">
        <v>972.0</v>
      </c>
      <c r="D2178" s="34" t="s">
        <v>2013</v>
      </c>
      <c r="E2178" s="34" t="s">
        <v>5390</v>
      </c>
      <c r="F2178" s="34" t="s">
        <v>5391</v>
      </c>
      <c r="G2178" s="34">
        <v>97209.0</v>
      </c>
      <c r="H2178" s="34" t="s">
        <v>2016</v>
      </c>
      <c r="I2178" s="34" t="s">
        <v>18</v>
      </c>
      <c r="J2178" s="34" t="s">
        <v>15</v>
      </c>
      <c r="K2178" s="45">
        <v>107.6</v>
      </c>
      <c r="L2178" s="9"/>
      <c r="M2178" s="45">
        <v>107.6</v>
      </c>
    </row>
    <row r="2179">
      <c r="A2179" s="34" t="s">
        <v>70</v>
      </c>
      <c r="B2179" s="34" t="s">
        <v>2013</v>
      </c>
      <c r="C2179" s="34">
        <v>972.0</v>
      </c>
      <c r="D2179" s="34" t="s">
        <v>2013</v>
      </c>
      <c r="E2179" s="34" t="s">
        <v>5392</v>
      </c>
      <c r="F2179" s="34" t="s">
        <v>5393</v>
      </c>
      <c r="G2179" s="34">
        <v>97217.0</v>
      </c>
      <c r="H2179" s="34" t="s">
        <v>2028</v>
      </c>
      <c r="I2179" s="34" t="s">
        <v>18</v>
      </c>
      <c r="J2179" s="34" t="s">
        <v>13</v>
      </c>
      <c r="K2179" s="9"/>
      <c r="L2179" s="45">
        <v>76.0</v>
      </c>
      <c r="M2179" s="45">
        <v>76.0</v>
      </c>
    </row>
    <row r="2180">
      <c r="A2180" s="34" t="s">
        <v>70</v>
      </c>
      <c r="B2180" s="34" t="s">
        <v>2013</v>
      </c>
      <c r="C2180" s="34">
        <v>972.0</v>
      </c>
      <c r="D2180" s="34" t="s">
        <v>2013</v>
      </c>
      <c r="E2180" s="34" t="s">
        <v>5394</v>
      </c>
      <c r="F2180" s="34" t="s">
        <v>5395</v>
      </c>
      <c r="G2180" s="34">
        <v>97227.0</v>
      </c>
      <c r="H2180" s="34" t="s">
        <v>5396</v>
      </c>
      <c r="I2180" s="34" t="s">
        <v>17</v>
      </c>
      <c r="J2180" s="34" t="s">
        <v>14</v>
      </c>
      <c r="K2180" s="45">
        <v>109.4</v>
      </c>
      <c r="L2180" s="45">
        <v>98.6</v>
      </c>
      <c r="M2180" s="45">
        <v>107.7</v>
      </c>
    </row>
    <row r="2181">
      <c r="A2181" s="34" t="s">
        <v>70</v>
      </c>
      <c r="B2181" s="34" t="s">
        <v>2013</v>
      </c>
      <c r="C2181" s="34">
        <v>972.0</v>
      </c>
      <c r="D2181" s="34" t="s">
        <v>2013</v>
      </c>
      <c r="E2181" s="34" t="s">
        <v>5397</v>
      </c>
      <c r="F2181" s="34" t="s">
        <v>5398</v>
      </c>
      <c r="G2181" s="34">
        <v>97221.0</v>
      </c>
      <c r="H2181" s="34" t="s">
        <v>5399</v>
      </c>
      <c r="I2181" s="34" t="s">
        <v>18</v>
      </c>
      <c r="J2181" s="34" t="s">
        <v>14</v>
      </c>
      <c r="K2181" s="45">
        <v>106.0</v>
      </c>
      <c r="L2181" s="45">
        <v>77.0</v>
      </c>
      <c r="M2181" s="45">
        <v>97.6</v>
      </c>
    </row>
    <row r="2182">
      <c r="A2182" s="34" t="s">
        <v>70</v>
      </c>
      <c r="B2182" s="34" t="s">
        <v>2013</v>
      </c>
      <c r="C2182" s="34">
        <v>972.0</v>
      </c>
      <c r="D2182" s="34" t="s">
        <v>2013</v>
      </c>
      <c r="E2182" s="34" t="s">
        <v>5400</v>
      </c>
      <c r="F2182" s="34" t="s">
        <v>5401</v>
      </c>
      <c r="G2182" s="34">
        <v>97207.0</v>
      </c>
      <c r="H2182" s="34" t="s">
        <v>5402</v>
      </c>
      <c r="I2182" s="34" t="s">
        <v>18</v>
      </c>
      <c r="J2182" s="34" t="s">
        <v>15</v>
      </c>
      <c r="K2182" s="45">
        <v>110.6</v>
      </c>
      <c r="L2182" s="9"/>
      <c r="M2182" s="45">
        <v>110.6</v>
      </c>
    </row>
    <row r="2183">
      <c r="A2183" s="34" t="s">
        <v>70</v>
      </c>
      <c r="B2183" s="34" t="s">
        <v>2013</v>
      </c>
      <c r="C2183" s="34">
        <v>972.0</v>
      </c>
      <c r="D2183" s="34" t="s">
        <v>2013</v>
      </c>
      <c r="E2183" s="34" t="s">
        <v>5403</v>
      </c>
      <c r="F2183" s="34" t="s">
        <v>5404</v>
      </c>
      <c r="G2183" s="34">
        <v>97213.0</v>
      </c>
      <c r="H2183" s="34" t="s">
        <v>2019</v>
      </c>
      <c r="I2183" s="34" t="s">
        <v>18</v>
      </c>
      <c r="J2183" s="34" t="s">
        <v>13</v>
      </c>
      <c r="K2183" s="9"/>
      <c r="L2183" s="45">
        <v>77.5</v>
      </c>
      <c r="M2183" s="45">
        <v>77.5</v>
      </c>
    </row>
    <row r="2184">
      <c r="A2184" s="34" t="s">
        <v>70</v>
      </c>
      <c r="B2184" s="34" t="s">
        <v>2035</v>
      </c>
      <c r="C2184" s="34">
        <v>973.0</v>
      </c>
      <c r="D2184" s="34" t="s">
        <v>2035</v>
      </c>
      <c r="E2184" s="34" t="s">
        <v>5405</v>
      </c>
      <c r="F2184" s="34" t="s">
        <v>5406</v>
      </c>
      <c r="G2184" s="34">
        <v>97302.0</v>
      </c>
      <c r="H2184" s="34" t="s">
        <v>2046</v>
      </c>
      <c r="I2184" s="34" t="s">
        <v>18</v>
      </c>
      <c r="J2184" s="34" t="s">
        <v>14</v>
      </c>
      <c r="K2184" s="45">
        <v>76.3</v>
      </c>
      <c r="L2184" s="45">
        <v>62.6</v>
      </c>
      <c r="M2184" s="45">
        <v>75.6</v>
      </c>
    </row>
    <row r="2185">
      <c r="A2185" s="34" t="s">
        <v>70</v>
      </c>
      <c r="B2185" s="34" t="s">
        <v>2035</v>
      </c>
      <c r="C2185" s="34">
        <v>973.0</v>
      </c>
      <c r="D2185" s="34" t="s">
        <v>2035</v>
      </c>
      <c r="E2185" s="34" t="s">
        <v>5407</v>
      </c>
      <c r="F2185" s="34" t="s">
        <v>5408</v>
      </c>
      <c r="G2185" s="34">
        <v>97302.0</v>
      </c>
      <c r="H2185" s="34" t="s">
        <v>2046</v>
      </c>
      <c r="I2185" s="34" t="s">
        <v>18</v>
      </c>
      <c r="J2185" s="34" t="s">
        <v>13</v>
      </c>
      <c r="K2185" s="9"/>
      <c r="L2185" s="45">
        <v>68.9</v>
      </c>
      <c r="M2185" s="45">
        <v>68.9</v>
      </c>
    </row>
    <row r="2186">
      <c r="A2186" s="34" t="s">
        <v>70</v>
      </c>
      <c r="B2186" s="34" t="s">
        <v>2035</v>
      </c>
      <c r="C2186" s="34">
        <v>973.0</v>
      </c>
      <c r="D2186" s="34" t="s">
        <v>2035</v>
      </c>
      <c r="E2186" s="34" t="s">
        <v>5409</v>
      </c>
      <c r="F2186" s="34" t="s">
        <v>5410</v>
      </c>
      <c r="G2186" s="34">
        <v>97302.0</v>
      </c>
      <c r="H2186" s="34" t="s">
        <v>2046</v>
      </c>
      <c r="I2186" s="34" t="s">
        <v>17</v>
      </c>
      <c r="J2186" s="34" t="s">
        <v>14</v>
      </c>
      <c r="K2186" s="45">
        <v>78.6</v>
      </c>
      <c r="L2186" s="45">
        <v>73.8</v>
      </c>
      <c r="M2186" s="45">
        <v>74.8</v>
      </c>
    </row>
    <row r="2187">
      <c r="A2187" s="34" t="s">
        <v>70</v>
      </c>
      <c r="B2187" s="34" t="s">
        <v>2054</v>
      </c>
      <c r="C2187" s="34">
        <v>974.0</v>
      </c>
      <c r="D2187" s="34" t="s">
        <v>2054</v>
      </c>
      <c r="E2187" s="34" t="s">
        <v>5411</v>
      </c>
      <c r="F2187" s="34" t="s">
        <v>5412</v>
      </c>
      <c r="G2187" s="34">
        <v>97415.0</v>
      </c>
      <c r="H2187" s="34" t="s">
        <v>2077</v>
      </c>
      <c r="I2187" s="34" t="s">
        <v>18</v>
      </c>
      <c r="J2187" s="34" t="s">
        <v>13</v>
      </c>
      <c r="K2187" s="9"/>
      <c r="L2187" s="45">
        <v>68.0</v>
      </c>
      <c r="M2187" s="45">
        <v>68.0</v>
      </c>
    </row>
    <row r="2188">
      <c r="A2188" s="34" t="s">
        <v>70</v>
      </c>
      <c r="B2188" s="34" t="s">
        <v>2054</v>
      </c>
      <c r="C2188" s="34">
        <v>974.0</v>
      </c>
      <c r="D2188" s="34" t="s">
        <v>2054</v>
      </c>
      <c r="E2188" s="34" t="s">
        <v>5413</v>
      </c>
      <c r="F2188" s="34" t="s">
        <v>5414</v>
      </c>
      <c r="G2188" s="34">
        <v>97411.0</v>
      </c>
      <c r="H2188" s="34" t="s">
        <v>1858</v>
      </c>
      <c r="I2188" s="34" t="s">
        <v>18</v>
      </c>
      <c r="J2188" s="34" t="s">
        <v>15</v>
      </c>
      <c r="K2188" s="45">
        <v>83.7</v>
      </c>
      <c r="L2188" s="9"/>
      <c r="M2188" s="45">
        <v>83.7</v>
      </c>
    </row>
    <row r="2189">
      <c r="A2189" s="34" t="s">
        <v>70</v>
      </c>
      <c r="B2189" s="34" t="s">
        <v>2054</v>
      </c>
      <c r="C2189" s="34">
        <v>974.0</v>
      </c>
      <c r="D2189" s="34" t="s">
        <v>2054</v>
      </c>
      <c r="E2189" s="34" t="s">
        <v>5415</v>
      </c>
      <c r="F2189" s="34" t="s">
        <v>5416</v>
      </c>
      <c r="G2189" s="34">
        <v>97415.0</v>
      </c>
      <c r="H2189" s="34" t="s">
        <v>2077</v>
      </c>
      <c r="I2189" s="34" t="s">
        <v>18</v>
      </c>
      <c r="J2189" s="34" t="s">
        <v>15</v>
      </c>
      <c r="K2189" s="45">
        <v>106.2</v>
      </c>
      <c r="L2189" s="9"/>
      <c r="M2189" s="45">
        <v>106.2</v>
      </c>
    </row>
    <row r="2190">
      <c r="A2190" s="34" t="s">
        <v>70</v>
      </c>
      <c r="B2190" s="34" t="s">
        <v>2054</v>
      </c>
      <c r="C2190" s="34">
        <v>974.0</v>
      </c>
      <c r="D2190" s="34" t="s">
        <v>2054</v>
      </c>
      <c r="E2190" s="34" t="s">
        <v>5417</v>
      </c>
      <c r="F2190" s="34" t="s">
        <v>5418</v>
      </c>
      <c r="G2190" s="34">
        <v>97420.0</v>
      </c>
      <c r="H2190" s="34" t="s">
        <v>3855</v>
      </c>
      <c r="I2190" s="34" t="s">
        <v>17</v>
      </c>
      <c r="J2190" s="34" t="s">
        <v>13</v>
      </c>
      <c r="K2190" s="9"/>
      <c r="L2190" s="45">
        <v>67.8</v>
      </c>
      <c r="M2190" s="45">
        <v>67.8</v>
      </c>
    </row>
    <row r="2191">
      <c r="A2191" s="34" t="s">
        <v>70</v>
      </c>
      <c r="B2191" s="34" t="s">
        <v>2054</v>
      </c>
      <c r="C2191" s="34">
        <v>974.0</v>
      </c>
      <c r="D2191" s="34" t="s">
        <v>2054</v>
      </c>
      <c r="E2191" s="34" t="s">
        <v>5419</v>
      </c>
      <c r="F2191" s="34" t="s">
        <v>5420</v>
      </c>
      <c r="G2191" s="34">
        <v>97413.0</v>
      </c>
      <c r="H2191" s="34" t="s">
        <v>5421</v>
      </c>
      <c r="I2191" s="34" t="s">
        <v>18</v>
      </c>
      <c r="J2191" s="34" t="s">
        <v>14</v>
      </c>
      <c r="K2191" s="45">
        <v>112.2</v>
      </c>
      <c r="L2191" s="45">
        <v>74.4</v>
      </c>
      <c r="M2191" s="45">
        <v>102.6</v>
      </c>
    </row>
    <row r="2192">
      <c r="A2192" s="34" t="s">
        <v>70</v>
      </c>
      <c r="B2192" s="34" t="s">
        <v>2054</v>
      </c>
      <c r="C2192" s="34">
        <v>974.0</v>
      </c>
      <c r="D2192" s="34" t="s">
        <v>2054</v>
      </c>
      <c r="E2192" s="34" t="s">
        <v>5422</v>
      </c>
      <c r="F2192" s="34" t="s">
        <v>5423</v>
      </c>
      <c r="G2192" s="34">
        <v>97418.0</v>
      </c>
      <c r="H2192" s="34" t="s">
        <v>3826</v>
      </c>
      <c r="I2192" s="34" t="s">
        <v>18</v>
      </c>
      <c r="J2192" s="34" t="s">
        <v>15</v>
      </c>
      <c r="K2192" s="45">
        <v>93.1</v>
      </c>
      <c r="L2192" s="9"/>
      <c r="M2192" s="45">
        <v>93.1</v>
      </c>
    </row>
    <row r="2193">
      <c r="A2193" s="34" t="s">
        <v>70</v>
      </c>
      <c r="B2193" s="34" t="s">
        <v>2054</v>
      </c>
      <c r="C2193" s="34">
        <v>974.0</v>
      </c>
      <c r="D2193" s="34" t="s">
        <v>2054</v>
      </c>
      <c r="E2193" s="34" t="s">
        <v>5424</v>
      </c>
      <c r="F2193" s="34" t="s">
        <v>5425</v>
      </c>
      <c r="G2193" s="34">
        <v>97422.0</v>
      </c>
      <c r="H2193" s="34" t="s">
        <v>2057</v>
      </c>
      <c r="I2193" s="34" t="s">
        <v>18</v>
      </c>
      <c r="J2193" s="34" t="s">
        <v>14</v>
      </c>
      <c r="K2193" s="45">
        <v>102.6</v>
      </c>
      <c r="L2193" s="45">
        <v>71.0</v>
      </c>
      <c r="M2193" s="45">
        <v>97.9</v>
      </c>
    </row>
    <row r="2194">
      <c r="A2194" s="34" t="s">
        <v>70</v>
      </c>
      <c r="B2194" s="34" t="s">
        <v>2054</v>
      </c>
      <c r="C2194" s="34">
        <v>974.0</v>
      </c>
      <c r="D2194" s="34" t="s">
        <v>2054</v>
      </c>
      <c r="E2194" s="34" t="s">
        <v>5426</v>
      </c>
      <c r="F2194" s="34" t="s">
        <v>5427</v>
      </c>
      <c r="G2194" s="34">
        <v>97411.0</v>
      </c>
      <c r="H2194" s="34" t="s">
        <v>1858</v>
      </c>
      <c r="I2194" s="34" t="s">
        <v>17</v>
      </c>
      <c r="J2194" s="34" t="s">
        <v>13</v>
      </c>
      <c r="K2194" s="9"/>
      <c r="L2194" s="45">
        <v>61.3</v>
      </c>
      <c r="M2194" s="45">
        <v>61.3</v>
      </c>
    </row>
    <row r="2195">
      <c r="A2195" s="34" t="s">
        <v>70</v>
      </c>
      <c r="B2195" s="34" t="s">
        <v>2084</v>
      </c>
      <c r="C2195" s="34">
        <v>976.0</v>
      </c>
      <c r="D2195" s="34" t="s">
        <v>2084</v>
      </c>
      <c r="E2195" s="34" t="s">
        <v>5428</v>
      </c>
      <c r="F2195" s="34" t="s">
        <v>5429</v>
      </c>
      <c r="G2195" s="34">
        <v>97611.0</v>
      </c>
      <c r="H2195" s="34" t="s">
        <v>5430</v>
      </c>
      <c r="I2195" s="34" t="s">
        <v>18</v>
      </c>
      <c r="J2195" s="34" t="s">
        <v>15</v>
      </c>
      <c r="K2195" s="45">
        <v>70.5</v>
      </c>
      <c r="L2195" s="9"/>
      <c r="M2195" s="45">
        <v>70.5</v>
      </c>
    </row>
    <row r="2196">
      <c r="A2196" s="34" t="s">
        <v>70</v>
      </c>
      <c r="B2196" s="34" t="s">
        <v>2084</v>
      </c>
      <c r="C2196" s="34">
        <v>976.0</v>
      </c>
      <c r="D2196" s="34" t="s">
        <v>2084</v>
      </c>
      <c r="E2196" s="34" t="s">
        <v>5431</v>
      </c>
      <c r="F2196" s="34" t="s">
        <v>5432</v>
      </c>
      <c r="G2196" s="34">
        <v>97616.0</v>
      </c>
      <c r="H2196" s="34" t="s">
        <v>5433</v>
      </c>
      <c r="I2196" s="34" t="s">
        <v>18</v>
      </c>
      <c r="J2196" s="34" t="s">
        <v>14</v>
      </c>
      <c r="K2196" s="45">
        <v>80.9</v>
      </c>
      <c r="L2196" s="45">
        <v>63.1</v>
      </c>
      <c r="M2196" s="45">
        <v>74.8</v>
      </c>
    </row>
    <row r="2197">
      <c r="A2197" s="34" t="s">
        <v>70</v>
      </c>
      <c r="B2197" s="34" t="s">
        <v>2084</v>
      </c>
      <c r="C2197" s="34">
        <v>976.0</v>
      </c>
      <c r="D2197" s="34" t="s">
        <v>2084</v>
      </c>
      <c r="E2197" s="34" t="s">
        <v>5434</v>
      </c>
      <c r="F2197" s="34" t="s">
        <v>5435</v>
      </c>
      <c r="G2197" s="34">
        <v>97607.0</v>
      </c>
      <c r="H2197" s="34" t="s">
        <v>5436</v>
      </c>
      <c r="I2197" s="34" t="s">
        <v>18</v>
      </c>
      <c r="J2197" s="34" t="s">
        <v>14</v>
      </c>
      <c r="K2197" s="45">
        <v>64.3</v>
      </c>
      <c r="L2197" s="45">
        <v>61.3</v>
      </c>
      <c r="M2197" s="45">
        <v>63.6</v>
      </c>
    </row>
    <row r="2198">
      <c r="A2198" s="34" t="s">
        <v>70</v>
      </c>
      <c r="B2198" s="34" t="s">
        <v>71</v>
      </c>
      <c r="C2198" s="34">
        <v>1.0</v>
      </c>
      <c r="D2198" s="34" t="s">
        <v>72</v>
      </c>
      <c r="E2198" s="34" t="s">
        <v>5437</v>
      </c>
      <c r="F2198" s="34" t="s">
        <v>5438</v>
      </c>
      <c r="G2198" s="34">
        <v>1034.0</v>
      </c>
      <c r="H2198" s="34" t="s">
        <v>3870</v>
      </c>
      <c r="I2198" s="34" t="s">
        <v>17</v>
      </c>
      <c r="J2198" s="34" t="s">
        <v>15</v>
      </c>
      <c r="K2198" s="45">
        <v>111.8</v>
      </c>
      <c r="L2198" s="9"/>
      <c r="M2198" s="45">
        <v>111.8</v>
      </c>
    </row>
    <row r="2199">
      <c r="A2199" s="34" t="s">
        <v>70</v>
      </c>
      <c r="B2199" s="34" t="s">
        <v>71</v>
      </c>
      <c r="C2199" s="34">
        <v>1.0</v>
      </c>
      <c r="D2199" s="34" t="s">
        <v>72</v>
      </c>
      <c r="E2199" s="34" t="s">
        <v>5439</v>
      </c>
      <c r="F2199" s="34" t="s">
        <v>5440</v>
      </c>
      <c r="G2199" s="34">
        <v>1053.0</v>
      </c>
      <c r="H2199" s="34" t="s">
        <v>84</v>
      </c>
      <c r="I2199" s="34" t="s">
        <v>17</v>
      </c>
      <c r="J2199" s="34" t="s">
        <v>13</v>
      </c>
      <c r="K2199" s="9"/>
      <c r="L2199" s="45">
        <v>98.2</v>
      </c>
      <c r="M2199" s="45">
        <v>98.2</v>
      </c>
    </row>
    <row r="2200">
      <c r="A2200" s="34" t="s">
        <v>70</v>
      </c>
      <c r="B2200" s="34" t="s">
        <v>71</v>
      </c>
      <c r="C2200" s="34">
        <v>1.0</v>
      </c>
      <c r="D2200" s="34" t="s">
        <v>72</v>
      </c>
      <c r="E2200" s="34" t="s">
        <v>5441</v>
      </c>
      <c r="F2200" s="34" t="s">
        <v>218</v>
      </c>
      <c r="G2200" s="34">
        <v>1249.0</v>
      </c>
      <c r="H2200" s="34" t="s">
        <v>81</v>
      </c>
      <c r="I2200" s="34" t="s">
        <v>17</v>
      </c>
      <c r="J2200" s="34" t="s">
        <v>13</v>
      </c>
      <c r="K2200" s="9"/>
      <c r="L2200" s="45">
        <v>103.3</v>
      </c>
      <c r="M2200" s="45">
        <v>103.3</v>
      </c>
    </row>
    <row r="2201">
      <c r="A2201" s="34" t="s">
        <v>70</v>
      </c>
      <c r="B2201" s="34" t="s">
        <v>71</v>
      </c>
      <c r="C2201" s="34">
        <v>1.0</v>
      </c>
      <c r="D2201" s="34" t="s">
        <v>72</v>
      </c>
      <c r="E2201" s="34" t="s">
        <v>5442</v>
      </c>
      <c r="F2201" s="34" t="s">
        <v>5443</v>
      </c>
      <c r="G2201" s="34">
        <v>1031.0</v>
      </c>
      <c r="H2201" s="34" t="s">
        <v>5444</v>
      </c>
      <c r="I2201" s="34" t="s">
        <v>18</v>
      </c>
      <c r="J2201" s="34" t="s">
        <v>14</v>
      </c>
      <c r="K2201" s="45">
        <v>107.2</v>
      </c>
      <c r="L2201" s="45">
        <v>85.5</v>
      </c>
      <c r="M2201" s="45">
        <v>101.0</v>
      </c>
    </row>
    <row r="2202">
      <c r="A2202" s="34" t="s">
        <v>70</v>
      </c>
      <c r="B2202" s="34" t="s">
        <v>88</v>
      </c>
      <c r="C2202" s="34">
        <v>2.0</v>
      </c>
      <c r="D2202" s="34" t="s">
        <v>89</v>
      </c>
      <c r="E2202" s="34" t="s">
        <v>5445</v>
      </c>
      <c r="F2202" s="34" t="s">
        <v>5446</v>
      </c>
      <c r="G2202" s="34">
        <v>2691.0</v>
      </c>
      <c r="H2202" s="34" t="s">
        <v>95</v>
      </c>
      <c r="I2202" s="34" t="s">
        <v>18</v>
      </c>
      <c r="J2202" s="34" t="s">
        <v>15</v>
      </c>
      <c r="K2202" s="45">
        <v>100.8</v>
      </c>
      <c r="L2202" s="9"/>
      <c r="M2202" s="45">
        <v>100.8</v>
      </c>
    </row>
    <row r="2203">
      <c r="A2203" s="34" t="s">
        <v>70</v>
      </c>
      <c r="B2203" s="34" t="s">
        <v>88</v>
      </c>
      <c r="C2203" s="34">
        <v>2.0</v>
      </c>
      <c r="D2203" s="34" t="s">
        <v>89</v>
      </c>
      <c r="E2203" s="34" t="s">
        <v>5447</v>
      </c>
      <c r="F2203" s="34" t="s">
        <v>5336</v>
      </c>
      <c r="G2203" s="34">
        <v>2722.0</v>
      </c>
      <c r="H2203" s="34" t="s">
        <v>105</v>
      </c>
      <c r="I2203" s="34" t="s">
        <v>18</v>
      </c>
      <c r="J2203" s="34" t="s">
        <v>15</v>
      </c>
      <c r="K2203" s="45">
        <v>104.1</v>
      </c>
      <c r="L2203" s="9"/>
      <c r="M2203" s="45">
        <v>104.1</v>
      </c>
    </row>
    <row r="2204">
      <c r="A2204" s="34" t="s">
        <v>70</v>
      </c>
      <c r="B2204" s="34" t="s">
        <v>88</v>
      </c>
      <c r="C2204" s="34">
        <v>2.0</v>
      </c>
      <c r="D2204" s="34" t="s">
        <v>89</v>
      </c>
      <c r="E2204" s="34" t="s">
        <v>5448</v>
      </c>
      <c r="F2204" s="34" t="s">
        <v>5449</v>
      </c>
      <c r="G2204" s="34">
        <v>2095.0</v>
      </c>
      <c r="H2204" s="34" t="s">
        <v>5450</v>
      </c>
      <c r="I2204" s="34" t="s">
        <v>17</v>
      </c>
      <c r="J2204" s="34" t="s">
        <v>13</v>
      </c>
      <c r="K2204" s="9"/>
      <c r="L2204" s="45">
        <v>84.8</v>
      </c>
      <c r="M2204" s="45">
        <v>84.8</v>
      </c>
    </row>
    <row r="2205">
      <c r="A2205" s="34" t="s">
        <v>70</v>
      </c>
      <c r="B2205" s="34" t="s">
        <v>88</v>
      </c>
      <c r="C2205" s="34">
        <v>2.0</v>
      </c>
      <c r="D2205" s="34" t="s">
        <v>89</v>
      </c>
      <c r="E2205" s="34" t="s">
        <v>5451</v>
      </c>
      <c r="F2205" s="34" t="s">
        <v>5452</v>
      </c>
      <c r="G2205" s="34">
        <v>2722.0</v>
      </c>
      <c r="H2205" s="34" t="s">
        <v>105</v>
      </c>
      <c r="I2205" s="34" t="s">
        <v>17</v>
      </c>
      <c r="J2205" s="34" t="s">
        <v>15</v>
      </c>
      <c r="K2205" s="45">
        <v>116.0</v>
      </c>
      <c r="L2205" s="9"/>
      <c r="M2205" s="45">
        <v>116.0</v>
      </c>
    </row>
    <row r="2206">
      <c r="A2206" s="34" t="s">
        <v>70</v>
      </c>
      <c r="B2206" s="34" t="s">
        <v>88</v>
      </c>
      <c r="C2206" s="34">
        <v>2.0</v>
      </c>
      <c r="D2206" s="34" t="s">
        <v>89</v>
      </c>
      <c r="E2206" s="34" t="s">
        <v>5453</v>
      </c>
      <c r="F2206" s="34" t="s">
        <v>5454</v>
      </c>
      <c r="G2206" s="34">
        <v>2168.0</v>
      </c>
      <c r="H2206" s="34" t="s">
        <v>113</v>
      </c>
      <c r="I2206" s="34" t="s">
        <v>18</v>
      </c>
      <c r="J2206" s="34" t="s">
        <v>14</v>
      </c>
      <c r="K2206" s="45">
        <v>110.5</v>
      </c>
      <c r="L2206" s="45">
        <v>87.8</v>
      </c>
      <c r="M2206" s="45">
        <v>102.2</v>
      </c>
    </row>
    <row r="2207">
      <c r="A2207" s="34" t="s">
        <v>70</v>
      </c>
      <c r="B2207" s="34" t="s">
        <v>88</v>
      </c>
      <c r="C2207" s="34">
        <v>2.0</v>
      </c>
      <c r="D2207" s="34" t="s">
        <v>89</v>
      </c>
      <c r="E2207" s="34" t="s">
        <v>5455</v>
      </c>
      <c r="F2207" s="34" t="s">
        <v>5456</v>
      </c>
      <c r="G2207" s="34">
        <v>2095.0</v>
      </c>
      <c r="H2207" s="34" t="s">
        <v>5450</v>
      </c>
      <c r="I2207" s="34" t="s">
        <v>17</v>
      </c>
      <c r="J2207" s="34" t="s">
        <v>15</v>
      </c>
      <c r="K2207" s="45">
        <v>95.0</v>
      </c>
      <c r="L2207" s="9"/>
      <c r="M2207" s="45">
        <v>95.0</v>
      </c>
    </row>
    <row r="2208">
      <c r="A2208" s="34" t="s">
        <v>70</v>
      </c>
      <c r="B2208" s="34" t="s">
        <v>88</v>
      </c>
      <c r="C2208" s="34">
        <v>2.0</v>
      </c>
      <c r="D2208" s="34" t="s">
        <v>89</v>
      </c>
      <c r="E2208" s="34" t="s">
        <v>5457</v>
      </c>
      <c r="F2208" s="34" t="s">
        <v>5458</v>
      </c>
      <c r="G2208" s="34">
        <v>2722.0</v>
      </c>
      <c r="H2208" s="34" t="s">
        <v>105</v>
      </c>
      <c r="I2208" s="34" t="s">
        <v>18</v>
      </c>
      <c r="J2208" s="34" t="s">
        <v>14</v>
      </c>
      <c r="K2208" s="45">
        <v>98.6</v>
      </c>
      <c r="L2208" s="45">
        <v>78.6</v>
      </c>
      <c r="M2208" s="45">
        <v>80.9</v>
      </c>
    </row>
    <row r="2209">
      <c r="A2209" s="34" t="s">
        <v>70</v>
      </c>
      <c r="B2209" s="34" t="s">
        <v>88</v>
      </c>
      <c r="C2209" s="34">
        <v>2.0</v>
      </c>
      <c r="D2209" s="34" t="s">
        <v>89</v>
      </c>
      <c r="E2209" s="34" t="s">
        <v>5459</v>
      </c>
      <c r="F2209" s="34" t="s">
        <v>5460</v>
      </c>
      <c r="G2209" s="34">
        <v>2722.0</v>
      </c>
      <c r="H2209" s="34" t="s">
        <v>105</v>
      </c>
      <c r="I2209" s="34" t="s">
        <v>17</v>
      </c>
      <c r="J2209" s="34" t="s">
        <v>15</v>
      </c>
      <c r="K2209" s="45">
        <v>121.8</v>
      </c>
      <c r="L2209" s="9"/>
      <c r="M2209" s="45">
        <v>121.8</v>
      </c>
    </row>
    <row r="2210">
      <c r="A2210" s="34" t="s">
        <v>70</v>
      </c>
      <c r="B2210" s="34" t="s">
        <v>116</v>
      </c>
      <c r="C2210" s="34">
        <v>3.0</v>
      </c>
      <c r="D2210" s="34" t="s">
        <v>117</v>
      </c>
      <c r="E2210" s="34" t="s">
        <v>5461</v>
      </c>
      <c r="F2210" s="34" t="s">
        <v>5462</v>
      </c>
      <c r="G2210" s="34">
        <v>3185.0</v>
      </c>
      <c r="H2210" s="34" t="s">
        <v>120</v>
      </c>
      <c r="I2210" s="34" t="s">
        <v>17</v>
      </c>
      <c r="J2210" s="34" t="s">
        <v>13</v>
      </c>
      <c r="K2210" s="9"/>
      <c r="L2210" s="45">
        <v>80.0</v>
      </c>
      <c r="M2210" s="45">
        <v>80.0</v>
      </c>
    </row>
    <row r="2211">
      <c r="A2211" s="34" t="s">
        <v>70</v>
      </c>
      <c r="B2211" s="34" t="s">
        <v>129</v>
      </c>
      <c r="C2211" s="34">
        <v>4.0</v>
      </c>
      <c r="D2211" s="34" t="s">
        <v>130</v>
      </c>
      <c r="E2211" s="34" t="s">
        <v>5463</v>
      </c>
      <c r="F2211" s="34" t="s">
        <v>5464</v>
      </c>
      <c r="G2211" s="34">
        <v>4209.0</v>
      </c>
      <c r="H2211" s="34" t="s">
        <v>5465</v>
      </c>
      <c r="I2211" s="34" t="s">
        <v>18</v>
      </c>
      <c r="J2211" s="34" t="s">
        <v>14</v>
      </c>
      <c r="K2211" s="45">
        <v>116.0</v>
      </c>
      <c r="L2211" s="45">
        <v>102.6</v>
      </c>
      <c r="M2211" s="45">
        <v>111.8</v>
      </c>
    </row>
    <row r="2212">
      <c r="A2212" s="34" t="s">
        <v>70</v>
      </c>
      <c r="B2212" s="34" t="s">
        <v>129</v>
      </c>
      <c r="C2212" s="34">
        <v>4.0</v>
      </c>
      <c r="D2212" s="34" t="s">
        <v>130</v>
      </c>
      <c r="E2212" s="34" t="s">
        <v>5466</v>
      </c>
      <c r="F2212" s="34" t="s">
        <v>5467</v>
      </c>
      <c r="G2212" s="34">
        <v>4070.0</v>
      </c>
      <c r="H2212" s="34" t="s">
        <v>2123</v>
      </c>
      <c r="I2212" s="34" t="s">
        <v>18</v>
      </c>
      <c r="J2212" s="34" t="s">
        <v>15</v>
      </c>
      <c r="K2212" s="45">
        <v>106.9</v>
      </c>
      <c r="L2212" s="9"/>
      <c r="M2212" s="45">
        <v>106.9</v>
      </c>
    </row>
    <row r="2213">
      <c r="A2213" s="34" t="s">
        <v>70</v>
      </c>
      <c r="B2213" s="34" t="s">
        <v>129</v>
      </c>
      <c r="C2213" s="34">
        <v>4.0</v>
      </c>
      <c r="D2213" s="34" t="s">
        <v>130</v>
      </c>
      <c r="E2213" s="34" t="s">
        <v>5468</v>
      </c>
      <c r="F2213" s="34" t="s">
        <v>5469</v>
      </c>
      <c r="G2213" s="34">
        <v>4112.0</v>
      </c>
      <c r="H2213" s="34" t="s">
        <v>133</v>
      </c>
      <c r="I2213" s="34" t="s">
        <v>18</v>
      </c>
      <c r="J2213" s="34" t="s">
        <v>14</v>
      </c>
      <c r="K2213" s="45">
        <v>119.1</v>
      </c>
      <c r="L2213" s="45">
        <v>106.4</v>
      </c>
      <c r="M2213" s="45">
        <v>117.7</v>
      </c>
    </row>
    <row r="2214">
      <c r="A2214" s="34" t="s">
        <v>70</v>
      </c>
      <c r="B2214" s="34" t="s">
        <v>129</v>
      </c>
      <c r="C2214" s="34">
        <v>5.0</v>
      </c>
      <c r="D2214" s="34" t="s">
        <v>2124</v>
      </c>
      <c r="E2214" s="34" t="s">
        <v>5470</v>
      </c>
      <c r="F2214" s="34" t="s">
        <v>5471</v>
      </c>
      <c r="G2214" s="34">
        <v>5061.0</v>
      </c>
      <c r="H2214" s="34" t="s">
        <v>2133</v>
      </c>
      <c r="I2214" s="34" t="s">
        <v>18</v>
      </c>
      <c r="J2214" s="34" t="s">
        <v>13</v>
      </c>
      <c r="K2214" s="9"/>
      <c r="L2214" s="45">
        <v>91.6</v>
      </c>
      <c r="M2214" s="45">
        <v>91.6</v>
      </c>
    </row>
    <row r="2215">
      <c r="A2215" s="34" t="s">
        <v>70</v>
      </c>
      <c r="B2215" s="34" t="s">
        <v>129</v>
      </c>
      <c r="C2215" s="34">
        <v>5.0</v>
      </c>
      <c r="D2215" s="34" t="s">
        <v>2124</v>
      </c>
      <c r="E2215" s="34" t="s">
        <v>5472</v>
      </c>
      <c r="F2215" s="34" t="s">
        <v>555</v>
      </c>
      <c r="G2215" s="34">
        <v>5061.0</v>
      </c>
      <c r="H2215" s="34" t="s">
        <v>2133</v>
      </c>
      <c r="I2215" s="34" t="s">
        <v>17</v>
      </c>
      <c r="J2215" s="34" t="s">
        <v>15</v>
      </c>
      <c r="K2215" s="45">
        <v>127.6</v>
      </c>
      <c r="L2215" s="9"/>
      <c r="M2215" s="45">
        <v>127.6</v>
      </c>
    </row>
    <row r="2216">
      <c r="A2216" s="34" t="s">
        <v>70</v>
      </c>
      <c r="B2216" s="34" t="s">
        <v>134</v>
      </c>
      <c r="C2216" s="34">
        <v>6.0</v>
      </c>
      <c r="D2216" s="34" t="s">
        <v>135</v>
      </c>
      <c r="E2216" s="34" t="s">
        <v>5473</v>
      </c>
      <c r="F2216" s="34" t="s">
        <v>5474</v>
      </c>
      <c r="G2216" s="34">
        <v>6004.0</v>
      </c>
      <c r="H2216" s="34" t="s">
        <v>138</v>
      </c>
      <c r="I2216" s="34" t="s">
        <v>18</v>
      </c>
      <c r="J2216" s="34" t="s">
        <v>15</v>
      </c>
      <c r="K2216" s="45">
        <v>107.6</v>
      </c>
      <c r="L2216" s="9"/>
      <c r="M2216" s="45">
        <v>107.6</v>
      </c>
    </row>
    <row r="2217">
      <c r="A2217" s="34" t="s">
        <v>70</v>
      </c>
      <c r="B2217" s="34" t="s">
        <v>134</v>
      </c>
      <c r="C2217" s="34">
        <v>6.0</v>
      </c>
      <c r="D2217" s="34" t="s">
        <v>135</v>
      </c>
      <c r="E2217" s="34" t="s">
        <v>5475</v>
      </c>
      <c r="F2217" s="34" t="s">
        <v>1468</v>
      </c>
      <c r="G2217" s="34">
        <v>6029.0</v>
      </c>
      <c r="H2217" s="34" t="s">
        <v>158</v>
      </c>
      <c r="I2217" s="34" t="s">
        <v>18</v>
      </c>
      <c r="J2217" s="34" t="s">
        <v>15</v>
      </c>
      <c r="K2217" s="45">
        <v>106.7</v>
      </c>
      <c r="L2217" s="9"/>
      <c r="M2217" s="45">
        <v>106.7</v>
      </c>
    </row>
    <row r="2218">
      <c r="A2218" s="34" t="s">
        <v>70</v>
      </c>
      <c r="B2218" s="34" t="s">
        <v>134</v>
      </c>
      <c r="C2218" s="34">
        <v>6.0</v>
      </c>
      <c r="D2218" s="34" t="s">
        <v>135</v>
      </c>
      <c r="E2218" s="34" t="s">
        <v>5476</v>
      </c>
      <c r="F2218" s="34" t="s">
        <v>5477</v>
      </c>
      <c r="G2218" s="34">
        <v>6088.0</v>
      </c>
      <c r="H2218" s="34" t="s">
        <v>134</v>
      </c>
      <c r="I2218" s="34" t="s">
        <v>18</v>
      </c>
      <c r="J2218" s="34" t="s">
        <v>15</v>
      </c>
      <c r="K2218" s="45">
        <v>122.1</v>
      </c>
      <c r="L2218" s="9"/>
      <c r="M2218" s="45">
        <v>122.1</v>
      </c>
    </row>
    <row r="2219">
      <c r="A2219" s="34" t="s">
        <v>70</v>
      </c>
      <c r="B2219" s="34" t="s">
        <v>134</v>
      </c>
      <c r="C2219" s="34">
        <v>6.0</v>
      </c>
      <c r="D2219" s="34" t="s">
        <v>135</v>
      </c>
      <c r="E2219" s="34" t="s">
        <v>5478</v>
      </c>
      <c r="F2219" s="34" t="s">
        <v>5479</v>
      </c>
      <c r="G2219" s="34">
        <v>6088.0</v>
      </c>
      <c r="H2219" s="34" t="s">
        <v>134</v>
      </c>
      <c r="I2219" s="34" t="s">
        <v>18</v>
      </c>
      <c r="J2219" s="34" t="s">
        <v>13</v>
      </c>
      <c r="K2219" s="9"/>
      <c r="L2219" s="45">
        <v>81.5</v>
      </c>
      <c r="M2219" s="45">
        <v>81.5</v>
      </c>
    </row>
    <row r="2220">
      <c r="A2220" s="34" t="s">
        <v>70</v>
      </c>
      <c r="B2220" s="34" t="s">
        <v>134</v>
      </c>
      <c r="C2220" s="34">
        <v>6.0</v>
      </c>
      <c r="D2220" s="34" t="s">
        <v>135</v>
      </c>
      <c r="E2220" s="34" t="s">
        <v>5480</v>
      </c>
      <c r="F2220" s="34" t="s">
        <v>5481</v>
      </c>
      <c r="G2220" s="34">
        <v>6088.0</v>
      </c>
      <c r="H2220" s="34" t="s">
        <v>134</v>
      </c>
      <c r="I2220" s="34" t="s">
        <v>18</v>
      </c>
      <c r="J2220" s="34" t="s">
        <v>13</v>
      </c>
      <c r="K2220" s="9"/>
      <c r="L2220" s="45">
        <v>79.2</v>
      </c>
      <c r="M2220" s="45">
        <v>79.2</v>
      </c>
    </row>
    <row r="2221">
      <c r="A2221" s="34" t="s">
        <v>70</v>
      </c>
      <c r="B2221" s="34" t="s">
        <v>134</v>
      </c>
      <c r="C2221" s="34">
        <v>6.0</v>
      </c>
      <c r="D2221" s="34" t="s">
        <v>135</v>
      </c>
      <c r="E2221" s="34" t="s">
        <v>5482</v>
      </c>
      <c r="F2221" s="34" t="s">
        <v>5483</v>
      </c>
      <c r="G2221" s="34">
        <v>6104.0</v>
      </c>
      <c r="H2221" s="34" t="s">
        <v>5484</v>
      </c>
      <c r="I2221" s="34" t="s">
        <v>17</v>
      </c>
      <c r="J2221" s="34" t="s">
        <v>14</v>
      </c>
      <c r="K2221" s="45">
        <v>114.9</v>
      </c>
      <c r="L2221" s="45">
        <v>93.1</v>
      </c>
      <c r="M2221" s="45">
        <v>114.2</v>
      </c>
    </row>
    <row r="2222">
      <c r="A2222" s="34" t="s">
        <v>70</v>
      </c>
      <c r="B2222" s="34" t="s">
        <v>134</v>
      </c>
      <c r="C2222" s="34">
        <v>6.0</v>
      </c>
      <c r="D2222" s="34" t="s">
        <v>135</v>
      </c>
      <c r="E2222" s="34" t="s">
        <v>5485</v>
      </c>
      <c r="F2222" s="34" t="s">
        <v>5486</v>
      </c>
      <c r="G2222" s="34">
        <v>6088.0</v>
      </c>
      <c r="H2222" s="34" t="s">
        <v>134</v>
      </c>
      <c r="I2222" s="34" t="s">
        <v>17</v>
      </c>
      <c r="J2222" s="34" t="s">
        <v>15</v>
      </c>
      <c r="K2222" s="45">
        <v>134.5</v>
      </c>
      <c r="L2222" s="9"/>
      <c r="M2222" s="45">
        <v>134.5</v>
      </c>
    </row>
    <row r="2223">
      <c r="A2223" s="34" t="s">
        <v>70</v>
      </c>
      <c r="B2223" s="34" t="s">
        <v>134</v>
      </c>
      <c r="C2223" s="34">
        <v>6.0</v>
      </c>
      <c r="D2223" s="34" t="s">
        <v>135</v>
      </c>
      <c r="E2223" s="34" t="s">
        <v>5487</v>
      </c>
      <c r="F2223" s="34" t="s">
        <v>5488</v>
      </c>
      <c r="G2223" s="34">
        <v>6029.0</v>
      </c>
      <c r="H2223" s="34" t="s">
        <v>158</v>
      </c>
      <c r="I2223" s="34" t="s">
        <v>17</v>
      </c>
      <c r="J2223" s="34" t="s">
        <v>13</v>
      </c>
      <c r="K2223" s="9"/>
      <c r="L2223" s="45">
        <v>88.8</v>
      </c>
      <c r="M2223" s="45">
        <v>88.8</v>
      </c>
    </row>
    <row r="2224">
      <c r="A2224" s="34" t="s">
        <v>70</v>
      </c>
      <c r="B2224" s="34" t="s">
        <v>134</v>
      </c>
      <c r="C2224" s="34">
        <v>6.0</v>
      </c>
      <c r="D2224" s="34" t="s">
        <v>135</v>
      </c>
      <c r="E2224" s="34" t="s">
        <v>5489</v>
      </c>
      <c r="F2224" s="34" t="s">
        <v>5490</v>
      </c>
      <c r="G2224" s="34">
        <v>6157.0</v>
      </c>
      <c r="H2224" s="34" t="s">
        <v>5491</v>
      </c>
      <c r="I2224" s="34" t="s">
        <v>18</v>
      </c>
      <c r="J2224" s="34" t="s">
        <v>15</v>
      </c>
      <c r="K2224" s="45">
        <v>129.6</v>
      </c>
      <c r="L2224" s="9"/>
      <c r="M2224" s="45">
        <v>129.6</v>
      </c>
    </row>
    <row r="2225">
      <c r="A2225" s="34" t="s">
        <v>70</v>
      </c>
      <c r="B2225" s="34" t="s">
        <v>134</v>
      </c>
      <c r="C2225" s="34">
        <v>6.0</v>
      </c>
      <c r="D2225" s="34" t="s">
        <v>135</v>
      </c>
      <c r="E2225" s="34" t="s">
        <v>5492</v>
      </c>
      <c r="F2225" s="34" t="s">
        <v>5493</v>
      </c>
      <c r="G2225" s="34">
        <v>6054.0</v>
      </c>
      <c r="H2225" s="34" t="s">
        <v>5494</v>
      </c>
      <c r="I2225" s="34" t="s">
        <v>18</v>
      </c>
      <c r="J2225" s="34" t="s">
        <v>15</v>
      </c>
      <c r="K2225" s="45">
        <v>100.5</v>
      </c>
      <c r="L2225" s="9"/>
      <c r="M2225" s="45">
        <v>100.5</v>
      </c>
    </row>
    <row r="2226">
      <c r="A2226" s="34" t="s">
        <v>70</v>
      </c>
      <c r="B2226" s="34" t="s">
        <v>161</v>
      </c>
      <c r="C2226" s="34">
        <v>7.0</v>
      </c>
      <c r="D2226" s="34" t="s">
        <v>162</v>
      </c>
      <c r="E2226" s="34" t="s">
        <v>5495</v>
      </c>
      <c r="F2226" s="34" t="s">
        <v>5496</v>
      </c>
      <c r="G2226" s="34">
        <v>7010.0</v>
      </c>
      <c r="H2226" s="34" t="s">
        <v>2161</v>
      </c>
      <c r="I2226" s="34" t="s">
        <v>18</v>
      </c>
      <c r="J2226" s="34" t="s">
        <v>14</v>
      </c>
      <c r="K2226" s="45">
        <v>103.3</v>
      </c>
      <c r="L2226" s="45">
        <v>79.6</v>
      </c>
      <c r="M2226" s="45">
        <v>99.7</v>
      </c>
    </row>
    <row r="2227">
      <c r="A2227" s="34" t="s">
        <v>70</v>
      </c>
      <c r="B2227" s="34" t="s">
        <v>161</v>
      </c>
      <c r="C2227" s="34">
        <v>7.0</v>
      </c>
      <c r="D2227" s="34" t="s">
        <v>162</v>
      </c>
      <c r="E2227" s="34" t="s">
        <v>5497</v>
      </c>
      <c r="F2227" s="34" t="s">
        <v>5498</v>
      </c>
      <c r="G2227" s="34">
        <v>7186.0</v>
      </c>
      <c r="H2227" s="34" t="s">
        <v>2178</v>
      </c>
      <c r="I2227" s="34" t="s">
        <v>18</v>
      </c>
      <c r="J2227" s="34" t="s">
        <v>14</v>
      </c>
      <c r="K2227" s="45">
        <v>116.2</v>
      </c>
      <c r="L2227" s="45">
        <v>84.0</v>
      </c>
      <c r="M2227" s="45">
        <v>111.1</v>
      </c>
    </row>
    <row r="2228">
      <c r="A2228" s="34" t="s">
        <v>70</v>
      </c>
      <c r="B2228" s="34" t="s">
        <v>169</v>
      </c>
      <c r="C2228" s="34">
        <v>8.0</v>
      </c>
      <c r="D2228" s="34" t="s">
        <v>170</v>
      </c>
      <c r="E2228" s="34" t="s">
        <v>5499</v>
      </c>
      <c r="F2228" s="34" t="s">
        <v>1069</v>
      </c>
      <c r="G2228" s="34">
        <v>8105.0</v>
      </c>
      <c r="H2228" s="34" t="s">
        <v>173</v>
      </c>
      <c r="I2228" s="34" t="s">
        <v>18</v>
      </c>
      <c r="J2228" s="34" t="s">
        <v>15</v>
      </c>
      <c r="K2228" s="45">
        <v>102.3</v>
      </c>
      <c r="L2228" s="9"/>
      <c r="M2228" s="45">
        <v>102.3</v>
      </c>
    </row>
    <row r="2229">
      <c r="A2229" s="34" t="s">
        <v>70</v>
      </c>
      <c r="B2229" s="34" t="s">
        <v>169</v>
      </c>
      <c r="C2229" s="34">
        <v>8.0</v>
      </c>
      <c r="D2229" s="34" t="s">
        <v>170</v>
      </c>
      <c r="E2229" s="34" t="s">
        <v>5500</v>
      </c>
      <c r="F2229" s="34" t="s">
        <v>5501</v>
      </c>
      <c r="G2229" s="34">
        <v>8190.0</v>
      </c>
      <c r="H2229" s="34" t="s">
        <v>5502</v>
      </c>
      <c r="I2229" s="34" t="s">
        <v>18</v>
      </c>
      <c r="J2229" s="34" t="s">
        <v>15</v>
      </c>
      <c r="K2229" s="45">
        <v>97.2</v>
      </c>
      <c r="L2229" s="9"/>
      <c r="M2229" s="45">
        <v>97.2</v>
      </c>
    </row>
    <row r="2230">
      <c r="A2230" s="34" t="s">
        <v>70</v>
      </c>
      <c r="B2230" s="34" t="s">
        <v>169</v>
      </c>
      <c r="C2230" s="34">
        <v>8.0</v>
      </c>
      <c r="D2230" s="34" t="s">
        <v>170</v>
      </c>
      <c r="E2230" s="34" t="s">
        <v>5503</v>
      </c>
      <c r="F2230" s="34" t="s">
        <v>5504</v>
      </c>
      <c r="G2230" s="34">
        <v>8409.0</v>
      </c>
      <c r="H2230" s="34" t="s">
        <v>179</v>
      </c>
      <c r="I2230" s="34" t="s">
        <v>18</v>
      </c>
      <c r="J2230" s="34" t="s">
        <v>15</v>
      </c>
      <c r="K2230" s="45">
        <v>96.5</v>
      </c>
      <c r="L2230" s="9"/>
      <c r="M2230" s="45">
        <v>96.5</v>
      </c>
    </row>
    <row r="2231">
      <c r="A2231" s="34" t="s">
        <v>70</v>
      </c>
      <c r="B2231" s="34" t="s">
        <v>169</v>
      </c>
      <c r="C2231" s="34">
        <v>8.0</v>
      </c>
      <c r="D2231" s="34" t="s">
        <v>170</v>
      </c>
      <c r="E2231" s="34" t="s">
        <v>5505</v>
      </c>
      <c r="F2231" s="34" t="s">
        <v>5506</v>
      </c>
      <c r="G2231" s="34">
        <v>8490.0</v>
      </c>
      <c r="H2231" s="34" t="s">
        <v>2186</v>
      </c>
      <c r="I2231" s="34" t="s">
        <v>18</v>
      </c>
      <c r="J2231" s="34" t="s">
        <v>15</v>
      </c>
      <c r="K2231" s="45">
        <v>108.9</v>
      </c>
      <c r="L2231" s="9"/>
      <c r="M2231" s="45">
        <v>108.9</v>
      </c>
    </row>
    <row r="2232">
      <c r="A2232" s="34" t="s">
        <v>70</v>
      </c>
      <c r="B2232" s="34" t="s">
        <v>169</v>
      </c>
      <c r="C2232" s="34">
        <v>8.0</v>
      </c>
      <c r="D2232" s="34" t="s">
        <v>170</v>
      </c>
      <c r="E2232" s="34" t="s">
        <v>5507</v>
      </c>
      <c r="F2232" s="34" t="s">
        <v>5508</v>
      </c>
      <c r="G2232" s="34">
        <v>8053.0</v>
      </c>
      <c r="H2232" s="34" t="s">
        <v>5509</v>
      </c>
      <c r="I2232" s="34" t="s">
        <v>18</v>
      </c>
      <c r="J2232" s="34" t="s">
        <v>14</v>
      </c>
      <c r="K2232" s="45">
        <v>114.2</v>
      </c>
      <c r="L2232" s="45">
        <v>87.0</v>
      </c>
      <c r="M2232" s="45">
        <v>95.3</v>
      </c>
    </row>
    <row r="2233">
      <c r="A2233" s="34" t="s">
        <v>70</v>
      </c>
      <c r="B2233" s="34" t="s">
        <v>182</v>
      </c>
      <c r="C2233" s="34">
        <v>9.0</v>
      </c>
      <c r="D2233" s="34" t="s">
        <v>183</v>
      </c>
      <c r="E2233" s="34" t="s">
        <v>5510</v>
      </c>
      <c r="F2233" s="34" t="s">
        <v>4926</v>
      </c>
      <c r="G2233" s="34">
        <v>9122.0</v>
      </c>
      <c r="H2233" s="34" t="s">
        <v>5511</v>
      </c>
      <c r="I2233" s="34" t="s">
        <v>18</v>
      </c>
      <c r="J2233" s="34" t="s">
        <v>15</v>
      </c>
      <c r="K2233" s="45">
        <v>116.9</v>
      </c>
      <c r="L2233" s="9"/>
      <c r="M2233" s="45">
        <v>116.9</v>
      </c>
    </row>
    <row r="2234">
      <c r="A2234" s="34" t="s">
        <v>70</v>
      </c>
      <c r="B2234" s="34" t="s">
        <v>182</v>
      </c>
      <c r="C2234" s="34">
        <v>9.0</v>
      </c>
      <c r="D2234" s="34" t="s">
        <v>183</v>
      </c>
      <c r="E2234" s="34" t="s">
        <v>5512</v>
      </c>
      <c r="F2234" s="34" t="s">
        <v>5513</v>
      </c>
      <c r="G2234" s="34">
        <v>9160.0</v>
      </c>
      <c r="H2234" s="34" t="s">
        <v>5514</v>
      </c>
      <c r="I2234" s="34" t="s">
        <v>18</v>
      </c>
      <c r="J2234" s="34" t="s">
        <v>13</v>
      </c>
      <c r="K2234" s="9"/>
      <c r="L2234" s="45">
        <v>86.9</v>
      </c>
      <c r="M2234" s="45">
        <v>86.9</v>
      </c>
    </row>
    <row r="2235">
      <c r="A2235" s="34" t="s">
        <v>70</v>
      </c>
      <c r="B2235" s="34" t="s">
        <v>182</v>
      </c>
      <c r="C2235" s="34">
        <v>9.0</v>
      </c>
      <c r="D2235" s="34" t="s">
        <v>183</v>
      </c>
      <c r="E2235" s="34" t="s">
        <v>5515</v>
      </c>
      <c r="F2235" s="34" t="s">
        <v>5516</v>
      </c>
      <c r="G2235" s="34">
        <v>9194.0</v>
      </c>
      <c r="H2235" s="34" t="s">
        <v>5517</v>
      </c>
      <c r="I2235" s="34" t="s">
        <v>18</v>
      </c>
      <c r="J2235" s="34" t="s">
        <v>14</v>
      </c>
      <c r="K2235" s="45">
        <v>109.9</v>
      </c>
      <c r="L2235" s="45">
        <v>92.1</v>
      </c>
      <c r="M2235" s="45">
        <v>106.8</v>
      </c>
    </row>
    <row r="2236">
      <c r="A2236" s="34" t="s">
        <v>70</v>
      </c>
      <c r="B2236" s="34" t="s">
        <v>182</v>
      </c>
      <c r="C2236" s="34">
        <v>9.0</v>
      </c>
      <c r="D2236" s="34" t="s">
        <v>183</v>
      </c>
      <c r="E2236" s="34" t="s">
        <v>5518</v>
      </c>
      <c r="F2236" s="34" t="s">
        <v>5519</v>
      </c>
      <c r="G2236" s="34">
        <v>9261.0</v>
      </c>
      <c r="H2236" s="34" t="s">
        <v>2192</v>
      </c>
      <c r="I2236" s="34" t="s">
        <v>18</v>
      </c>
      <c r="J2236" s="34" t="s">
        <v>15</v>
      </c>
      <c r="K2236" s="45">
        <v>111.7</v>
      </c>
      <c r="L2236" s="9"/>
      <c r="M2236" s="45">
        <v>111.7</v>
      </c>
    </row>
    <row r="2237">
      <c r="A2237" s="34" t="s">
        <v>70</v>
      </c>
      <c r="B2237" s="34" t="s">
        <v>169</v>
      </c>
      <c r="C2237" s="34">
        <v>10.0</v>
      </c>
      <c r="D2237" s="34" t="s">
        <v>187</v>
      </c>
      <c r="E2237" s="34" t="s">
        <v>5520</v>
      </c>
      <c r="F2237" s="34" t="s">
        <v>5521</v>
      </c>
      <c r="G2237" s="34">
        <v>10387.0</v>
      </c>
      <c r="H2237" s="34" t="s">
        <v>193</v>
      </c>
      <c r="I2237" s="34" t="s">
        <v>18</v>
      </c>
      <c r="J2237" s="34" t="s">
        <v>15</v>
      </c>
      <c r="K2237" s="45">
        <v>108.3</v>
      </c>
      <c r="L2237" s="9"/>
      <c r="M2237" s="45">
        <v>108.3</v>
      </c>
    </row>
    <row r="2238">
      <c r="A2238" s="34" t="s">
        <v>70</v>
      </c>
      <c r="B2238" s="34" t="s">
        <v>169</v>
      </c>
      <c r="C2238" s="34">
        <v>10.0</v>
      </c>
      <c r="D2238" s="34" t="s">
        <v>187</v>
      </c>
      <c r="E2238" s="34" t="s">
        <v>5522</v>
      </c>
      <c r="F2238" s="34" t="s">
        <v>5523</v>
      </c>
      <c r="G2238" s="34">
        <v>10387.0</v>
      </c>
      <c r="H2238" s="34" t="s">
        <v>193</v>
      </c>
      <c r="I2238" s="34" t="s">
        <v>17</v>
      </c>
      <c r="J2238" s="34" t="s">
        <v>15</v>
      </c>
      <c r="K2238" s="45">
        <v>125.6</v>
      </c>
      <c r="L2238" s="9"/>
      <c r="M2238" s="45">
        <v>125.6</v>
      </c>
    </row>
    <row r="2239">
      <c r="A2239" s="34" t="s">
        <v>70</v>
      </c>
      <c r="B2239" s="34" t="s">
        <v>169</v>
      </c>
      <c r="C2239" s="34">
        <v>10.0</v>
      </c>
      <c r="D2239" s="34" t="s">
        <v>187</v>
      </c>
      <c r="E2239" s="34" t="s">
        <v>5524</v>
      </c>
      <c r="F2239" s="34" t="s">
        <v>5525</v>
      </c>
      <c r="G2239" s="34">
        <v>10387.0</v>
      </c>
      <c r="H2239" s="34" t="s">
        <v>193</v>
      </c>
      <c r="I2239" s="34" t="s">
        <v>17</v>
      </c>
      <c r="J2239" s="34" t="s">
        <v>15</v>
      </c>
      <c r="K2239" s="45">
        <v>126.3</v>
      </c>
      <c r="L2239" s="9"/>
      <c r="M2239" s="45">
        <v>126.3</v>
      </c>
    </row>
    <row r="2240">
      <c r="A2240" s="34" t="s">
        <v>70</v>
      </c>
      <c r="B2240" s="34" t="s">
        <v>169</v>
      </c>
      <c r="C2240" s="34">
        <v>10.0</v>
      </c>
      <c r="D2240" s="34" t="s">
        <v>187</v>
      </c>
      <c r="E2240" s="34" t="s">
        <v>5526</v>
      </c>
      <c r="F2240" s="34" t="s">
        <v>5527</v>
      </c>
      <c r="G2240" s="34">
        <v>10387.0</v>
      </c>
      <c r="H2240" s="34" t="s">
        <v>193</v>
      </c>
      <c r="I2240" s="34" t="s">
        <v>18</v>
      </c>
      <c r="J2240" s="34" t="s">
        <v>13</v>
      </c>
      <c r="K2240" s="9"/>
      <c r="L2240" s="45">
        <v>71.1</v>
      </c>
      <c r="M2240" s="45">
        <v>71.1</v>
      </c>
    </row>
    <row r="2241">
      <c r="A2241" s="34" t="s">
        <v>70</v>
      </c>
      <c r="B2241" s="34" t="s">
        <v>169</v>
      </c>
      <c r="C2241" s="34">
        <v>10.0</v>
      </c>
      <c r="D2241" s="34" t="s">
        <v>187</v>
      </c>
      <c r="E2241" s="34" t="s">
        <v>5528</v>
      </c>
      <c r="F2241" s="34" t="s">
        <v>5529</v>
      </c>
      <c r="G2241" s="34">
        <v>10387.0</v>
      </c>
      <c r="H2241" s="34" t="s">
        <v>193</v>
      </c>
      <c r="I2241" s="34" t="s">
        <v>17</v>
      </c>
      <c r="J2241" s="34" t="s">
        <v>13</v>
      </c>
      <c r="K2241" s="9"/>
      <c r="L2241" s="45">
        <v>99.7</v>
      </c>
      <c r="M2241" s="45">
        <v>99.7</v>
      </c>
    </row>
    <row r="2242">
      <c r="A2242" s="34" t="s">
        <v>70</v>
      </c>
      <c r="B2242" s="34" t="s">
        <v>483</v>
      </c>
      <c r="C2242" s="34">
        <v>11.0</v>
      </c>
      <c r="D2242" s="34" t="s">
        <v>2203</v>
      </c>
      <c r="E2242" s="34" t="s">
        <v>5530</v>
      </c>
      <c r="F2242" s="34" t="s">
        <v>5531</v>
      </c>
      <c r="G2242" s="34">
        <v>11069.0</v>
      </c>
      <c r="H2242" s="34" t="s">
        <v>3965</v>
      </c>
      <c r="I2242" s="34" t="s">
        <v>18</v>
      </c>
      <c r="J2242" s="34" t="s">
        <v>15</v>
      </c>
      <c r="K2242" s="45">
        <v>107.7</v>
      </c>
      <c r="L2242" s="9"/>
      <c r="M2242" s="45">
        <v>107.7</v>
      </c>
    </row>
    <row r="2243">
      <c r="A2243" s="34" t="s">
        <v>70</v>
      </c>
      <c r="B2243" s="34" t="s">
        <v>182</v>
      </c>
      <c r="C2243" s="34">
        <v>12.0</v>
      </c>
      <c r="D2243" s="34" t="s">
        <v>200</v>
      </c>
      <c r="E2243" s="34" t="s">
        <v>5532</v>
      </c>
      <c r="F2243" s="34" t="s">
        <v>5533</v>
      </c>
      <c r="G2243" s="34">
        <v>12202.0</v>
      </c>
      <c r="H2243" s="34" t="s">
        <v>206</v>
      </c>
      <c r="I2243" s="34" t="s">
        <v>18</v>
      </c>
      <c r="J2243" s="34" t="s">
        <v>15</v>
      </c>
      <c r="K2243" s="45">
        <v>110.1</v>
      </c>
      <c r="L2243" s="9"/>
      <c r="M2243" s="45">
        <v>110.1</v>
      </c>
    </row>
    <row r="2244">
      <c r="A2244" s="34" t="s">
        <v>70</v>
      </c>
      <c r="B2244" s="34" t="s">
        <v>182</v>
      </c>
      <c r="C2244" s="34">
        <v>12.0</v>
      </c>
      <c r="D2244" s="34" t="s">
        <v>200</v>
      </c>
      <c r="E2244" s="34" t="s">
        <v>5534</v>
      </c>
      <c r="F2244" s="34" t="s">
        <v>5535</v>
      </c>
      <c r="G2244" s="34">
        <v>12208.0</v>
      </c>
      <c r="H2244" s="34" t="s">
        <v>213</v>
      </c>
      <c r="I2244" s="34" t="s">
        <v>18</v>
      </c>
      <c r="J2244" s="34" t="s">
        <v>14</v>
      </c>
      <c r="K2244" s="45">
        <v>111.8</v>
      </c>
      <c r="L2244" s="45">
        <v>89.3</v>
      </c>
      <c r="M2244" s="45">
        <v>105.9</v>
      </c>
    </row>
    <row r="2245">
      <c r="A2245" s="34" t="s">
        <v>70</v>
      </c>
      <c r="B2245" s="34" t="s">
        <v>182</v>
      </c>
      <c r="C2245" s="34">
        <v>12.0</v>
      </c>
      <c r="D2245" s="34" t="s">
        <v>200</v>
      </c>
      <c r="E2245" s="34" t="s">
        <v>5536</v>
      </c>
      <c r="F2245" s="34" t="s">
        <v>5537</v>
      </c>
      <c r="G2245" s="34">
        <v>12202.0</v>
      </c>
      <c r="H2245" s="34" t="s">
        <v>206</v>
      </c>
      <c r="I2245" s="34" t="s">
        <v>18</v>
      </c>
      <c r="J2245" s="34" t="s">
        <v>13</v>
      </c>
      <c r="K2245" s="9"/>
      <c r="L2245" s="45">
        <v>83.9</v>
      </c>
      <c r="M2245" s="45">
        <v>83.9</v>
      </c>
    </row>
    <row r="2246">
      <c r="A2246" s="34" t="s">
        <v>70</v>
      </c>
      <c r="B2246" s="34" t="s">
        <v>182</v>
      </c>
      <c r="C2246" s="34">
        <v>12.0</v>
      </c>
      <c r="D2246" s="34" t="s">
        <v>200</v>
      </c>
      <c r="E2246" s="34" t="s">
        <v>5538</v>
      </c>
      <c r="F2246" s="34" t="s">
        <v>3209</v>
      </c>
      <c r="G2246" s="34">
        <v>12096.0</v>
      </c>
      <c r="H2246" s="34" t="s">
        <v>5539</v>
      </c>
      <c r="I2246" s="34" t="s">
        <v>17</v>
      </c>
      <c r="J2246" s="34" t="s">
        <v>15</v>
      </c>
      <c r="K2246" s="45">
        <v>102.2</v>
      </c>
      <c r="L2246" s="9"/>
      <c r="M2246" s="45">
        <v>102.2</v>
      </c>
    </row>
    <row r="2247">
      <c r="A2247" s="34" t="s">
        <v>70</v>
      </c>
      <c r="B2247" s="34" t="s">
        <v>182</v>
      </c>
      <c r="C2247" s="34">
        <v>12.0</v>
      </c>
      <c r="D2247" s="34" t="s">
        <v>200</v>
      </c>
      <c r="E2247" s="34" t="s">
        <v>5540</v>
      </c>
      <c r="F2247" s="34" t="s">
        <v>5541</v>
      </c>
      <c r="G2247" s="34">
        <v>12013.0</v>
      </c>
      <c r="H2247" s="34" t="s">
        <v>5542</v>
      </c>
      <c r="I2247" s="34" t="s">
        <v>18</v>
      </c>
      <c r="J2247" s="34" t="s">
        <v>13</v>
      </c>
      <c r="K2247" s="9"/>
      <c r="L2247" s="45">
        <v>98.5</v>
      </c>
      <c r="M2247" s="45">
        <v>98.5</v>
      </c>
    </row>
    <row r="2248">
      <c r="A2248" s="34" t="s">
        <v>70</v>
      </c>
      <c r="B2248" s="34" t="s">
        <v>182</v>
      </c>
      <c r="C2248" s="34">
        <v>12.0</v>
      </c>
      <c r="D2248" s="34" t="s">
        <v>200</v>
      </c>
      <c r="E2248" s="34" t="s">
        <v>5543</v>
      </c>
      <c r="F2248" s="34" t="s">
        <v>595</v>
      </c>
      <c r="G2248" s="34">
        <v>12145.0</v>
      </c>
      <c r="H2248" s="34" t="s">
        <v>203</v>
      </c>
      <c r="I2248" s="34" t="s">
        <v>17</v>
      </c>
      <c r="J2248" s="34" t="s">
        <v>13</v>
      </c>
      <c r="K2248" s="9"/>
      <c r="L2248" s="45">
        <v>91.4</v>
      </c>
      <c r="M2248" s="45">
        <v>91.4</v>
      </c>
    </row>
    <row r="2249">
      <c r="A2249" s="34" t="s">
        <v>70</v>
      </c>
      <c r="B2249" s="34" t="s">
        <v>182</v>
      </c>
      <c r="C2249" s="34">
        <v>12.0</v>
      </c>
      <c r="D2249" s="34" t="s">
        <v>200</v>
      </c>
      <c r="E2249" s="34" t="s">
        <v>5544</v>
      </c>
      <c r="F2249" s="34" t="s">
        <v>5545</v>
      </c>
      <c r="G2249" s="34">
        <v>12202.0</v>
      </c>
      <c r="H2249" s="34" t="s">
        <v>206</v>
      </c>
      <c r="I2249" s="34" t="s">
        <v>17</v>
      </c>
      <c r="J2249" s="34" t="s">
        <v>15</v>
      </c>
      <c r="K2249" s="45">
        <v>119.1</v>
      </c>
      <c r="L2249" s="9"/>
      <c r="M2249" s="45">
        <v>119.1</v>
      </c>
    </row>
    <row r="2250">
      <c r="A2250" s="34" t="s">
        <v>70</v>
      </c>
      <c r="B2250" s="34" t="s">
        <v>129</v>
      </c>
      <c r="C2250" s="34">
        <v>13.0</v>
      </c>
      <c r="D2250" s="34" t="s">
        <v>219</v>
      </c>
      <c r="E2250" s="34" t="s">
        <v>5546</v>
      </c>
      <c r="F2250" s="34" t="s">
        <v>5547</v>
      </c>
      <c r="G2250" s="34">
        <v>13208.0</v>
      </c>
      <c r="H2250" s="34" t="s">
        <v>2239</v>
      </c>
      <c r="I2250" s="34" t="s">
        <v>18</v>
      </c>
      <c r="J2250" s="34" t="s">
        <v>15</v>
      </c>
      <c r="K2250" s="45">
        <v>107.4</v>
      </c>
      <c r="L2250" s="9"/>
      <c r="M2250" s="45">
        <v>107.4</v>
      </c>
    </row>
    <row r="2251">
      <c r="A2251" s="34" t="s">
        <v>70</v>
      </c>
      <c r="B2251" s="34" t="s">
        <v>129</v>
      </c>
      <c r="C2251" s="34">
        <v>13.0</v>
      </c>
      <c r="D2251" s="34" t="s">
        <v>219</v>
      </c>
      <c r="E2251" s="34" t="s">
        <v>5548</v>
      </c>
      <c r="F2251" s="34" t="s">
        <v>5549</v>
      </c>
      <c r="G2251" s="34">
        <v>13201.0</v>
      </c>
      <c r="H2251" s="34" t="s">
        <v>3994</v>
      </c>
      <c r="I2251" s="34" t="s">
        <v>18</v>
      </c>
      <c r="J2251" s="34" t="s">
        <v>15</v>
      </c>
      <c r="K2251" s="45">
        <v>117.0</v>
      </c>
      <c r="L2251" s="9"/>
      <c r="M2251" s="45">
        <v>117.0</v>
      </c>
    </row>
    <row r="2252">
      <c r="A2252" s="34" t="s">
        <v>70</v>
      </c>
      <c r="B2252" s="34" t="s">
        <v>129</v>
      </c>
      <c r="C2252" s="34">
        <v>13.0</v>
      </c>
      <c r="D2252" s="34" t="s">
        <v>219</v>
      </c>
      <c r="E2252" s="34" t="s">
        <v>5550</v>
      </c>
      <c r="F2252" s="34" t="s">
        <v>5551</v>
      </c>
      <c r="G2252" s="34">
        <v>13208.0</v>
      </c>
      <c r="H2252" s="34" t="s">
        <v>2239</v>
      </c>
      <c r="I2252" s="34" t="s">
        <v>18</v>
      </c>
      <c r="J2252" s="34" t="s">
        <v>13</v>
      </c>
      <c r="K2252" s="9"/>
      <c r="L2252" s="45">
        <v>89.4</v>
      </c>
      <c r="M2252" s="45">
        <v>89.4</v>
      </c>
    </row>
    <row r="2253">
      <c r="A2253" s="34" t="s">
        <v>70</v>
      </c>
      <c r="B2253" s="34" t="s">
        <v>129</v>
      </c>
      <c r="C2253" s="34">
        <v>13.0</v>
      </c>
      <c r="D2253" s="34" t="s">
        <v>219</v>
      </c>
      <c r="E2253" s="34" t="s">
        <v>5552</v>
      </c>
      <c r="F2253" s="34" t="s">
        <v>4582</v>
      </c>
      <c r="G2253" s="34">
        <v>13212.0</v>
      </c>
      <c r="H2253" s="34" t="s">
        <v>2250</v>
      </c>
      <c r="I2253" s="34" t="s">
        <v>18</v>
      </c>
      <c r="J2253" s="34" t="s">
        <v>13</v>
      </c>
      <c r="K2253" s="9"/>
      <c r="L2253" s="45">
        <v>79.2</v>
      </c>
      <c r="M2253" s="45">
        <v>79.2</v>
      </c>
    </row>
    <row r="2254">
      <c r="A2254" s="34" t="s">
        <v>70</v>
      </c>
      <c r="B2254" s="34" t="s">
        <v>129</v>
      </c>
      <c r="C2254" s="34">
        <v>13.0</v>
      </c>
      <c r="D2254" s="34" t="s">
        <v>219</v>
      </c>
      <c r="E2254" s="34" t="s">
        <v>5553</v>
      </c>
      <c r="F2254" s="34" t="s">
        <v>5554</v>
      </c>
      <c r="G2254" s="34">
        <v>13215.0</v>
      </c>
      <c r="H2254" s="34" t="s">
        <v>2272</v>
      </c>
      <c r="I2254" s="34" t="s">
        <v>18</v>
      </c>
      <c r="J2254" s="34" t="s">
        <v>13</v>
      </c>
      <c r="K2254" s="9"/>
      <c r="L2254" s="45">
        <v>62.6</v>
      </c>
      <c r="M2254" s="45">
        <v>62.6</v>
      </c>
    </row>
    <row r="2255">
      <c r="A2255" s="34" t="s">
        <v>70</v>
      </c>
      <c r="B2255" s="34" t="s">
        <v>129</v>
      </c>
      <c r="C2255" s="34">
        <v>13.0</v>
      </c>
      <c r="D2255" s="34" t="s">
        <v>219</v>
      </c>
      <c r="E2255" s="34" t="s">
        <v>5555</v>
      </c>
      <c r="F2255" s="34" t="s">
        <v>5556</v>
      </c>
      <c r="G2255" s="34">
        <v>13211.0</v>
      </c>
      <c r="H2255" s="34" t="s">
        <v>259</v>
      </c>
      <c r="I2255" s="34" t="s">
        <v>18</v>
      </c>
      <c r="J2255" s="34" t="s">
        <v>13</v>
      </c>
      <c r="K2255" s="9"/>
      <c r="L2255" s="45">
        <v>70.2</v>
      </c>
      <c r="M2255" s="45">
        <v>70.2</v>
      </c>
    </row>
    <row r="2256">
      <c r="A2256" s="34" t="s">
        <v>70</v>
      </c>
      <c r="B2256" s="34" t="s">
        <v>129</v>
      </c>
      <c r="C2256" s="34">
        <v>13.0</v>
      </c>
      <c r="D2256" s="34" t="s">
        <v>219</v>
      </c>
      <c r="E2256" s="34" t="s">
        <v>5557</v>
      </c>
      <c r="F2256" s="34" t="s">
        <v>4998</v>
      </c>
      <c r="G2256" s="34">
        <v>13206.0</v>
      </c>
      <c r="H2256" s="34" t="s">
        <v>222</v>
      </c>
      <c r="I2256" s="34" t="s">
        <v>17</v>
      </c>
      <c r="J2256" s="34" t="s">
        <v>15</v>
      </c>
      <c r="K2256" s="45">
        <v>126.7</v>
      </c>
      <c r="L2256" s="9"/>
      <c r="M2256" s="45">
        <v>126.7</v>
      </c>
    </row>
    <row r="2257">
      <c r="A2257" s="34" t="s">
        <v>70</v>
      </c>
      <c r="B2257" s="34" t="s">
        <v>129</v>
      </c>
      <c r="C2257" s="34">
        <v>13.0</v>
      </c>
      <c r="D2257" s="34" t="s">
        <v>219</v>
      </c>
      <c r="E2257" s="34" t="s">
        <v>5558</v>
      </c>
      <c r="F2257" s="34" t="s">
        <v>5559</v>
      </c>
      <c r="G2257" s="34">
        <v>13204.0</v>
      </c>
      <c r="H2257" s="34" t="s">
        <v>4010</v>
      </c>
      <c r="I2257" s="34" t="s">
        <v>17</v>
      </c>
      <c r="J2257" s="34" t="s">
        <v>15</v>
      </c>
      <c r="K2257" s="45">
        <v>118.0</v>
      </c>
      <c r="L2257" s="9"/>
      <c r="M2257" s="45">
        <v>118.0</v>
      </c>
    </row>
    <row r="2258">
      <c r="A2258" s="34" t="s">
        <v>70</v>
      </c>
      <c r="B2258" s="34" t="s">
        <v>129</v>
      </c>
      <c r="C2258" s="34">
        <v>13.0</v>
      </c>
      <c r="D2258" s="34" t="s">
        <v>219</v>
      </c>
      <c r="E2258" s="34" t="s">
        <v>5560</v>
      </c>
      <c r="F2258" s="34" t="s">
        <v>892</v>
      </c>
      <c r="G2258" s="34">
        <v>13213.0</v>
      </c>
      <c r="H2258" s="34" t="s">
        <v>225</v>
      </c>
      <c r="I2258" s="34" t="s">
        <v>17</v>
      </c>
      <c r="J2258" s="34" t="s">
        <v>15</v>
      </c>
      <c r="K2258" s="45">
        <v>124.2</v>
      </c>
      <c r="L2258" s="9"/>
      <c r="M2258" s="45">
        <v>124.2</v>
      </c>
    </row>
    <row r="2259">
      <c r="A2259" s="34" t="s">
        <v>70</v>
      </c>
      <c r="B2259" s="34" t="s">
        <v>129</v>
      </c>
      <c r="C2259" s="34">
        <v>13.0</v>
      </c>
      <c r="D2259" s="34" t="s">
        <v>219</v>
      </c>
      <c r="E2259" s="34" t="s">
        <v>5561</v>
      </c>
      <c r="F2259" s="34" t="s">
        <v>5562</v>
      </c>
      <c r="G2259" s="34">
        <v>13206.0</v>
      </c>
      <c r="H2259" s="34" t="s">
        <v>222</v>
      </c>
      <c r="I2259" s="34" t="s">
        <v>17</v>
      </c>
      <c r="J2259" s="34" t="s">
        <v>15</v>
      </c>
      <c r="K2259" s="45">
        <v>101.2</v>
      </c>
      <c r="L2259" s="9"/>
      <c r="M2259" s="45">
        <v>101.2</v>
      </c>
    </row>
    <row r="2260">
      <c r="A2260" s="34" t="s">
        <v>70</v>
      </c>
      <c r="B2260" s="34" t="s">
        <v>129</v>
      </c>
      <c r="C2260" s="34">
        <v>13.0</v>
      </c>
      <c r="D2260" s="34" t="s">
        <v>219</v>
      </c>
      <c r="E2260" s="34" t="s">
        <v>5563</v>
      </c>
      <c r="F2260" s="34" t="s">
        <v>5564</v>
      </c>
      <c r="G2260" s="34">
        <v>13206.0</v>
      </c>
      <c r="H2260" s="34" t="s">
        <v>222</v>
      </c>
      <c r="I2260" s="34" t="s">
        <v>17</v>
      </c>
      <c r="J2260" s="34" t="s">
        <v>14</v>
      </c>
      <c r="K2260" s="45">
        <v>103.0</v>
      </c>
      <c r="L2260" s="45">
        <v>95.3</v>
      </c>
      <c r="M2260" s="45">
        <v>100.4</v>
      </c>
    </row>
    <row r="2261">
      <c r="A2261" s="34" t="s">
        <v>70</v>
      </c>
      <c r="B2261" s="34" t="s">
        <v>129</v>
      </c>
      <c r="C2261" s="34">
        <v>13.0</v>
      </c>
      <c r="D2261" s="34" t="s">
        <v>219</v>
      </c>
      <c r="E2261" s="34" t="s">
        <v>5565</v>
      </c>
      <c r="F2261" s="34" t="s">
        <v>5566</v>
      </c>
      <c r="G2261" s="34">
        <v>13215.0</v>
      </c>
      <c r="H2261" s="34" t="s">
        <v>2272</v>
      </c>
      <c r="I2261" s="34" t="s">
        <v>17</v>
      </c>
      <c r="J2261" s="34" t="s">
        <v>13</v>
      </c>
      <c r="K2261" s="9"/>
      <c r="L2261" s="45">
        <v>67.0</v>
      </c>
      <c r="M2261" s="45">
        <v>67.0</v>
      </c>
    </row>
    <row r="2262">
      <c r="A2262" s="34" t="s">
        <v>70</v>
      </c>
      <c r="B2262" s="34" t="s">
        <v>129</v>
      </c>
      <c r="C2262" s="34">
        <v>13.0</v>
      </c>
      <c r="D2262" s="34" t="s">
        <v>219</v>
      </c>
      <c r="E2262" s="34" t="s">
        <v>5567</v>
      </c>
      <c r="F2262" s="34" t="s">
        <v>5568</v>
      </c>
      <c r="G2262" s="34">
        <v>13056.0</v>
      </c>
      <c r="H2262" s="34" t="s">
        <v>236</v>
      </c>
      <c r="I2262" s="34" t="s">
        <v>18</v>
      </c>
      <c r="J2262" s="34" t="s">
        <v>14</v>
      </c>
      <c r="K2262" s="45">
        <v>115.4</v>
      </c>
      <c r="L2262" s="45">
        <v>89.1</v>
      </c>
      <c r="M2262" s="45">
        <v>111.5</v>
      </c>
    </row>
    <row r="2263">
      <c r="A2263" s="34" t="s">
        <v>70</v>
      </c>
      <c r="B2263" s="34" t="s">
        <v>129</v>
      </c>
      <c r="C2263" s="34">
        <v>13.0</v>
      </c>
      <c r="D2263" s="34" t="s">
        <v>219</v>
      </c>
      <c r="E2263" s="34" t="s">
        <v>5569</v>
      </c>
      <c r="F2263" s="34" t="s">
        <v>5570</v>
      </c>
      <c r="G2263" s="34">
        <v>13078.0</v>
      </c>
      <c r="H2263" s="34" t="s">
        <v>5571</v>
      </c>
      <c r="I2263" s="34" t="s">
        <v>17</v>
      </c>
      <c r="J2263" s="34" t="s">
        <v>14</v>
      </c>
      <c r="K2263" s="45">
        <v>96.3</v>
      </c>
      <c r="L2263" s="45">
        <v>87.6</v>
      </c>
      <c r="M2263" s="45">
        <v>90.3</v>
      </c>
    </row>
    <row r="2264">
      <c r="A2264" s="34" t="s">
        <v>70</v>
      </c>
      <c r="B2264" s="34" t="s">
        <v>129</v>
      </c>
      <c r="C2264" s="34">
        <v>13.0</v>
      </c>
      <c r="D2264" s="34" t="s">
        <v>219</v>
      </c>
      <c r="E2264" s="34" t="s">
        <v>5572</v>
      </c>
      <c r="F2264" s="34" t="s">
        <v>2778</v>
      </c>
      <c r="G2264" s="34">
        <v>13005.0</v>
      </c>
      <c r="H2264" s="34" t="s">
        <v>4020</v>
      </c>
      <c r="I2264" s="34" t="s">
        <v>17</v>
      </c>
      <c r="J2264" s="34" t="s">
        <v>15</v>
      </c>
      <c r="K2264" s="45">
        <v>141.8</v>
      </c>
      <c r="L2264" s="9"/>
      <c r="M2264" s="45">
        <v>141.8</v>
      </c>
    </row>
    <row r="2265">
      <c r="A2265" s="34" t="s">
        <v>70</v>
      </c>
      <c r="B2265" s="34" t="s">
        <v>129</v>
      </c>
      <c r="C2265" s="34">
        <v>13.0</v>
      </c>
      <c r="D2265" s="34" t="s">
        <v>219</v>
      </c>
      <c r="E2265" s="34" t="s">
        <v>5573</v>
      </c>
      <c r="F2265" s="34" t="s">
        <v>5574</v>
      </c>
      <c r="G2265" s="34">
        <v>13212.0</v>
      </c>
      <c r="H2265" s="34" t="s">
        <v>2250</v>
      </c>
      <c r="I2265" s="34" t="s">
        <v>17</v>
      </c>
      <c r="J2265" s="34" t="s">
        <v>14</v>
      </c>
      <c r="K2265" s="45">
        <v>109.6</v>
      </c>
      <c r="L2265" s="45">
        <v>110.2</v>
      </c>
      <c r="M2265" s="45">
        <v>109.7</v>
      </c>
    </row>
    <row r="2266">
      <c r="A2266" s="34" t="s">
        <v>70</v>
      </c>
      <c r="B2266" s="34" t="s">
        <v>129</v>
      </c>
      <c r="C2266" s="34">
        <v>13.0</v>
      </c>
      <c r="D2266" s="34" t="s">
        <v>219</v>
      </c>
      <c r="E2266" s="34" t="s">
        <v>5575</v>
      </c>
      <c r="F2266" s="34" t="s">
        <v>5576</v>
      </c>
      <c r="G2266" s="34">
        <v>13208.0</v>
      </c>
      <c r="H2266" s="34" t="s">
        <v>2239</v>
      </c>
      <c r="I2266" s="34" t="s">
        <v>18</v>
      </c>
      <c r="J2266" s="34" t="s">
        <v>14</v>
      </c>
      <c r="K2266" s="45">
        <v>114.7</v>
      </c>
      <c r="L2266" s="45">
        <v>96.7</v>
      </c>
      <c r="M2266" s="45">
        <v>102.0</v>
      </c>
    </row>
    <row r="2267">
      <c r="A2267" s="34" t="s">
        <v>70</v>
      </c>
      <c r="B2267" s="34" t="s">
        <v>129</v>
      </c>
      <c r="C2267" s="34">
        <v>13.0</v>
      </c>
      <c r="D2267" s="34" t="s">
        <v>219</v>
      </c>
      <c r="E2267" s="34" t="s">
        <v>5577</v>
      </c>
      <c r="F2267" s="34" t="s">
        <v>5578</v>
      </c>
      <c r="G2267" s="34">
        <v>13117.0</v>
      </c>
      <c r="H2267" s="34" t="s">
        <v>2267</v>
      </c>
      <c r="I2267" s="34" t="s">
        <v>18</v>
      </c>
      <c r="J2267" s="34" t="s">
        <v>14</v>
      </c>
      <c r="K2267" s="45">
        <v>108.0</v>
      </c>
      <c r="L2267" s="45">
        <v>93.9</v>
      </c>
      <c r="M2267" s="45">
        <v>104.1</v>
      </c>
    </row>
    <row r="2268">
      <c r="A2268" s="34" t="s">
        <v>70</v>
      </c>
      <c r="B2268" s="34" t="s">
        <v>129</v>
      </c>
      <c r="C2268" s="34">
        <v>13.0</v>
      </c>
      <c r="D2268" s="34" t="s">
        <v>219</v>
      </c>
      <c r="E2268" s="34" t="s">
        <v>5579</v>
      </c>
      <c r="F2268" s="34" t="s">
        <v>5580</v>
      </c>
      <c r="G2268" s="34">
        <v>13063.0</v>
      </c>
      <c r="H2268" s="34" t="s">
        <v>239</v>
      </c>
      <c r="I2268" s="34" t="s">
        <v>18</v>
      </c>
      <c r="J2268" s="34" t="s">
        <v>15</v>
      </c>
      <c r="K2268" s="45">
        <v>97.9</v>
      </c>
      <c r="L2268" s="9"/>
      <c r="M2268" s="45">
        <v>97.9</v>
      </c>
    </row>
    <row r="2269">
      <c r="A2269" s="34" t="s">
        <v>70</v>
      </c>
      <c r="B2269" s="34" t="s">
        <v>129</v>
      </c>
      <c r="C2269" s="34">
        <v>13.0</v>
      </c>
      <c r="D2269" s="34" t="s">
        <v>219</v>
      </c>
      <c r="E2269" s="34" t="s">
        <v>5581</v>
      </c>
      <c r="F2269" s="34" t="s">
        <v>5582</v>
      </c>
      <c r="G2269" s="34">
        <v>13001.0</v>
      </c>
      <c r="H2269" s="34" t="s">
        <v>242</v>
      </c>
      <c r="I2269" s="34" t="s">
        <v>17</v>
      </c>
      <c r="J2269" s="34" t="s">
        <v>13</v>
      </c>
      <c r="K2269" s="9"/>
      <c r="L2269" s="45">
        <v>104.3</v>
      </c>
      <c r="M2269" s="45">
        <v>104.3</v>
      </c>
    </row>
    <row r="2270">
      <c r="A2270" s="34" t="s">
        <v>70</v>
      </c>
      <c r="B2270" s="34" t="s">
        <v>129</v>
      </c>
      <c r="C2270" s="34">
        <v>13.0</v>
      </c>
      <c r="D2270" s="34" t="s">
        <v>219</v>
      </c>
      <c r="E2270" s="34" t="s">
        <v>5583</v>
      </c>
      <c r="F2270" s="34" t="s">
        <v>5584</v>
      </c>
      <c r="G2270" s="34">
        <v>13028.0</v>
      </c>
      <c r="H2270" s="34" t="s">
        <v>262</v>
      </c>
      <c r="I2270" s="34" t="s">
        <v>18</v>
      </c>
      <c r="J2270" s="34" t="s">
        <v>14</v>
      </c>
      <c r="K2270" s="45">
        <v>130.2</v>
      </c>
      <c r="L2270" s="45">
        <v>95.1</v>
      </c>
      <c r="M2270" s="45">
        <v>119.1</v>
      </c>
    </row>
    <row r="2271">
      <c r="A2271" s="34" t="s">
        <v>70</v>
      </c>
      <c r="B2271" s="34" t="s">
        <v>129</v>
      </c>
      <c r="C2271" s="34">
        <v>13.0</v>
      </c>
      <c r="D2271" s="34" t="s">
        <v>219</v>
      </c>
      <c r="E2271" s="34" t="s">
        <v>5585</v>
      </c>
      <c r="F2271" s="34" t="s">
        <v>5586</v>
      </c>
      <c r="G2271" s="34">
        <v>13001.0</v>
      </c>
      <c r="H2271" s="34" t="s">
        <v>242</v>
      </c>
      <c r="I2271" s="34" t="s">
        <v>18</v>
      </c>
      <c r="J2271" s="34" t="s">
        <v>15</v>
      </c>
      <c r="K2271" s="45">
        <v>138.8</v>
      </c>
      <c r="L2271" s="9"/>
      <c r="M2271" s="45">
        <v>138.8</v>
      </c>
    </row>
    <row r="2272">
      <c r="A2272" s="34" t="s">
        <v>70</v>
      </c>
      <c r="B2272" s="34" t="s">
        <v>129</v>
      </c>
      <c r="C2272" s="34">
        <v>13.0</v>
      </c>
      <c r="D2272" s="34" t="s">
        <v>219</v>
      </c>
      <c r="E2272" s="34" t="s">
        <v>5587</v>
      </c>
      <c r="F2272" s="34" t="s">
        <v>5588</v>
      </c>
      <c r="G2272" s="34">
        <v>13042.0</v>
      </c>
      <c r="H2272" s="34" t="s">
        <v>5589</v>
      </c>
      <c r="I2272" s="34" t="s">
        <v>17</v>
      </c>
      <c r="J2272" s="34" t="s">
        <v>15</v>
      </c>
      <c r="K2272" s="45">
        <v>135.0</v>
      </c>
      <c r="L2272" s="9"/>
      <c r="M2272" s="45">
        <v>135.0</v>
      </c>
    </row>
    <row r="2273">
      <c r="A2273" s="34" t="s">
        <v>70</v>
      </c>
      <c r="B2273" s="34" t="s">
        <v>129</v>
      </c>
      <c r="C2273" s="34">
        <v>13.0</v>
      </c>
      <c r="D2273" s="34" t="s">
        <v>219</v>
      </c>
      <c r="E2273" s="34" t="s">
        <v>5590</v>
      </c>
      <c r="F2273" s="34" t="s">
        <v>5591</v>
      </c>
      <c r="G2273" s="34">
        <v>13213.0</v>
      </c>
      <c r="H2273" s="34" t="s">
        <v>225</v>
      </c>
      <c r="I2273" s="34" t="s">
        <v>18</v>
      </c>
      <c r="J2273" s="34" t="s">
        <v>14</v>
      </c>
      <c r="K2273" s="45">
        <v>92.7</v>
      </c>
      <c r="L2273" s="45">
        <v>76.4</v>
      </c>
      <c r="M2273" s="45">
        <v>91.6</v>
      </c>
    </row>
    <row r="2274">
      <c r="A2274" s="34" t="s">
        <v>70</v>
      </c>
      <c r="B2274" s="34" t="s">
        <v>269</v>
      </c>
      <c r="C2274" s="34">
        <v>14.0</v>
      </c>
      <c r="D2274" s="34" t="s">
        <v>270</v>
      </c>
      <c r="E2274" s="34" t="s">
        <v>5592</v>
      </c>
      <c r="F2274" s="34" t="s">
        <v>5593</v>
      </c>
      <c r="G2274" s="34">
        <v>14047.0</v>
      </c>
      <c r="H2274" s="34" t="s">
        <v>2289</v>
      </c>
      <c r="I2274" s="34" t="s">
        <v>18</v>
      </c>
      <c r="J2274" s="34" t="s">
        <v>15</v>
      </c>
      <c r="K2274" s="45">
        <v>122.7</v>
      </c>
      <c r="L2274" s="9"/>
      <c r="M2274" s="45">
        <v>122.7</v>
      </c>
    </row>
    <row r="2275">
      <c r="A2275" s="34" t="s">
        <v>70</v>
      </c>
      <c r="B2275" s="34" t="s">
        <v>269</v>
      </c>
      <c r="C2275" s="34">
        <v>14.0</v>
      </c>
      <c r="D2275" s="34" t="s">
        <v>270</v>
      </c>
      <c r="E2275" s="34" t="s">
        <v>5594</v>
      </c>
      <c r="F2275" s="34" t="s">
        <v>5595</v>
      </c>
      <c r="G2275" s="34">
        <v>14118.0</v>
      </c>
      <c r="H2275" s="34" t="s">
        <v>273</v>
      </c>
      <c r="I2275" s="34" t="s">
        <v>18</v>
      </c>
      <c r="J2275" s="34" t="s">
        <v>15</v>
      </c>
      <c r="K2275" s="45">
        <v>127.0</v>
      </c>
      <c r="L2275" s="9"/>
      <c r="M2275" s="45">
        <v>127.0</v>
      </c>
    </row>
    <row r="2276">
      <c r="A2276" s="34" t="s">
        <v>70</v>
      </c>
      <c r="B2276" s="34" t="s">
        <v>269</v>
      </c>
      <c r="C2276" s="34">
        <v>14.0</v>
      </c>
      <c r="D2276" s="34" t="s">
        <v>270</v>
      </c>
      <c r="E2276" s="34" t="s">
        <v>5596</v>
      </c>
      <c r="F2276" s="34" t="s">
        <v>2426</v>
      </c>
      <c r="G2276" s="34">
        <v>14118.0</v>
      </c>
      <c r="H2276" s="34" t="s">
        <v>273</v>
      </c>
      <c r="I2276" s="34" t="s">
        <v>18</v>
      </c>
      <c r="J2276" s="34" t="s">
        <v>15</v>
      </c>
      <c r="K2276" s="45">
        <v>114.4</v>
      </c>
      <c r="L2276" s="9"/>
      <c r="M2276" s="45">
        <v>114.4</v>
      </c>
    </row>
    <row r="2277">
      <c r="A2277" s="34" t="s">
        <v>70</v>
      </c>
      <c r="B2277" s="34" t="s">
        <v>269</v>
      </c>
      <c r="C2277" s="34">
        <v>14.0</v>
      </c>
      <c r="D2277" s="34" t="s">
        <v>270</v>
      </c>
      <c r="E2277" s="34" t="s">
        <v>5597</v>
      </c>
      <c r="F2277" s="34" t="s">
        <v>5598</v>
      </c>
      <c r="G2277" s="34">
        <v>14258.0</v>
      </c>
      <c r="H2277" s="34" t="s">
        <v>5599</v>
      </c>
      <c r="I2277" s="34" t="s">
        <v>18</v>
      </c>
      <c r="J2277" s="34" t="s">
        <v>14</v>
      </c>
      <c r="K2277" s="45">
        <v>115.9</v>
      </c>
      <c r="L2277" s="45">
        <v>82.0</v>
      </c>
      <c r="M2277" s="45">
        <v>107.5</v>
      </c>
    </row>
    <row r="2278">
      <c r="A2278" s="34" t="s">
        <v>70</v>
      </c>
      <c r="B2278" s="34" t="s">
        <v>269</v>
      </c>
      <c r="C2278" s="34">
        <v>14.0</v>
      </c>
      <c r="D2278" s="34" t="s">
        <v>270</v>
      </c>
      <c r="E2278" s="34" t="s">
        <v>5600</v>
      </c>
      <c r="F2278" s="34" t="s">
        <v>5601</v>
      </c>
      <c r="G2278" s="34">
        <v>14333.0</v>
      </c>
      <c r="H2278" s="34" t="s">
        <v>5602</v>
      </c>
      <c r="I2278" s="34" t="s">
        <v>18</v>
      </c>
      <c r="J2278" s="34" t="s">
        <v>14</v>
      </c>
      <c r="K2278" s="45">
        <v>117.5</v>
      </c>
      <c r="L2278" s="45">
        <v>88.0</v>
      </c>
      <c r="M2278" s="45">
        <v>111.5</v>
      </c>
    </row>
    <row r="2279">
      <c r="A2279" s="34" t="s">
        <v>70</v>
      </c>
      <c r="B2279" s="34" t="s">
        <v>269</v>
      </c>
      <c r="C2279" s="34">
        <v>14.0</v>
      </c>
      <c r="D2279" s="34" t="s">
        <v>270</v>
      </c>
      <c r="E2279" s="34" t="s">
        <v>5603</v>
      </c>
      <c r="F2279" s="34" t="s">
        <v>5604</v>
      </c>
      <c r="G2279" s="34">
        <v>14715.0</v>
      </c>
      <c r="H2279" s="34" t="s">
        <v>5605</v>
      </c>
      <c r="I2279" s="34" t="s">
        <v>17</v>
      </c>
      <c r="J2279" s="34" t="s">
        <v>15</v>
      </c>
      <c r="K2279" s="45">
        <v>126.3</v>
      </c>
      <c r="L2279" s="9"/>
      <c r="M2279" s="45">
        <v>126.3</v>
      </c>
    </row>
    <row r="2280">
      <c r="A2280" s="34" t="s">
        <v>70</v>
      </c>
      <c r="B2280" s="34" t="s">
        <v>269</v>
      </c>
      <c r="C2280" s="34">
        <v>14.0</v>
      </c>
      <c r="D2280" s="34" t="s">
        <v>270</v>
      </c>
      <c r="E2280" s="34" t="s">
        <v>5606</v>
      </c>
      <c r="F2280" s="34" t="s">
        <v>5607</v>
      </c>
      <c r="G2280" s="34">
        <v>14366.0</v>
      </c>
      <c r="H2280" s="34" t="s">
        <v>2301</v>
      </c>
      <c r="I2280" s="34" t="s">
        <v>18</v>
      </c>
      <c r="J2280" s="34" t="s">
        <v>14</v>
      </c>
      <c r="K2280" s="45">
        <v>98.1</v>
      </c>
      <c r="L2280" s="45">
        <v>85.6</v>
      </c>
      <c r="M2280" s="45">
        <v>89.6</v>
      </c>
    </row>
    <row r="2281">
      <c r="A2281" s="34" t="s">
        <v>70</v>
      </c>
      <c r="B2281" s="34" t="s">
        <v>116</v>
      </c>
      <c r="C2281" s="34">
        <v>15.0</v>
      </c>
      <c r="D2281" s="34" t="s">
        <v>2304</v>
      </c>
      <c r="E2281" s="34" t="s">
        <v>5608</v>
      </c>
      <c r="F2281" s="34" t="s">
        <v>5609</v>
      </c>
      <c r="G2281" s="34">
        <v>15014.0</v>
      </c>
      <c r="H2281" s="34" t="s">
        <v>2307</v>
      </c>
      <c r="I2281" s="34" t="s">
        <v>17</v>
      </c>
      <c r="J2281" s="34" t="s">
        <v>14</v>
      </c>
      <c r="K2281" s="45">
        <v>112.0</v>
      </c>
      <c r="L2281" s="45">
        <v>110.6</v>
      </c>
      <c r="M2281" s="45">
        <v>111.3</v>
      </c>
    </row>
    <row r="2282">
      <c r="A2282" s="34" t="s">
        <v>70</v>
      </c>
      <c r="B2282" s="34" t="s">
        <v>116</v>
      </c>
      <c r="C2282" s="34">
        <v>15.0</v>
      </c>
      <c r="D2282" s="34" t="s">
        <v>2304</v>
      </c>
      <c r="E2282" s="34" t="s">
        <v>5610</v>
      </c>
      <c r="F2282" s="34" t="s">
        <v>5611</v>
      </c>
      <c r="G2282" s="34">
        <v>15014.0</v>
      </c>
      <c r="H2282" s="34" t="s">
        <v>2307</v>
      </c>
      <c r="I2282" s="34" t="s">
        <v>17</v>
      </c>
      <c r="J2282" s="34" t="s">
        <v>14</v>
      </c>
      <c r="K2282" s="45">
        <v>108.9</v>
      </c>
      <c r="L2282" s="45">
        <v>93.9</v>
      </c>
      <c r="M2282" s="45">
        <v>101.7</v>
      </c>
    </row>
    <row r="2283">
      <c r="A2283" s="34" t="s">
        <v>70</v>
      </c>
      <c r="B2283" s="34" t="s">
        <v>284</v>
      </c>
      <c r="C2283" s="34">
        <v>16.0</v>
      </c>
      <c r="D2283" s="34" t="s">
        <v>285</v>
      </c>
      <c r="E2283" s="34" t="s">
        <v>5612</v>
      </c>
      <c r="F2283" s="34" t="s">
        <v>5613</v>
      </c>
      <c r="G2283" s="34">
        <v>16028.0</v>
      </c>
      <c r="H2283" s="34" t="s">
        <v>5614</v>
      </c>
      <c r="I2283" s="34" t="s">
        <v>18</v>
      </c>
      <c r="J2283" s="34" t="s">
        <v>15</v>
      </c>
      <c r="K2283" s="45">
        <v>113.5</v>
      </c>
      <c r="L2283" s="9"/>
      <c r="M2283" s="45">
        <v>113.5</v>
      </c>
    </row>
    <row r="2284">
      <c r="A2284" s="34" t="s">
        <v>70</v>
      </c>
      <c r="B2284" s="34" t="s">
        <v>284</v>
      </c>
      <c r="C2284" s="34">
        <v>16.0</v>
      </c>
      <c r="D2284" s="34" t="s">
        <v>285</v>
      </c>
      <c r="E2284" s="34" t="s">
        <v>5615</v>
      </c>
      <c r="F2284" s="34" t="s">
        <v>5616</v>
      </c>
      <c r="G2284" s="34">
        <v>16102.0</v>
      </c>
      <c r="H2284" s="34" t="s">
        <v>2317</v>
      </c>
      <c r="I2284" s="34" t="s">
        <v>17</v>
      </c>
      <c r="J2284" s="34" t="s">
        <v>15</v>
      </c>
      <c r="K2284" s="45">
        <v>117.5</v>
      </c>
      <c r="L2284" s="9"/>
      <c r="M2284" s="45">
        <v>117.5</v>
      </c>
    </row>
    <row r="2285">
      <c r="A2285" s="34" t="s">
        <v>70</v>
      </c>
      <c r="B2285" s="34" t="s">
        <v>284</v>
      </c>
      <c r="C2285" s="34">
        <v>16.0</v>
      </c>
      <c r="D2285" s="34" t="s">
        <v>285</v>
      </c>
      <c r="E2285" s="34" t="s">
        <v>5617</v>
      </c>
      <c r="F2285" s="34" t="s">
        <v>5618</v>
      </c>
      <c r="G2285" s="34">
        <v>16015.0</v>
      </c>
      <c r="H2285" s="34" t="s">
        <v>288</v>
      </c>
      <c r="I2285" s="34" t="s">
        <v>17</v>
      </c>
      <c r="J2285" s="34" t="s">
        <v>15</v>
      </c>
      <c r="K2285" s="45">
        <v>120.0</v>
      </c>
      <c r="L2285" s="9"/>
      <c r="M2285" s="45">
        <v>120.0</v>
      </c>
    </row>
    <row r="2286">
      <c r="A2286" s="34" t="s">
        <v>70</v>
      </c>
      <c r="B2286" s="34" t="s">
        <v>313</v>
      </c>
      <c r="C2286" s="34">
        <v>18.0</v>
      </c>
      <c r="D2286" s="34" t="s">
        <v>314</v>
      </c>
      <c r="E2286" s="34" t="s">
        <v>5619</v>
      </c>
      <c r="F2286" s="34" t="s">
        <v>5620</v>
      </c>
      <c r="G2286" s="34">
        <v>18033.0</v>
      </c>
      <c r="H2286" s="34" t="s">
        <v>4105</v>
      </c>
      <c r="I2286" s="34" t="s">
        <v>18</v>
      </c>
      <c r="J2286" s="34" t="s">
        <v>15</v>
      </c>
      <c r="K2286" s="45">
        <v>113.1</v>
      </c>
      <c r="L2286" s="9"/>
      <c r="M2286" s="45">
        <v>113.1</v>
      </c>
    </row>
    <row r="2287">
      <c r="A2287" s="34" t="s">
        <v>70</v>
      </c>
      <c r="B2287" s="34" t="s">
        <v>322</v>
      </c>
      <c r="C2287" s="34">
        <v>19.0</v>
      </c>
      <c r="D2287" s="34" t="s">
        <v>323</v>
      </c>
      <c r="E2287" s="34" t="s">
        <v>5621</v>
      </c>
      <c r="F2287" s="34" t="s">
        <v>4336</v>
      </c>
      <c r="G2287" s="34">
        <v>19031.0</v>
      </c>
      <c r="H2287" s="34" t="s">
        <v>332</v>
      </c>
      <c r="I2287" s="34" t="s">
        <v>18</v>
      </c>
      <c r="J2287" s="34" t="s">
        <v>14</v>
      </c>
      <c r="K2287" s="45">
        <v>91.8</v>
      </c>
      <c r="L2287" s="45">
        <v>82.3</v>
      </c>
      <c r="M2287" s="45">
        <v>87.7</v>
      </c>
    </row>
    <row r="2288">
      <c r="A2288" s="34" t="s">
        <v>70</v>
      </c>
      <c r="B2288" s="34" t="s">
        <v>322</v>
      </c>
      <c r="C2288" s="34">
        <v>19.0</v>
      </c>
      <c r="D2288" s="34" t="s">
        <v>323</v>
      </c>
      <c r="E2288" s="34" t="s">
        <v>5622</v>
      </c>
      <c r="F2288" s="34" t="s">
        <v>5623</v>
      </c>
      <c r="G2288" s="34">
        <v>19148.0</v>
      </c>
      <c r="H2288" s="34" t="s">
        <v>5624</v>
      </c>
      <c r="I2288" s="34" t="s">
        <v>18</v>
      </c>
      <c r="J2288" s="34" t="s">
        <v>13</v>
      </c>
      <c r="K2288" s="9"/>
      <c r="L2288" s="45">
        <v>102.9</v>
      </c>
      <c r="M2288" s="45">
        <v>102.9</v>
      </c>
    </row>
    <row r="2289">
      <c r="A2289" s="34" t="s">
        <v>70</v>
      </c>
      <c r="B2289" s="34" t="s">
        <v>322</v>
      </c>
      <c r="C2289" s="34">
        <v>19.0</v>
      </c>
      <c r="D2289" s="34" t="s">
        <v>323</v>
      </c>
      <c r="E2289" s="34" t="s">
        <v>5625</v>
      </c>
      <c r="F2289" s="34" t="s">
        <v>5626</v>
      </c>
      <c r="G2289" s="34">
        <v>19272.0</v>
      </c>
      <c r="H2289" s="34" t="s">
        <v>4116</v>
      </c>
      <c r="I2289" s="34" t="s">
        <v>18</v>
      </c>
      <c r="J2289" s="34" t="s">
        <v>15</v>
      </c>
      <c r="K2289" s="45">
        <v>117.6</v>
      </c>
      <c r="L2289" s="9"/>
      <c r="M2289" s="45">
        <v>117.6</v>
      </c>
    </row>
    <row r="2290">
      <c r="A2290" s="34" t="s">
        <v>70</v>
      </c>
      <c r="B2290" s="34" t="s">
        <v>322</v>
      </c>
      <c r="C2290" s="34">
        <v>19.0</v>
      </c>
      <c r="D2290" s="34" t="s">
        <v>323</v>
      </c>
      <c r="E2290" s="34" t="s">
        <v>5627</v>
      </c>
      <c r="F2290" s="34" t="s">
        <v>5628</v>
      </c>
      <c r="G2290" s="34">
        <v>19010.0</v>
      </c>
      <c r="H2290" s="34" t="s">
        <v>5629</v>
      </c>
      <c r="I2290" s="34" t="s">
        <v>17</v>
      </c>
      <c r="J2290" s="34" t="s">
        <v>15</v>
      </c>
      <c r="K2290" s="45">
        <v>91.7</v>
      </c>
      <c r="L2290" s="9"/>
      <c r="M2290" s="45">
        <v>91.7</v>
      </c>
    </row>
    <row r="2291">
      <c r="A2291" s="34" t="s">
        <v>70</v>
      </c>
      <c r="B2291" s="34" t="s">
        <v>322</v>
      </c>
      <c r="C2291" s="34">
        <v>19.0</v>
      </c>
      <c r="D2291" s="34" t="s">
        <v>323</v>
      </c>
      <c r="E2291" s="34" t="s">
        <v>5630</v>
      </c>
      <c r="F2291" s="34" t="s">
        <v>1101</v>
      </c>
      <c r="G2291" s="34">
        <v>19275.0</v>
      </c>
      <c r="H2291" s="34" t="s">
        <v>329</v>
      </c>
      <c r="I2291" s="34" t="s">
        <v>17</v>
      </c>
      <c r="J2291" s="34" t="s">
        <v>14</v>
      </c>
      <c r="K2291" s="45">
        <v>109.2</v>
      </c>
      <c r="L2291" s="45">
        <v>84.2</v>
      </c>
      <c r="M2291" s="45">
        <v>89.3</v>
      </c>
    </row>
    <row r="2292">
      <c r="A2292" s="34" t="s">
        <v>70</v>
      </c>
      <c r="B2292" s="34" t="s">
        <v>333</v>
      </c>
      <c r="C2292" s="34">
        <v>21.0</v>
      </c>
      <c r="D2292" s="34" t="s">
        <v>334</v>
      </c>
      <c r="E2292" s="34" t="s">
        <v>5631</v>
      </c>
      <c r="F2292" s="34" t="s">
        <v>5632</v>
      </c>
      <c r="G2292" s="34">
        <v>21110.0</v>
      </c>
      <c r="H2292" s="34" t="s">
        <v>5633</v>
      </c>
      <c r="I2292" s="34" t="s">
        <v>18</v>
      </c>
      <c r="J2292" s="34" t="s">
        <v>15</v>
      </c>
      <c r="K2292" s="45">
        <v>118.4</v>
      </c>
      <c r="L2292" s="9"/>
      <c r="M2292" s="45">
        <v>118.4</v>
      </c>
    </row>
    <row r="2293">
      <c r="A2293" s="34" t="s">
        <v>70</v>
      </c>
      <c r="B2293" s="34" t="s">
        <v>333</v>
      </c>
      <c r="C2293" s="34">
        <v>21.0</v>
      </c>
      <c r="D2293" s="34" t="s">
        <v>334</v>
      </c>
      <c r="E2293" s="34" t="s">
        <v>5634</v>
      </c>
      <c r="F2293" s="34" t="s">
        <v>5635</v>
      </c>
      <c r="G2293" s="34">
        <v>21425.0</v>
      </c>
      <c r="H2293" s="34" t="s">
        <v>5636</v>
      </c>
      <c r="I2293" s="34" t="s">
        <v>18</v>
      </c>
      <c r="J2293" s="34" t="s">
        <v>13</v>
      </c>
      <c r="K2293" s="9"/>
      <c r="L2293" s="45">
        <v>89.2</v>
      </c>
      <c r="M2293" s="45">
        <v>89.2</v>
      </c>
    </row>
    <row r="2294">
      <c r="A2294" s="34" t="s">
        <v>70</v>
      </c>
      <c r="B2294" s="34" t="s">
        <v>333</v>
      </c>
      <c r="C2294" s="34">
        <v>21.0</v>
      </c>
      <c r="D2294" s="34" t="s">
        <v>334</v>
      </c>
      <c r="E2294" s="34" t="s">
        <v>5637</v>
      </c>
      <c r="F2294" s="34" t="s">
        <v>5638</v>
      </c>
      <c r="G2294" s="34">
        <v>21231.0</v>
      </c>
      <c r="H2294" s="34" t="s">
        <v>333</v>
      </c>
      <c r="I2294" s="34" t="s">
        <v>18</v>
      </c>
      <c r="J2294" s="34" t="s">
        <v>14</v>
      </c>
      <c r="K2294" s="45">
        <v>122.7</v>
      </c>
      <c r="L2294" s="45">
        <v>60.0</v>
      </c>
      <c r="M2294" s="45">
        <v>122.6</v>
      </c>
    </row>
    <row r="2295">
      <c r="A2295" s="34" t="s">
        <v>70</v>
      </c>
      <c r="B2295" s="34" t="s">
        <v>333</v>
      </c>
      <c r="C2295" s="34">
        <v>21.0</v>
      </c>
      <c r="D2295" s="34" t="s">
        <v>334</v>
      </c>
      <c r="E2295" s="34" t="s">
        <v>5639</v>
      </c>
      <c r="F2295" s="34" t="s">
        <v>5640</v>
      </c>
      <c r="G2295" s="34">
        <v>21231.0</v>
      </c>
      <c r="H2295" s="34" t="s">
        <v>333</v>
      </c>
      <c r="I2295" s="34" t="s">
        <v>18</v>
      </c>
      <c r="J2295" s="34" t="s">
        <v>15</v>
      </c>
      <c r="K2295" s="45">
        <v>132.4</v>
      </c>
      <c r="L2295" s="9"/>
      <c r="M2295" s="45">
        <v>132.4</v>
      </c>
    </row>
    <row r="2296">
      <c r="A2296" s="34" t="s">
        <v>70</v>
      </c>
      <c r="B2296" s="34" t="s">
        <v>333</v>
      </c>
      <c r="C2296" s="34">
        <v>21.0</v>
      </c>
      <c r="D2296" s="34" t="s">
        <v>334</v>
      </c>
      <c r="E2296" s="34" t="s">
        <v>5641</v>
      </c>
      <c r="F2296" s="34" t="s">
        <v>5642</v>
      </c>
      <c r="G2296" s="34">
        <v>21231.0</v>
      </c>
      <c r="H2296" s="34" t="s">
        <v>333</v>
      </c>
      <c r="I2296" s="34" t="s">
        <v>18</v>
      </c>
      <c r="J2296" s="34" t="s">
        <v>14</v>
      </c>
      <c r="K2296" s="45">
        <v>107.0</v>
      </c>
      <c r="L2296" s="45">
        <v>87.2</v>
      </c>
      <c r="M2296" s="45">
        <v>90.3</v>
      </c>
    </row>
    <row r="2297">
      <c r="A2297" s="34" t="s">
        <v>70</v>
      </c>
      <c r="B2297" s="34" t="s">
        <v>333</v>
      </c>
      <c r="C2297" s="34">
        <v>21.0</v>
      </c>
      <c r="D2297" s="34" t="s">
        <v>334</v>
      </c>
      <c r="E2297" s="34" t="s">
        <v>5643</v>
      </c>
      <c r="F2297" s="34" t="s">
        <v>3316</v>
      </c>
      <c r="G2297" s="34">
        <v>21231.0</v>
      </c>
      <c r="H2297" s="34" t="s">
        <v>333</v>
      </c>
      <c r="I2297" s="34" t="s">
        <v>18</v>
      </c>
      <c r="J2297" s="34" t="s">
        <v>14</v>
      </c>
      <c r="K2297" s="45">
        <v>100.5</v>
      </c>
      <c r="L2297" s="45">
        <v>83.5</v>
      </c>
      <c r="M2297" s="45">
        <v>88.9</v>
      </c>
    </row>
    <row r="2298">
      <c r="A2298" s="34" t="s">
        <v>70</v>
      </c>
      <c r="B2298" s="34" t="s">
        <v>333</v>
      </c>
      <c r="C2298" s="34">
        <v>21.0</v>
      </c>
      <c r="D2298" s="34" t="s">
        <v>334</v>
      </c>
      <c r="E2298" s="34" t="s">
        <v>5644</v>
      </c>
      <c r="F2298" s="34" t="s">
        <v>5645</v>
      </c>
      <c r="G2298" s="34">
        <v>21154.0</v>
      </c>
      <c r="H2298" s="34" t="s">
        <v>340</v>
      </c>
      <c r="I2298" s="34" t="s">
        <v>17</v>
      </c>
      <c r="J2298" s="34" t="s">
        <v>14</v>
      </c>
      <c r="K2298" s="45">
        <v>103.3</v>
      </c>
      <c r="L2298" s="45">
        <v>86.3</v>
      </c>
      <c r="M2298" s="45">
        <v>87.8</v>
      </c>
    </row>
    <row r="2299">
      <c r="A2299" s="34" t="s">
        <v>70</v>
      </c>
      <c r="B2299" s="34" t="s">
        <v>354</v>
      </c>
      <c r="C2299" s="34">
        <v>22.0</v>
      </c>
      <c r="D2299" s="34" t="s">
        <v>355</v>
      </c>
      <c r="E2299" s="34" t="s">
        <v>5646</v>
      </c>
      <c r="F2299" s="34" t="s">
        <v>5647</v>
      </c>
      <c r="G2299" s="34">
        <v>22278.0</v>
      </c>
      <c r="H2299" s="34" t="s">
        <v>361</v>
      </c>
      <c r="I2299" s="34" t="s">
        <v>18</v>
      </c>
      <c r="J2299" s="34" t="s">
        <v>15</v>
      </c>
      <c r="K2299" s="45">
        <v>112.1</v>
      </c>
      <c r="L2299" s="9"/>
      <c r="M2299" s="45">
        <v>112.1</v>
      </c>
    </row>
    <row r="2300">
      <c r="A2300" s="34" t="s">
        <v>70</v>
      </c>
      <c r="B2300" s="34" t="s">
        <v>354</v>
      </c>
      <c r="C2300" s="34">
        <v>22.0</v>
      </c>
      <c r="D2300" s="34" t="s">
        <v>355</v>
      </c>
      <c r="E2300" s="34" t="s">
        <v>5648</v>
      </c>
      <c r="F2300" s="34" t="s">
        <v>5649</v>
      </c>
      <c r="G2300" s="34">
        <v>22278.0</v>
      </c>
      <c r="H2300" s="34" t="s">
        <v>361</v>
      </c>
      <c r="I2300" s="34" t="s">
        <v>18</v>
      </c>
      <c r="J2300" s="34" t="s">
        <v>15</v>
      </c>
      <c r="K2300" s="45">
        <v>119.3</v>
      </c>
      <c r="L2300" s="9"/>
      <c r="M2300" s="45">
        <v>119.3</v>
      </c>
    </row>
    <row r="2301">
      <c r="A2301" s="34" t="s">
        <v>70</v>
      </c>
      <c r="B2301" s="34" t="s">
        <v>354</v>
      </c>
      <c r="C2301" s="34">
        <v>22.0</v>
      </c>
      <c r="D2301" s="34" t="s">
        <v>355</v>
      </c>
      <c r="E2301" s="34" t="s">
        <v>5650</v>
      </c>
      <c r="F2301" s="34" t="s">
        <v>5651</v>
      </c>
      <c r="G2301" s="34">
        <v>22278.0</v>
      </c>
      <c r="H2301" s="34" t="s">
        <v>361</v>
      </c>
      <c r="I2301" s="34" t="s">
        <v>18</v>
      </c>
      <c r="J2301" s="34" t="s">
        <v>15</v>
      </c>
      <c r="K2301" s="45">
        <v>119.9</v>
      </c>
      <c r="L2301" s="9"/>
      <c r="M2301" s="45">
        <v>119.9</v>
      </c>
    </row>
    <row r="2302">
      <c r="A2302" s="34" t="s">
        <v>70</v>
      </c>
      <c r="B2302" s="34" t="s">
        <v>354</v>
      </c>
      <c r="C2302" s="34">
        <v>22.0</v>
      </c>
      <c r="D2302" s="34" t="s">
        <v>355</v>
      </c>
      <c r="E2302" s="34" t="s">
        <v>5652</v>
      </c>
      <c r="F2302" s="34" t="s">
        <v>5653</v>
      </c>
      <c r="G2302" s="34">
        <v>22325.0</v>
      </c>
      <c r="H2302" s="34" t="s">
        <v>5654</v>
      </c>
      <c r="I2302" s="34" t="s">
        <v>18</v>
      </c>
      <c r="J2302" s="34" t="s">
        <v>13</v>
      </c>
      <c r="K2302" s="9"/>
      <c r="L2302" s="45">
        <v>94.4</v>
      </c>
      <c r="M2302" s="45">
        <v>94.4</v>
      </c>
    </row>
    <row r="2303">
      <c r="A2303" s="34" t="s">
        <v>70</v>
      </c>
      <c r="B2303" s="34" t="s">
        <v>354</v>
      </c>
      <c r="C2303" s="34">
        <v>22.0</v>
      </c>
      <c r="D2303" s="34" t="s">
        <v>355</v>
      </c>
      <c r="E2303" s="34" t="s">
        <v>5655</v>
      </c>
      <c r="F2303" s="34" t="s">
        <v>5656</v>
      </c>
      <c r="G2303" s="34">
        <v>22362.0</v>
      </c>
      <c r="H2303" s="34" t="s">
        <v>2358</v>
      </c>
      <c r="I2303" s="34" t="s">
        <v>18</v>
      </c>
      <c r="J2303" s="34" t="s">
        <v>13</v>
      </c>
      <c r="K2303" s="9"/>
      <c r="L2303" s="45">
        <v>95.3</v>
      </c>
      <c r="M2303" s="45">
        <v>95.3</v>
      </c>
    </row>
    <row r="2304">
      <c r="A2304" s="34" t="s">
        <v>70</v>
      </c>
      <c r="B2304" s="34" t="s">
        <v>354</v>
      </c>
      <c r="C2304" s="34">
        <v>22.0</v>
      </c>
      <c r="D2304" s="34" t="s">
        <v>355</v>
      </c>
      <c r="E2304" s="34" t="s">
        <v>5657</v>
      </c>
      <c r="F2304" s="34" t="s">
        <v>5658</v>
      </c>
      <c r="G2304" s="34">
        <v>22266.0</v>
      </c>
      <c r="H2304" s="34" t="s">
        <v>4145</v>
      </c>
      <c r="I2304" s="34" t="s">
        <v>18</v>
      </c>
      <c r="J2304" s="34" t="s">
        <v>13</v>
      </c>
      <c r="K2304" s="9"/>
      <c r="L2304" s="45">
        <v>86.1</v>
      </c>
      <c r="M2304" s="45">
        <v>86.1</v>
      </c>
    </row>
    <row r="2305">
      <c r="A2305" s="34" t="s">
        <v>70</v>
      </c>
      <c r="B2305" s="34" t="s">
        <v>354</v>
      </c>
      <c r="C2305" s="34">
        <v>22.0</v>
      </c>
      <c r="D2305" s="34" t="s">
        <v>355</v>
      </c>
      <c r="E2305" s="34" t="s">
        <v>5659</v>
      </c>
      <c r="F2305" s="34" t="s">
        <v>5660</v>
      </c>
      <c r="G2305" s="34">
        <v>22093.0</v>
      </c>
      <c r="H2305" s="34" t="s">
        <v>4140</v>
      </c>
      <c r="I2305" s="34" t="s">
        <v>18</v>
      </c>
      <c r="J2305" s="34" t="s">
        <v>14</v>
      </c>
      <c r="K2305" s="45">
        <v>115.3</v>
      </c>
      <c r="L2305" s="45">
        <v>92.8</v>
      </c>
      <c r="M2305" s="45">
        <v>109.1</v>
      </c>
    </row>
    <row r="2306">
      <c r="A2306" s="34" t="s">
        <v>70</v>
      </c>
      <c r="B2306" s="34" t="s">
        <v>354</v>
      </c>
      <c r="C2306" s="34">
        <v>22.0</v>
      </c>
      <c r="D2306" s="34" t="s">
        <v>355</v>
      </c>
      <c r="E2306" s="34" t="s">
        <v>5661</v>
      </c>
      <c r="F2306" s="34" t="s">
        <v>5662</v>
      </c>
      <c r="G2306" s="34">
        <v>22162.0</v>
      </c>
      <c r="H2306" s="34" t="s">
        <v>5663</v>
      </c>
      <c r="I2306" s="34" t="s">
        <v>18</v>
      </c>
      <c r="J2306" s="34" t="s">
        <v>14</v>
      </c>
      <c r="K2306" s="45">
        <v>117.0</v>
      </c>
      <c r="L2306" s="45">
        <v>89.4</v>
      </c>
      <c r="M2306" s="45">
        <v>110.1</v>
      </c>
    </row>
    <row r="2307">
      <c r="A2307" s="34" t="s">
        <v>70</v>
      </c>
      <c r="B2307" s="34" t="s">
        <v>354</v>
      </c>
      <c r="C2307" s="34">
        <v>22.0</v>
      </c>
      <c r="D2307" s="34" t="s">
        <v>355</v>
      </c>
      <c r="E2307" s="34" t="s">
        <v>5664</v>
      </c>
      <c r="F2307" s="34" t="s">
        <v>5665</v>
      </c>
      <c r="G2307" s="34">
        <v>22050.0</v>
      </c>
      <c r="H2307" s="34" t="s">
        <v>2348</v>
      </c>
      <c r="I2307" s="34" t="s">
        <v>18</v>
      </c>
      <c r="J2307" s="34" t="s">
        <v>13</v>
      </c>
      <c r="K2307" s="9"/>
      <c r="L2307" s="45">
        <v>95.3</v>
      </c>
      <c r="M2307" s="45">
        <v>95.3</v>
      </c>
    </row>
    <row r="2308">
      <c r="A2308" s="34" t="s">
        <v>70</v>
      </c>
      <c r="B2308" s="34" t="s">
        <v>354</v>
      </c>
      <c r="C2308" s="34">
        <v>22.0</v>
      </c>
      <c r="D2308" s="34" t="s">
        <v>355</v>
      </c>
      <c r="E2308" s="34" t="s">
        <v>5666</v>
      </c>
      <c r="F2308" s="34" t="s">
        <v>218</v>
      </c>
      <c r="G2308" s="34">
        <v>22093.0</v>
      </c>
      <c r="H2308" s="34" t="s">
        <v>4140</v>
      </c>
      <c r="I2308" s="34" t="s">
        <v>17</v>
      </c>
      <c r="J2308" s="34" t="s">
        <v>13</v>
      </c>
      <c r="K2308" s="9"/>
      <c r="L2308" s="45">
        <v>86.9</v>
      </c>
      <c r="M2308" s="45">
        <v>86.9</v>
      </c>
    </row>
    <row r="2309">
      <c r="A2309" s="34" t="s">
        <v>70</v>
      </c>
      <c r="B2309" s="34" t="s">
        <v>322</v>
      </c>
      <c r="C2309" s="34">
        <v>23.0</v>
      </c>
      <c r="D2309" s="34" t="s">
        <v>370</v>
      </c>
      <c r="E2309" s="34" t="s">
        <v>5667</v>
      </c>
      <c r="F2309" s="34" t="s">
        <v>5668</v>
      </c>
      <c r="G2309" s="34">
        <v>23008.0</v>
      </c>
      <c r="H2309" s="34" t="s">
        <v>2370</v>
      </c>
      <c r="I2309" s="34" t="s">
        <v>18</v>
      </c>
      <c r="J2309" s="34" t="s">
        <v>13</v>
      </c>
      <c r="K2309" s="9"/>
      <c r="L2309" s="45">
        <v>82.9</v>
      </c>
      <c r="M2309" s="45">
        <v>82.9</v>
      </c>
    </row>
    <row r="2310">
      <c r="A2310" s="34" t="s">
        <v>70</v>
      </c>
      <c r="B2310" s="34" t="s">
        <v>322</v>
      </c>
      <c r="C2310" s="34">
        <v>23.0</v>
      </c>
      <c r="D2310" s="34" t="s">
        <v>370</v>
      </c>
      <c r="E2310" s="34" t="s">
        <v>5669</v>
      </c>
      <c r="F2310" s="34" t="s">
        <v>5670</v>
      </c>
      <c r="G2310" s="34">
        <v>23247.0</v>
      </c>
      <c r="H2310" s="34" t="s">
        <v>5671</v>
      </c>
      <c r="I2310" s="34" t="s">
        <v>18</v>
      </c>
      <c r="J2310" s="34" t="s">
        <v>13</v>
      </c>
      <c r="K2310" s="9"/>
      <c r="L2310" s="45">
        <v>89.9</v>
      </c>
      <c r="M2310" s="45">
        <v>89.9</v>
      </c>
    </row>
    <row r="2311">
      <c r="A2311" s="34" t="s">
        <v>70</v>
      </c>
      <c r="B2311" s="34" t="s">
        <v>377</v>
      </c>
      <c r="C2311" s="34">
        <v>24.0</v>
      </c>
      <c r="D2311" s="34" t="s">
        <v>378</v>
      </c>
      <c r="E2311" s="34" t="s">
        <v>5672</v>
      </c>
      <c r="F2311" s="34" t="s">
        <v>5673</v>
      </c>
      <c r="G2311" s="34">
        <v>24037.0</v>
      </c>
      <c r="H2311" s="34" t="s">
        <v>2376</v>
      </c>
      <c r="I2311" s="34" t="s">
        <v>18</v>
      </c>
      <c r="J2311" s="34" t="s">
        <v>13</v>
      </c>
      <c r="K2311" s="9"/>
      <c r="L2311" s="45">
        <v>85.7</v>
      </c>
      <c r="M2311" s="45">
        <v>85.7</v>
      </c>
    </row>
    <row r="2312">
      <c r="A2312" s="34" t="s">
        <v>70</v>
      </c>
      <c r="B2312" s="34" t="s">
        <v>377</v>
      </c>
      <c r="C2312" s="34">
        <v>24.0</v>
      </c>
      <c r="D2312" s="34" t="s">
        <v>378</v>
      </c>
      <c r="E2312" s="34" t="s">
        <v>5674</v>
      </c>
      <c r="F2312" s="34" t="s">
        <v>5675</v>
      </c>
      <c r="G2312" s="34">
        <v>24352.0</v>
      </c>
      <c r="H2312" s="34" t="s">
        <v>2391</v>
      </c>
      <c r="I2312" s="34" t="s">
        <v>18</v>
      </c>
      <c r="J2312" s="34" t="s">
        <v>15</v>
      </c>
      <c r="K2312" s="45">
        <v>103.8</v>
      </c>
      <c r="L2312" s="9"/>
      <c r="M2312" s="45">
        <v>103.8</v>
      </c>
    </row>
    <row r="2313">
      <c r="A2313" s="34" t="s">
        <v>70</v>
      </c>
      <c r="B2313" s="34" t="s">
        <v>377</v>
      </c>
      <c r="C2313" s="34">
        <v>24.0</v>
      </c>
      <c r="D2313" s="34" t="s">
        <v>378</v>
      </c>
      <c r="E2313" s="34" t="s">
        <v>5676</v>
      </c>
      <c r="F2313" s="34" t="s">
        <v>5677</v>
      </c>
      <c r="G2313" s="34">
        <v>24322.0</v>
      </c>
      <c r="H2313" s="34" t="s">
        <v>2384</v>
      </c>
      <c r="I2313" s="34" t="s">
        <v>18</v>
      </c>
      <c r="J2313" s="34" t="s">
        <v>15</v>
      </c>
      <c r="K2313" s="45">
        <v>113.1</v>
      </c>
      <c r="L2313" s="9"/>
      <c r="M2313" s="45">
        <v>113.1</v>
      </c>
    </row>
    <row r="2314">
      <c r="A2314" s="34" t="s">
        <v>70</v>
      </c>
      <c r="B2314" s="34" t="s">
        <v>393</v>
      </c>
      <c r="C2314" s="34">
        <v>25.0</v>
      </c>
      <c r="D2314" s="34" t="s">
        <v>394</v>
      </c>
      <c r="E2314" s="34" t="s">
        <v>5678</v>
      </c>
      <c r="F2314" s="34" t="s">
        <v>5679</v>
      </c>
      <c r="G2314" s="34">
        <v>25047.0</v>
      </c>
      <c r="H2314" s="34" t="s">
        <v>5680</v>
      </c>
      <c r="I2314" s="34" t="s">
        <v>18</v>
      </c>
      <c r="J2314" s="34" t="s">
        <v>13</v>
      </c>
      <c r="K2314" s="9"/>
      <c r="L2314" s="45">
        <v>80.9</v>
      </c>
      <c r="M2314" s="45">
        <v>80.9</v>
      </c>
    </row>
    <row r="2315">
      <c r="A2315" s="34" t="s">
        <v>70</v>
      </c>
      <c r="B2315" s="34" t="s">
        <v>393</v>
      </c>
      <c r="C2315" s="34">
        <v>25.0</v>
      </c>
      <c r="D2315" s="34" t="s">
        <v>394</v>
      </c>
      <c r="E2315" s="34" t="s">
        <v>5681</v>
      </c>
      <c r="F2315" s="34" t="s">
        <v>5682</v>
      </c>
      <c r="G2315" s="34">
        <v>25056.0</v>
      </c>
      <c r="H2315" s="34" t="s">
        <v>393</v>
      </c>
      <c r="I2315" s="34" t="s">
        <v>17</v>
      </c>
      <c r="J2315" s="34" t="s">
        <v>15</v>
      </c>
      <c r="K2315" s="45">
        <v>125.6</v>
      </c>
      <c r="L2315" s="9"/>
      <c r="M2315" s="45">
        <v>125.6</v>
      </c>
    </row>
    <row r="2316">
      <c r="A2316" s="34" t="s">
        <v>70</v>
      </c>
      <c r="B2316" s="34" t="s">
        <v>393</v>
      </c>
      <c r="C2316" s="34">
        <v>25.0</v>
      </c>
      <c r="D2316" s="34" t="s">
        <v>394</v>
      </c>
      <c r="E2316" s="34" t="s">
        <v>5683</v>
      </c>
      <c r="F2316" s="34" t="s">
        <v>5684</v>
      </c>
      <c r="G2316" s="34">
        <v>25056.0</v>
      </c>
      <c r="H2316" s="34" t="s">
        <v>393</v>
      </c>
      <c r="I2316" s="34" t="s">
        <v>17</v>
      </c>
      <c r="J2316" s="34" t="s">
        <v>13</v>
      </c>
      <c r="K2316" s="9"/>
      <c r="L2316" s="45">
        <v>100.0</v>
      </c>
      <c r="M2316" s="45">
        <v>100.0</v>
      </c>
    </row>
    <row r="2317">
      <c r="A2317" s="34" t="s">
        <v>70</v>
      </c>
      <c r="B2317" s="34" t="s">
        <v>393</v>
      </c>
      <c r="C2317" s="34">
        <v>25.0</v>
      </c>
      <c r="D2317" s="34" t="s">
        <v>394</v>
      </c>
      <c r="E2317" s="34" t="s">
        <v>5685</v>
      </c>
      <c r="F2317" s="34" t="s">
        <v>5686</v>
      </c>
      <c r="G2317" s="34">
        <v>25411.0</v>
      </c>
      <c r="H2317" s="34" t="s">
        <v>5687</v>
      </c>
      <c r="I2317" s="34" t="s">
        <v>18</v>
      </c>
      <c r="J2317" s="34" t="s">
        <v>14</v>
      </c>
      <c r="K2317" s="45">
        <v>111.0</v>
      </c>
      <c r="L2317" s="45">
        <v>98.2</v>
      </c>
      <c r="M2317" s="45">
        <v>106.8</v>
      </c>
    </row>
    <row r="2318">
      <c r="A2318" s="34" t="s">
        <v>70</v>
      </c>
      <c r="B2318" s="34" t="s">
        <v>161</v>
      </c>
      <c r="C2318" s="34">
        <v>26.0</v>
      </c>
      <c r="D2318" s="34" t="s">
        <v>402</v>
      </c>
      <c r="E2318" s="34" t="s">
        <v>5688</v>
      </c>
      <c r="F2318" s="34" t="s">
        <v>5689</v>
      </c>
      <c r="G2318" s="34">
        <v>26198.0</v>
      </c>
      <c r="H2318" s="34" t="s">
        <v>2419</v>
      </c>
      <c r="I2318" s="34" t="s">
        <v>18</v>
      </c>
      <c r="J2318" s="34" t="s">
        <v>15</v>
      </c>
      <c r="K2318" s="45">
        <v>115.6</v>
      </c>
      <c r="L2318" s="9"/>
      <c r="M2318" s="45">
        <v>115.6</v>
      </c>
    </row>
    <row r="2319">
      <c r="A2319" s="34" t="s">
        <v>70</v>
      </c>
      <c r="B2319" s="34" t="s">
        <v>161</v>
      </c>
      <c r="C2319" s="34">
        <v>26.0</v>
      </c>
      <c r="D2319" s="34" t="s">
        <v>402</v>
      </c>
      <c r="E2319" s="34" t="s">
        <v>5690</v>
      </c>
      <c r="F2319" s="34" t="s">
        <v>5691</v>
      </c>
      <c r="G2319" s="34">
        <v>26281.0</v>
      </c>
      <c r="H2319" s="34" t="s">
        <v>2414</v>
      </c>
      <c r="I2319" s="34" t="s">
        <v>18</v>
      </c>
      <c r="J2319" s="34" t="s">
        <v>13</v>
      </c>
      <c r="K2319" s="9"/>
      <c r="L2319" s="45">
        <v>83.4</v>
      </c>
      <c r="M2319" s="45">
        <v>83.4</v>
      </c>
    </row>
    <row r="2320">
      <c r="A2320" s="34" t="s">
        <v>70</v>
      </c>
      <c r="B2320" s="34" t="s">
        <v>161</v>
      </c>
      <c r="C2320" s="34">
        <v>26.0</v>
      </c>
      <c r="D2320" s="34" t="s">
        <v>402</v>
      </c>
      <c r="E2320" s="34" t="s">
        <v>5692</v>
      </c>
      <c r="F2320" s="34" t="s">
        <v>5693</v>
      </c>
      <c r="G2320" s="34">
        <v>26281.0</v>
      </c>
      <c r="H2320" s="34" t="s">
        <v>2414</v>
      </c>
      <c r="I2320" s="34" t="s">
        <v>17</v>
      </c>
      <c r="J2320" s="34" t="s">
        <v>15</v>
      </c>
      <c r="K2320" s="45">
        <v>111.8</v>
      </c>
      <c r="L2320" s="9"/>
      <c r="M2320" s="45">
        <v>111.8</v>
      </c>
    </row>
    <row r="2321">
      <c r="A2321" s="34" t="s">
        <v>70</v>
      </c>
      <c r="B2321" s="34" t="s">
        <v>161</v>
      </c>
      <c r="C2321" s="34">
        <v>26.0</v>
      </c>
      <c r="D2321" s="34" t="s">
        <v>402</v>
      </c>
      <c r="E2321" s="34" t="s">
        <v>5694</v>
      </c>
      <c r="F2321" s="34" t="s">
        <v>2197</v>
      </c>
      <c r="G2321" s="34">
        <v>26362.0</v>
      </c>
      <c r="H2321" s="34" t="s">
        <v>411</v>
      </c>
      <c r="I2321" s="34" t="s">
        <v>17</v>
      </c>
      <c r="J2321" s="34" t="s">
        <v>15</v>
      </c>
      <c r="K2321" s="45">
        <v>124.1</v>
      </c>
      <c r="L2321" s="9"/>
      <c r="M2321" s="45">
        <v>124.1</v>
      </c>
    </row>
    <row r="2322">
      <c r="A2322" s="34" t="s">
        <v>70</v>
      </c>
      <c r="B2322" s="34" t="s">
        <v>161</v>
      </c>
      <c r="C2322" s="34">
        <v>26.0</v>
      </c>
      <c r="D2322" s="34" t="s">
        <v>402</v>
      </c>
      <c r="E2322" s="34" t="s">
        <v>5695</v>
      </c>
      <c r="F2322" s="34" t="s">
        <v>5696</v>
      </c>
      <c r="G2322" s="34">
        <v>26281.0</v>
      </c>
      <c r="H2322" s="34" t="s">
        <v>2414</v>
      </c>
      <c r="I2322" s="34" t="s">
        <v>17</v>
      </c>
      <c r="J2322" s="34" t="s">
        <v>13</v>
      </c>
      <c r="K2322" s="9"/>
      <c r="L2322" s="45">
        <v>93.0</v>
      </c>
      <c r="M2322" s="45">
        <v>93.0</v>
      </c>
    </row>
    <row r="2323">
      <c r="A2323" s="34" t="s">
        <v>70</v>
      </c>
      <c r="B2323" s="34" t="s">
        <v>161</v>
      </c>
      <c r="C2323" s="34">
        <v>26.0</v>
      </c>
      <c r="D2323" s="34" t="s">
        <v>402</v>
      </c>
      <c r="E2323" s="34" t="s">
        <v>5697</v>
      </c>
      <c r="F2323" s="34" t="s">
        <v>5698</v>
      </c>
      <c r="G2323" s="34">
        <v>26198.0</v>
      </c>
      <c r="H2323" s="34" t="s">
        <v>2419</v>
      </c>
      <c r="I2323" s="34" t="s">
        <v>18</v>
      </c>
      <c r="J2323" s="34" t="s">
        <v>14</v>
      </c>
      <c r="K2323" s="45">
        <v>110.1</v>
      </c>
      <c r="L2323" s="45">
        <v>82.5</v>
      </c>
      <c r="M2323" s="45">
        <v>96.2</v>
      </c>
    </row>
    <row r="2324">
      <c r="A2324" s="34" t="s">
        <v>70</v>
      </c>
      <c r="B2324" s="34" t="s">
        <v>161</v>
      </c>
      <c r="C2324" s="34">
        <v>26.0</v>
      </c>
      <c r="D2324" s="34" t="s">
        <v>402</v>
      </c>
      <c r="E2324" s="34" t="s">
        <v>5699</v>
      </c>
      <c r="F2324" s="34" t="s">
        <v>5700</v>
      </c>
      <c r="G2324" s="34">
        <v>26058.0</v>
      </c>
      <c r="H2324" s="34" t="s">
        <v>5701</v>
      </c>
      <c r="I2324" s="34" t="s">
        <v>18</v>
      </c>
      <c r="J2324" s="34" t="s">
        <v>15</v>
      </c>
      <c r="K2324" s="45">
        <v>99.3</v>
      </c>
      <c r="L2324" s="9"/>
      <c r="M2324" s="45">
        <v>99.3</v>
      </c>
    </row>
    <row r="2325">
      <c r="A2325" s="34" t="s">
        <v>70</v>
      </c>
      <c r="B2325" s="34" t="s">
        <v>269</v>
      </c>
      <c r="C2325" s="34">
        <v>27.0</v>
      </c>
      <c r="D2325" s="34" t="s">
        <v>417</v>
      </c>
      <c r="E2325" s="34" t="s">
        <v>5702</v>
      </c>
      <c r="F2325" s="34" t="s">
        <v>5703</v>
      </c>
      <c r="G2325" s="34">
        <v>27229.0</v>
      </c>
      <c r="H2325" s="34" t="s">
        <v>420</v>
      </c>
      <c r="I2325" s="34" t="s">
        <v>18</v>
      </c>
      <c r="J2325" s="34" t="s">
        <v>13</v>
      </c>
      <c r="K2325" s="9"/>
      <c r="L2325" s="45">
        <v>78.9</v>
      </c>
      <c r="M2325" s="45">
        <v>78.9</v>
      </c>
    </row>
    <row r="2326">
      <c r="A2326" s="34" t="s">
        <v>70</v>
      </c>
      <c r="B2326" s="34" t="s">
        <v>269</v>
      </c>
      <c r="C2326" s="34">
        <v>27.0</v>
      </c>
      <c r="D2326" s="34" t="s">
        <v>417</v>
      </c>
      <c r="E2326" s="34" t="s">
        <v>5704</v>
      </c>
      <c r="F2326" s="34" t="s">
        <v>5705</v>
      </c>
      <c r="G2326" s="34">
        <v>27679.0</v>
      </c>
      <c r="H2326" s="34" t="s">
        <v>429</v>
      </c>
      <c r="I2326" s="34" t="s">
        <v>18</v>
      </c>
      <c r="J2326" s="34" t="s">
        <v>15</v>
      </c>
      <c r="K2326" s="45">
        <v>110.3</v>
      </c>
      <c r="L2326" s="9"/>
      <c r="M2326" s="45">
        <v>110.3</v>
      </c>
    </row>
    <row r="2327">
      <c r="A2327" s="34" t="s">
        <v>70</v>
      </c>
      <c r="B2327" s="34" t="s">
        <v>269</v>
      </c>
      <c r="C2327" s="34">
        <v>27.0</v>
      </c>
      <c r="D2327" s="34" t="s">
        <v>417</v>
      </c>
      <c r="E2327" s="34" t="s">
        <v>5706</v>
      </c>
      <c r="F2327" s="34" t="s">
        <v>5707</v>
      </c>
      <c r="G2327" s="34">
        <v>27681.0</v>
      </c>
      <c r="H2327" s="34" t="s">
        <v>2433</v>
      </c>
      <c r="I2327" s="34" t="s">
        <v>18</v>
      </c>
      <c r="J2327" s="34" t="s">
        <v>15</v>
      </c>
      <c r="K2327" s="45">
        <v>114.9</v>
      </c>
      <c r="L2327" s="9"/>
      <c r="M2327" s="45">
        <v>114.9</v>
      </c>
    </row>
    <row r="2328">
      <c r="A2328" s="34" t="s">
        <v>70</v>
      </c>
      <c r="B2328" s="34" t="s">
        <v>269</v>
      </c>
      <c r="C2328" s="34">
        <v>27.0</v>
      </c>
      <c r="D2328" s="34" t="s">
        <v>417</v>
      </c>
      <c r="E2328" s="34" t="s">
        <v>5708</v>
      </c>
      <c r="F2328" s="34" t="s">
        <v>5709</v>
      </c>
      <c r="G2328" s="34">
        <v>27681.0</v>
      </c>
      <c r="H2328" s="34" t="s">
        <v>2433</v>
      </c>
      <c r="I2328" s="34" t="s">
        <v>17</v>
      </c>
      <c r="J2328" s="34" t="s">
        <v>13</v>
      </c>
      <c r="K2328" s="9"/>
      <c r="L2328" s="45">
        <v>98.4</v>
      </c>
      <c r="M2328" s="45">
        <v>98.4</v>
      </c>
    </row>
    <row r="2329">
      <c r="A2329" s="34" t="s">
        <v>70</v>
      </c>
      <c r="B2329" s="34" t="s">
        <v>269</v>
      </c>
      <c r="C2329" s="34">
        <v>27.0</v>
      </c>
      <c r="D2329" s="34" t="s">
        <v>417</v>
      </c>
      <c r="E2329" s="34" t="s">
        <v>5710</v>
      </c>
      <c r="F2329" s="34" t="s">
        <v>5711</v>
      </c>
      <c r="G2329" s="34">
        <v>27229.0</v>
      </c>
      <c r="H2329" s="34" t="s">
        <v>420</v>
      </c>
      <c r="I2329" s="34" t="s">
        <v>18</v>
      </c>
      <c r="J2329" s="34" t="s">
        <v>13</v>
      </c>
      <c r="K2329" s="9"/>
      <c r="L2329" s="45">
        <v>85.3</v>
      </c>
      <c r="M2329" s="45">
        <v>85.3</v>
      </c>
    </row>
    <row r="2330">
      <c r="A2330" s="34" t="s">
        <v>70</v>
      </c>
      <c r="B2330" s="34" t="s">
        <v>269</v>
      </c>
      <c r="C2330" s="34">
        <v>27.0</v>
      </c>
      <c r="D2330" s="34" t="s">
        <v>417</v>
      </c>
      <c r="E2330" s="34" t="s">
        <v>5712</v>
      </c>
      <c r="F2330" s="34" t="s">
        <v>3442</v>
      </c>
      <c r="G2330" s="34">
        <v>27056.0</v>
      </c>
      <c r="H2330" s="34" t="s">
        <v>2427</v>
      </c>
      <c r="I2330" s="34" t="s">
        <v>18</v>
      </c>
      <c r="J2330" s="34" t="s">
        <v>13</v>
      </c>
      <c r="K2330" s="9"/>
      <c r="L2330" s="45">
        <v>85.4</v>
      </c>
      <c r="M2330" s="45">
        <v>85.4</v>
      </c>
    </row>
    <row r="2331">
      <c r="A2331" s="34" t="s">
        <v>70</v>
      </c>
      <c r="B2331" s="34" t="s">
        <v>313</v>
      </c>
      <c r="C2331" s="34">
        <v>28.0</v>
      </c>
      <c r="D2331" s="34" t="s">
        <v>434</v>
      </c>
      <c r="E2331" s="34" t="s">
        <v>5713</v>
      </c>
      <c r="F2331" s="34" t="s">
        <v>1617</v>
      </c>
      <c r="G2331" s="34">
        <v>28085.0</v>
      </c>
      <c r="H2331" s="34" t="s">
        <v>437</v>
      </c>
      <c r="I2331" s="34" t="s">
        <v>17</v>
      </c>
      <c r="J2331" s="34" t="s">
        <v>15</v>
      </c>
      <c r="K2331" s="45">
        <v>134.4</v>
      </c>
      <c r="L2331" s="9"/>
      <c r="M2331" s="45">
        <v>134.4</v>
      </c>
    </row>
    <row r="2332">
      <c r="A2332" s="34" t="s">
        <v>70</v>
      </c>
      <c r="B2332" s="34" t="s">
        <v>313</v>
      </c>
      <c r="C2332" s="34">
        <v>28.0</v>
      </c>
      <c r="D2332" s="34" t="s">
        <v>434</v>
      </c>
      <c r="E2332" s="34" t="s">
        <v>5714</v>
      </c>
      <c r="F2332" s="34" t="s">
        <v>5715</v>
      </c>
      <c r="G2332" s="34">
        <v>28280.0</v>
      </c>
      <c r="H2332" s="34" t="s">
        <v>443</v>
      </c>
      <c r="I2332" s="34" t="s">
        <v>18</v>
      </c>
      <c r="J2332" s="34" t="s">
        <v>13</v>
      </c>
      <c r="K2332" s="9"/>
      <c r="L2332" s="45">
        <v>96.5</v>
      </c>
      <c r="M2332" s="45">
        <v>96.5</v>
      </c>
    </row>
    <row r="2333">
      <c r="A2333" s="34" t="s">
        <v>70</v>
      </c>
      <c r="B2333" s="34" t="s">
        <v>313</v>
      </c>
      <c r="C2333" s="34">
        <v>28.0</v>
      </c>
      <c r="D2333" s="34" t="s">
        <v>434</v>
      </c>
      <c r="E2333" s="34" t="s">
        <v>5716</v>
      </c>
      <c r="F2333" s="34" t="s">
        <v>5717</v>
      </c>
      <c r="G2333" s="34">
        <v>28085.0</v>
      </c>
      <c r="H2333" s="34" t="s">
        <v>437</v>
      </c>
      <c r="I2333" s="34" t="s">
        <v>18</v>
      </c>
      <c r="J2333" s="34" t="s">
        <v>15</v>
      </c>
      <c r="K2333" s="45">
        <v>111.1</v>
      </c>
      <c r="L2333" s="9"/>
      <c r="M2333" s="45">
        <v>111.1</v>
      </c>
    </row>
    <row r="2334">
      <c r="A2334" s="34" t="s">
        <v>70</v>
      </c>
      <c r="B2334" s="34" t="s">
        <v>354</v>
      </c>
      <c r="C2334" s="34">
        <v>29.0</v>
      </c>
      <c r="D2334" s="34" t="s">
        <v>446</v>
      </c>
      <c r="E2334" s="34" t="s">
        <v>5718</v>
      </c>
      <c r="F2334" s="34" t="s">
        <v>5719</v>
      </c>
      <c r="G2334" s="34">
        <v>29019.0</v>
      </c>
      <c r="H2334" s="34" t="s">
        <v>449</v>
      </c>
      <c r="I2334" s="34" t="s">
        <v>18</v>
      </c>
      <c r="J2334" s="34" t="s">
        <v>15</v>
      </c>
      <c r="K2334" s="45">
        <v>107.7</v>
      </c>
      <c r="L2334" s="9"/>
      <c r="M2334" s="45">
        <v>107.7</v>
      </c>
    </row>
    <row r="2335">
      <c r="A2335" s="34" t="s">
        <v>70</v>
      </c>
      <c r="B2335" s="34" t="s">
        <v>354</v>
      </c>
      <c r="C2335" s="34">
        <v>29.0</v>
      </c>
      <c r="D2335" s="34" t="s">
        <v>446</v>
      </c>
      <c r="E2335" s="34" t="s">
        <v>5720</v>
      </c>
      <c r="F2335" s="34" t="s">
        <v>5721</v>
      </c>
      <c r="G2335" s="34">
        <v>29232.0</v>
      </c>
      <c r="H2335" s="34" t="s">
        <v>466</v>
      </c>
      <c r="I2335" s="34" t="s">
        <v>18</v>
      </c>
      <c r="J2335" s="34" t="s">
        <v>15</v>
      </c>
      <c r="K2335" s="45">
        <v>124.6</v>
      </c>
      <c r="L2335" s="9"/>
      <c r="M2335" s="45">
        <v>124.6</v>
      </c>
    </row>
    <row r="2336">
      <c r="A2336" s="34" t="s">
        <v>70</v>
      </c>
      <c r="B2336" s="34" t="s">
        <v>354</v>
      </c>
      <c r="C2336" s="34">
        <v>29.0</v>
      </c>
      <c r="D2336" s="34" t="s">
        <v>446</v>
      </c>
      <c r="E2336" s="34" t="s">
        <v>5722</v>
      </c>
      <c r="F2336" s="34" t="s">
        <v>5723</v>
      </c>
      <c r="G2336" s="34">
        <v>29233.0</v>
      </c>
      <c r="H2336" s="34" t="s">
        <v>4207</v>
      </c>
      <c r="I2336" s="34" t="s">
        <v>18</v>
      </c>
      <c r="J2336" s="34" t="s">
        <v>13</v>
      </c>
      <c r="K2336" s="9"/>
      <c r="L2336" s="45">
        <v>89.0</v>
      </c>
      <c r="M2336" s="45">
        <v>89.0</v>
      </c>
    </row>
    <row r="2337">
      <c r="A2337" s="34" t="s">
        <v>70</v>
      </c>
      <c r="B2337" s="34" t="s">
        <v>354</v>
      </c>
      <c r="C2337" s="34">
        <v>29.0</v>
      </c>
      <c r="D2337" s="34" t="s">
        <v>446</v>
      </c>
      <c r="E2337" s="34" t="s">
        <v>5724</v>
      </c>
      <c r="F2337" s="34" t="s">
        <v>5725</v>
      </c>
      <c r="G2337" s="34">
        <v>29232.0</v>
      </c>
      <c r="H2337" s="34" t="s">
        <v>466</v>
      </c>
      <c r="I2337" s="34" t="s">
        <v>17</v>
      </c>
      <c r="J2337" s="34" t="s">
        <v>15</v>
      </c>
      <c r="K2337" s="45">
        <v>127.1</v>
      </c>
      <c r="L2337" s="9"/>
      <c r="M2337" s="45">
        <v>127.1</v>
      </c>
    </row>
    <row r="2338">
      <c r="A2338" s="34" t="s">
        <v>70</v>
      </c>
      <c r="B2338" s="34" t="s">
        <v>354</v>
      </c>
      <c r="C2338" s="34">
        <v>29.0</v>
      </c>
      <c r="D2338" s="34" t="s">
        <v>446</v>
      </c>
      <c r="E2338" s="34" t="s">
        <v>5726</v>
      </c>
      <c r="F2338" s="34" t="s">
        <v>5727</v>
      </c>
      <c r="G2338" s="34">
        <v>29259.0</v>
      </c>
      <c r="H2338" s="34" t="s">
        <v>5728</v>
      </c>
      <c r="I2338" s="34" t="s">
        <v>17</v>
      </c>
      <c r="J2338" s="34" t="s">
        <v>15</v>
      </c>
      <c r="K2338" s="45">
        <v>110.2</v>
      </c>
      <c r="L2338" s="9"/>
      <c r="M2338" s="45">
        <v>110.2</v>
      </c>
    </row>
    <row r="2339">
      <c r="A2339" s="34" t="s">
        <v>70</v>
      </c>
      <c r="B2339" s="34" t="s">
        <v>354</v>
      </c>
      <c r="C2339" s="34">
        <v>29.0</v>
      </c>
      <c r="D2339" s="34" t="s">
        <v>446</v>
      </c>
      <c r="E2339" s="34" t="s">
        <v>5729</v>
      </c>
      <c r="F2339" s="34" t="s">
        <v>5730</v>
      </c>
      <c r="G2339" s="34">
        <v>29105.0</v>
      </c>
      <c r="H2339" s="34" t="s">
        <v>5731</v>
      </c>
      <c r="I2339" s="34" t="s">
        <v>17</v>
      </c>
      <c r="J2339" s="34" t="s">
        <v>15</v>
      </c>
      <c r="K2339" s="45">
        <v>106.9</v>
      </c>
      <c r="L2339" s="9"/>
      <c r="M2339" s="45">
        <v>106.9</v>
      </c>
    </row>
    <row r="2340">
      <c r="A2340" s="34" t="s">
        <v>70</v>
      </c>
      <c r="B2340" s="34" t="s">
        <v>354</v>
      </c>
      <c r="C2340" s="34">
        <v>29.0</v>
      </c>
      <c r="D2340" s="34" t="s">
        <v>446</v>
      </c>
      <c r="E2340" s="34" t="s">
        <v>5732</v>
      </c>
      <c r="F2340" s="34" t="s">
        <v>5733</v>
      </c>
      <c r="G2340" s="34">
        <v>29233.0</v>
      </c>
      <c r="H2340" s="34" t="s">
        <v>4207</v>
      </c>
      <c r="I2340" s="34" t="s">
        <v>17</v>
      </c>
      <c r="J2340" s="34" t="s">
        <v>15</v>
      </c>
      <c r="K2340" s="45">
        <v>114.5</v>
      </c>
      <c r="L2340" s="9"/>
      <c r="M2340" s="45">
        <v>114.5</v>
      </c>
    </row>
    <row r="2341">
      <c r="A2341" s="34" t="s">
        <v>70</v>
      </c>
      <c r="B2341" s="34" t="s">
        <v>354</v>
      </c>
      <c r="C2341" s="34">
        <v>29.0</v>
      </c>
      <c r="D2341" s="34" t="s">
        <v>446</v>
      </c>
      <c r="E2341" s="34" t="s">
        <v>5734</v>
      </c>
      <c r="F2341" s="34" t="s">
        <v>5735</v>
      </c>
      <c r="G2341" s="34">
        <v>29259.0</v>
      </c>
      <c r="H2341" s="34" t="s">
        <v>5728</v>
      </c>
      <c r="I2341" s="34" t="s">
        <v>17</v>
      </c>
      <c r="J2341" s="34" t="s">
        <v>13</v>
      </c>
      <c r="K2341" s="9"/>
      <c r="L2341" s="45">
        <v>93.3</v>
      </c>
      <c r="M2341" s="45">
        <v>93.3</v>
      </c>
    </row>
    <row r="2342">
      <c r="A2342" s="34" t="s">
        <v>70</v>
      </c>
      <c r="B2342" s="34" t="s">
        <v>354</v>
      </c>
      <c r="C2342" s="34">
        <v>29.0</v>
      </c>
      <c r="D2342" s="34" t="s">
        <v>446</v>
      </c>
      <c r="E2342" s="34" t="s">
        <v>5736</v>
      </c>
      <c r="F2342" s="34" t="s">
        <v>5737</v>
      </c>
      <c r="G2342" s="34">
        <v>29019.0</v>
      </c>
      <c r="H2342" s="34" t="s">
        <v>449</v>
      </c>
      <c r="I2342" s="34" t="s">
        <v>17</v>
      </c>
      <c r="J2342" s="34" t="s">
        <v>15</v>
      </c>
      <c r="K2342" s="45">
        <v>129.0</v>
      </c>
      <c r="L2342" s="9"/>
      <c r="M2342" s="45">
        <v>129.0</v>
      </c>
    </row>
    <row r="2343">
      <c r="A2343" s="34" t="s">
        <v>70</v>
      </c>
      <c r="B2343" s="34" t="s">
        <v>354</v>
      </c>
      <c r="C2343" s="34">
        <v>29.0</v>
      </c>
      <c r="D2343" s="34" t="s">
        <v>446</v>
      </c>
      <c r="E2343" s="34" t="s">
        <v>5738</v>
      </c>
      <c r="F2343" s="34" t="s">
        <v>5739</v>
      </c>
      <c r="G2343" s="34">
        <v>29220.0</v>
      </c>
      <c r="H2343" s="34" t="s">
        <v>463</v>
      </c>
      <c r="I2343" s="34" t="s">
        <v>18</v>
      </c>
      <c r="J2343" s="34" t="s">
        <v>13</v>
      </c>
      <c r="K2343" s="9"/>
      <c r="L2343" s="45">
        <v>88.3</v>
      </c>
      <c r="M2343" s="45">
        <v>88.3</v>
      </c>
    </row>
    <row r="2344">
      <c r="A2344" s="34" t="s">
        <v>70</v>
      </c>
      <c r="B2344" s="34" t="s">
        <v>354</v>
      </c>
      <c r="C2344" s="34">
        <v>29.0</v>
      </c>
      <c r="D2344" s="34" t="s">
        <v>446</v>
      </c>
      <c r="E2344" s="34" t="s">
        <v>5740</v>
      </c>
      <c r="F2344" s="34" t="s">
        <v>5741</v>
      </c>
      <c r="G2344" s="34">
        <v>29039.0</v>
      </c>
      <c r="H2344" s="34" t="s">
        <v>4202</v>
      </c>
      <c r="I2344" s="34" t="s">
        <v>17</v>
      </c>
      <c r="J2344" s="34" t="s">
        <v>13</v>
      </c>
      <c r="K2344" s="9"/>
      <c r="L2344" s="45">
        <v>99.5</v>
      </c>
      <c r="M2344" s="45">
        <v>99.5</v>
      </c>
    </row>
    <row r="2345">
      <c r="A2345" s="34" t="s">
        <v>70</v>
      </c>
      <c r="B2345" s="34" t="s">
        <v>354</v>
      </c>
      <c r="C2345" s="34">
        <v>29.0</v>
      </c>
      <c r="D2345" s="34" t="s">
        <v>446</v>
      </c>
      <c r="E2345" s="34" t="s">
        <v>5742</v>
      </c>
      <c r="F2345" s="34" t="s">
        <v>5743</v>
      </c>
      <c r="G2345" s="34">
        <v>29232.0</v>
      </c>
      <c r="H2345" s="34" t="s">
        <v>466</v>
      </c>
      <c r="I2345" s="34" t="s">
        <v>17</v>
      </c>
      <c r="J2345" s="34" t="s">
        <v>13</v>
      </c>
      <c r="K2345" s="9"/>
      <c r="L2345" s="45">
        <v>104.3</v>
      </c>
      <c r="M2345" s="45">
        <v>104.3</v>
      </c>
    </row>
    <row r="2346">
      <c r="A2346" s="34" t="s">
        <v>70</v>
      </c>
      <c r="B2346" s="34" t="s">
        <v>483</v>
      </c>
      <c r="C2346" s="34">
        <v>30.0</v>
      </c>
      <c r="D2346" s="34" t="s">
        <v>484</v>
      </c>
      <c r="E2346" s="34" t="s">
        <v>5744</v>
      </c>
      <c r="F2346" s="34" t="s">
        <v>5745</v>
      </c>
      <c r="G2346" s="34">
        <v>30007.0</v>
      </c>
      <c r="H2346" s="34" t="s">
        <v>2476</v>
      </c>
      <c r="I2346" s="34" t="s">
        <v>18</v>
      </c>
      <c r="J2346" s="34" t="s">
        <v>14</v>
      </c>
      <c r="K2346" s="45">
        <v>101.2</v>
      </c>
      <c r="L2346" s="45">
        <v>80.5</v>
      </c>
      <c r="M2346" s="45">
        <v>92.5</v>
      </c>
    </row>
    <row r="2347">
      <c r="A2347" s="34" t="s">
        <v>70</v>
      </c>
      <c r="B2347" s="34" t="s">
        <v>483</v>
      </c>
      <c r="C2347" s="34">
        <v>30.0</v>
      </c>
      <c r="D2347" s="34" t="s">
        <v>484</v>
      </c>
      <c r="E2347" s="34" t="s">
        <v>5746</v>
      </c>
      <c r="F2347" s="34" t="s">
        <v>4004</v>
      </c>
      <c r="G2347" s="34">
        <v>30189.0</v>
      </c>
      <c r="H2347" s="34" t="s">
        <v>490</v>
      </c>
      <c r="I2347" s="34" t="s">
        <v>18</v>
      </c>
      <c r="J2347" s="34" t="s">
        <v>15</v>
      </c>
      <c r="K2347" s="45">
        <v>116.1</v>
      </c>
      <c r="L2347" s="9"/>
      <c r="M2347" s="45">
        <v>116.1</v>
      </c>
    </row>
    <row r="2348">
      <c r="A2348" s="34" t="s">
        <v>70</v>
      </c>
      <c r="B2348" s="34" t="s">
        <v>483</v>
      </c>
      <c r="C2348" s="34">
        <v>30.0</v>
      </c>
      <c r="D2348" s="34" t="s">
        <v>484</v>
      </c>
      <c r="E2348" s="34" t="s">
        <v>5747</v>
      </c>
      <c r="F2348" s="34" t="s">
        <v>5748</v>
      </c>
      <c r="G2348" s="34">
        <v>30189.0</v>
      </c>
      <c r="H2348" s="34" t="s">
        <v>490</v>
      </c>
      <c r="I2348" s="34" t="s">
        <v>18</v>
      </c>
      <c r="J2348" s="34" t="s">
        <v>15</v>
      </c>
      <c r="K2348" s="45">
        <v>108.5</v>
      </c>
      <c r="L2348" s="9"/>
      <c r="M2348" s="45">
        <v>108.5</v>
      </c>
    </row>
    <row r="2349">
      <c r="A2349" s="34" t="s">
        <v>70</v>
      </c>
      <c r="B2349" s="34" t="s">
        <v>483</v>
      </c>
      <c r="C2349" s="34">
        <v>30.0</v>
      </c>
      <c r="D2349" s="34" t="s">
        <v>484</v>
      </c>
      <c r="E2349" s="34" t="s">
        <v>5749</v>
      </c>
      <c r="F2349" s="34" t="s">
        <v>5750</v>
      </c>
      <c r="G2349" s="34">
        <v>30189.0</v>
      </c>
      <c r="H2349" s="34" t="s">
        <v>490</v>
      </c>
      <c r="I2349" s="34" t="s">
        <v>18</v>
      </c>
      <c r="J2349" s="34" t="s">
        <v>14</v>
      </c>
      <c r="K2349" s="45">
        <v>107.2</v>
      </c>
      <c r="L2349" s="45">
        <v>84.2</v>
      </c>
      <c r="M2349" s="45">
        <v>104.3</v>
      </c>
    </row>
    <row r="2350">
      <c r="A2350" s="34" t="s">
        <v>70</v>
      </c>
      <c r="B2350" s="34" t="s">
        <v>483</v>
      </c>
      <c r="C2350" s="34">
        <v>30.0</v>
      </c>
      <c r="D2350" s="34" t="s">
        <v>484</v>
      </c>
      <c r="E2350" s="34" t="s">
        <v>5751</v>
      </c>
      <c r="F2350" s="34" t="s">
        <v>5752</v>
      </c>
      <c r="G2350" s="34">
        <v>30132.0</v>
      </c>
      <c r="H2350" s="34" t="s">
        <v>5753</v>
      </c>
      <c r="I2350" s="34" t="s">
        <v>17</v>
      </c>
      <c r="J2350" s="34" t="s">
        <v>13</v>
      </c>
      <c r="K2350" s="9"/>
      <c r="L2350" s="45">
        <v>90.8</v>
      </c>
      <c r="M2350" s="45">
        <v>90.8</v>
      </c>
    </row>
    <row r="2351">
      <c r="A2351" s="34" t="s">
        <v>70</v>
      </c>
      <c r="B2351" s="34" t="s">
        <v>483</v>
      </c>
      <c r="C2351" s="34">
        <v>30.0</v>
      </c>
      <c r="D2351" s="34" t="s">
        <v>484</v>
      </c>
      <c r="E2351" s="34" t="s">
        <v>5754</v>
      </c>
      <c r="F2351" s="34" t="s">
        <v>5755</v>
      </c>
      <c r="G2351" s="34">
        <v>30189.0</v>
      </c>
      <c r="H2351" s="34" t="s">
        <v>490</v>
      </c>
      <c r="I2351" s="34" t="s">
        <v>18</v>
      </c>
      <c r="J2351" s="34" t="s">
        <v>13</v>
      </c>
      <c r="K2351" s="9"/>
      <c r="L2351" s="45">
        <v>80.5</v>
      </c>
      <c r="M2351" s="45">
        <v>80.5</v>
      </c>
    </row>
    <row r="2352">
      <c r="A2352" s="34" t="s">
        <v>70</v>
      </c>
      <c r="B2352" s="34" t="s">
        <v>483</v>
      </c>
      <c r="C2352" s="34">
        <v>30.0</v>
      </c>
      <c r="D2352" s="34" t="s">
        <v>484</v>
      </c>
      <c r="E2352" s="34" t="s">
        <v>5756</v>
      </c>
      <c r="F2352" s="34" t="s">
        <v>5757</v>
      </c>
      <c r="G2352" s="34">
        <v>30169.0</v>
      </c>
      <c r="H2352" s="34" t="s">
        <v>5758</v>
      </c>
      <c r="I2352" s="34" t="s">
        <v>18</v>
      </c>
      <c r="J2352" s="34" t="s">
        <v>14</v>
      </c>
      <c r="K2352" s="45">
        <v>100.5</v>
      </c>
      <c r="L2352" s="45">
        <v>73.9</v>
      </c>
      <c r="M2352" s="45">
        <v>95.6</v>
      </c>
    </row>
    <row r="2353">
      <c r="A2353" s="34" t="s">
        <v>70</v>
      </c>
      <c r="B2353" s="34" t="s">
        <v>182</v>
      </c>
      <c r="C2353" s="34">
        <v>31.0</v>
      </c>
      <c r="D2353" s="34" t="s">
        <v>508</v>
      </c>
      <c r="E2353" s="34" t="s">
        <v>5759</v>
      </c>
      <c r="F2353" s="34" t="s">
        <v>5760</v>
      </c>
      <c r="G2353" s="34">
        <v>31395.0</v>
      </c>
      <c r="H2353" s="34" t="s">
        <v>4267</v>
      </c>
      <c r="I2353" s="34" t="s">
        <v>18</v>
      </c>
      <c r="J2353" s="34" t="s">
        <v>14</v>
      </c>
      <c r="K2353" s="45">
        <v>117.2</v>
      </c>
      <c r="L2353" s="45">
        <v>91.1</v>
      </c>
      <c r="M2353" s="45">
        <v>112.9</v>
      </c>
    </row>
    <row r="2354">
      <c r="A2354" s="34" t="s">
        <v>70</v>
      </c>
      <c r="B2354" s="34" t="s">
        <v>182</v>
      </c>
      <c r="C2354" s="34">
        <v>31.0</v>
      </c>
      <c r="D2354" s="34" t="s">
        <v>508</v>
      </c>
      <c r="E2354" s="34" t="s">
        <v>5761</v>
      </c>
      <c r="F2354" s="34" t="s">
        <v>5762</v>
      </c>
      <c r="G2354" s="34">
        <v>31555.0</v>
      </c>
      <c r="H2354" s="34" t="s">
        <v>182</v>
      </c>
      <c r="I2354" s="34" t="s">
        <v>18</v>
      </c>
      <c r="J2354" s="34" t="s">
        <v>14</v>
      </c>
      <c r="K2354" s="45">
        <v>119.6</v>
      </c>
      <c r="L2354" s="45">
        <v>80.6</v>
      </c>
      <c r="M2354" s="45">
        <v>113.3</v>
      </c>
    </row>
    <row r="2355">
      <c r="A2355" s="34" t="s">
        <v>70</v>
      </c>
      <c r="B2355" s="34" t="s">
        <v>182</v>
      </c>
      <c r="C2355" s="34">
        <v>31.0</v>
      </c>
      <c r="D2355" s="34" t="s">
        <v>508</v>
      </c>
      <c r="E2355" s="34" t="s">
        <v>5763</v>
      </c>
      <c r="F2355" s="34" t="s">
        <v>5764</v>
      </c>
      <c r="G2355" s="34">
        <v>31555.0</v>
      </c>
      <c r="H2355" s="34" t="s">
        <v>182</v>
      </c>
      <c r="I2355" s="34" t="s">
        <v>18</v>
      </c>
      <c r="J2355" s="34" t="s">
        <v>15</v>
      </c>
      <c r="K2355" s="45">
        <v>138.8</v>
      </c>
      <c r="L2355" s="9"/>
      <c r="M2355" s="45">
        <v>138.8</v>
      </c>
    </row>
    <row r="2356">
      <c r="A2356" s="34" t="s">
        <v>70</v>
      </c>
      <c r="B2356" s="34" t="s">
        <v>182</v>
      </c>
      <c r="C2356" s="34">
        <v>31.0</v>
      </c>
      <c r="D2356" s="34" t="s">
        <v>508</v>
      </c>
      <c r="E2356" s="34" t="s">
        <v>5765</v>
      </c>
      <c r="F2356" s="34" t="s">
        <v>5766</v>
      </c>
      <c r="G2356" s="34">
        <v>31555.0</v>
      </c>
      <c r="H2356" s="34" t="s">
        <v>182</v>
      </c>
      <c r="I2356" s="34" t="s">
        <v>18</v>
      </c>
      <c r="J2356" s="34" t="s">
        <v>14</v>
      </c>
      <c r="K2356" s="45">
        <v>102.1</v>
      </c>
      <c r="L2356" s="45">
        <v>87.5</v>
      </c>
      <c r="M2356" s="45">
        <v>99.3</v>
      </c>
    </row>
    <row r="2357">
      <c r="A2357" s="34" t="s">
        <v>70</v>
      </c>
      <c r="B2357" s="34" t="s">
        <v>182</v>
      </c>
      <c r="C2357" s="34">
        <v>31.0</v>
      </c>
      <c r="D2357" s="34" t="s">
        <v>508</v>
      </c>
      <c r="E2357" s="34" t="s">
        <v>5767</v>
      </c>
      <c r="F2357" s="34" t="s">
        <v>5768</v>
      </c>
      <c r="G2357" s="34">
        <v>31451.0</v>
      </c>
      <c r="H2357" s="34" t="s">
        <v>4235</v>
      </c>
      <c r="I2357" s="34" t="s">
        <v>18</v>
      </c>
      <c r="J2357" s="34" t="s">
        <v>13</v>
      </c>
      <c r="K2357" s="9"/>
      <c r="L2357" s="45">
        <v>103.3</v>
      </c>
      <c r="M2357" s="45">
        <v>103.3</v>
      </c>
    </row>
    <row r="2358">
      <c r="A2358" s="34" t="s">
        <v>70</v>
      </c>
      <c r="B2358" s="34" t="s">
        <v>182</v>
      </c>
      <c r="C2358" s="34">
        <v>31.0</v>
      </c>
      <c r="D2358" s="34" t="s">
        <v>508</v>
      </c>
      <c r="E2358" s="34" t="s">
        <v>5769</v>
      </c>
      <c r="F2358" s="34" t="s">
        <v>5770</v>
      </c>
      <c r="G2358" s="34">
        <v>31555.0</v>
      </c>
      <c r="H2358" s="34" t="s">
        <v>182</v>
      </c>
      <c r="I2358" s="34" t="s">
        <v>18</v>
      </c>
      <c r="J2358" s="34" t="s">
        <v>13</v>
      </c>
      <c r="K2358" s="9"/>
      <c r="L2358" s="45">
        <v>95.5</v>
      </c>
      <c r="M2358" s="45">
        <v>95.5</v>
      </c>
    </row>
    <row r="2359">
      <c r="A2359" s="34" t="s">
        <v>70</v>
      </c>
      <c r="B2359" s="34" t="s">
        <v>182</v>
      </c>
      <c r="C2359" s="34">
        <v>31.0</v>
      </c>
      <c r="D2359" s="34" t="s">
        <v>508</v>
      </c>
      <c r="E2359" s="34" t="s">
        <v>5771</v>
      </c>
      <c r="F2359" s="34" t="s">
        <v>5772</v>
      </c>
      <c r="G2359" s="34">
        <v>31555.0</v>
      </c>
      <c r="H2359" s="34" t="s">
        <v>182</v>
      </c>
      <c r="I2359" s="34" t="s">
        <v>17</v>
      </c>
      <c r="J2359" s="34" t="s">
        <v>15</v>
      </c>
      <c r="K2359" s="45">
        <v>137.3</v>
      </c>
      <c r="L2359" s="9"/>
      <c r="M2359" s="45">
        <v>137.3</v>
      </c>
    </row>
    <row r="2360">
      <c r="A2360" s="34" t="s">
        <v>70</v>
      </c>
      <c r="B2360" s="34" t="s">
        <v>182</v>
      </c>
      <c r="C2360" s="34">
        <v>31.0</v>
      </c>
      <c r="D2360" s="34" t="s">
        <v>508</v>
      </c>
      <c r="E2360" s="34" t="s">
        <v>5773</v>
      </c>
      <c r="F2360" s="34" t="s">
        <v>5774</v>
      </c>
      <c r="G2360" s="34">
        <v>31555.0</v>
      </c>
      <c r="H2360" s="34" t="s">
        <v>182</v>
      </c>
      <c r="I2360" s="34" t="s">
        <v>17</v>
      </c>
      <c r="J2360" s="34" t="s">
        <v>15</v>
      </c>
      <c r="K2360" s="45">
        <v>125.4</v>
      </c>
      <c r="L2360" s="9"/>
      <c r="M2360" s="45">
        <v>125.4</v>
      </c>
    </row>
    <row r="2361">
      <c r="A2361" s="34" t="s">
        <v>70</v>
      </c>
      <c r="B2361" s="34" t="s">
        <v>182</v>
      </c>
      <c r="C2361" s="34">
        <v>31.0</v>
      </c>
      <c r="D2361" s="34" t="s">
        <v>508</v>
      </c>
      <c r="E2361" s="34" t="s">
        <v>5775</v>
      </c>
      <c r="F2361" s="34" t="s">
        <v>5776</v>
      </c>
      <c r="G2361" s="34">
        <v>31555.0</v>
      </c>
      <c r="H2361" s="34" t="s">
        <v>182</v>
      </c>
      <c r="I2361" s="34" t="s">
        <v>17</v>
      </c>
      <c r="J2361" s="34" t="s">
        <v>13</v>
      </c>
      <c r="K2361" s="9"/>
      <c r="L2361" s="45">
        <v>98.6</v>
      </c>
      <c r="M2361" s="45">
        <v>98.6</v>
      </c>
    </row>
    <row r="2362">
      <c r="A2362" s="34" t="s">
        <v>70</v>
      </c>
      <c r="B2362" s="34" t="s">
        <v>182</v>
      </c>
      <c r="C2362" s="34">
        <v>31.0</v>
      </c>
      <c r="D2362" s="34" t="s">
        <v>508</v>
      </c>
      <c r="E2362" s="34" t="s">
        <v>5777</v>
      </c>
      <c r="F2362" s="34" t="s">
        <v>5778</v>
      </c>
      <c r="G2362" s="34">
        <v>31555.0</v>
      </c>
      <c r="H2362" s="34" t="s">
        <v>182</v>
      </c>
      <c r="I2362" s="34" t="s">
        <v>17</v>
      </c>
      <c r="J2362" s="34" t="s">
        <v>13</v>
      </c>
      <c r="K2362" s="9"/>
      <c r="L2362" s="45">
        <v>120.8</v>
      </c>
      <c r="M2362" s="45">
        <v>120.8</v>
      </c>
    </row>
    <row r="2363">
      <c r="A2363" s="34" t="s">
        <v>70</v>
      </c>
      <c r="B2363" s="34" t="s">
        <v>182</v>
      </c>
      <c r="C2363" s="34">
        <v>31.0</v>
      </c>
      <c r="D2363" s="34" t="s">
        <v>508</v>
      </c>
      <c r="E2363" s="34" t="s">
        <v>5779</v>
      </c>
      <c r="F2363" s="34" t="s">
        <v>5780</v>
      </c>
      <c r="G2363" s="34">
        <v>31042.0</v>
      </c>
      <c r="H2363" s="34" t="s">
        <v>5781</v>
      </c>
      <c r="I2363" s="34" t="s">
        <v>18</v>
      </c>
      <c r="J2363" s="34" t="s">
        <v>14</v>
      </c>
      <c r="K2363" s="45">
        <v>125.8</v>
      </c>
      <c r="L2363" s="45">
        <v>102.5</v>
      </c>
      <c r="M2363" s="45">
        <v>120.8</v>
      </c>
    </row>
    <row r="2364">
      <c r="A2364" s="34" t="s">
        <v>70</v>
      </c>
      <c r="B2364" s="34" t="s">
        <v>182</v>
      </c>
      <c r="C2364" s="34">
        <v>31.0</v>
      </c>
      <c r="D2364" s="34" t="s">
        <v>508</v>
      </c>
      <c r="E2364" s="34" t="s">
        <v>5782</v>
      </c>
      <c r="F2364" s="34" t="s">
        <v>5783</v>
      </c>
      <c r="G2364" s="34">
        <v>31555.0</v>
      </c>
      <c r="H2364" s="34" t="s">
        <v>182</v>
      </c>
      <c r="I2364" s="34" t="s">
        <v>17</v>
      </c>
      <c r="J2364" s="34" t="s">
        <v>13</v>
      </c>
      <c r="K2364" s="9"/>
      <c r="L2364" s="45">
        <v>110.9</v>
      </c>
      <c r="M2364" s="45">
        <v>110.9</v>
      </c>
    </row>
    <row r="2365">
      <c r="A2365" s="34" t="s">
        <v>70</v>
      </c>
      <c r="B2365" s="34" t="s">
        <v>182</v>
      </c>
      <c r="C2365" s="34">
        <v>31.0</v>
      </c>
      <c r="D2365" s="34" t="s">
        <v>508</v>
      </c>
      <c r="E2365" s="34" t="s">
        <v>5784</v>
      </c>
      <c r="F2365" s="34" t="s">
        <v>5785</v>
      </c>
      <c r="G2365" s="34">
        <v>31149.0</v>
      </c>
      <c r="H2365" s="34" t="s">
        <v>521</v>
      </c>
      <c r="I2365" s="34" t="s">
        <v>18</v>
      </c>
      <c r="J2365" s="34" t="s">
        <v>15</v>
      </c>
      <c r="K2365" s="45">
        <v>126.8</v>
      </c>
      <c r="L2365" s="9"/>
      <c r="M2365" s="45">
        <v>126.8</v>
      </c>
    </row>
    <row r="2366">
      <c r="A2366" s="34" t="s">
        <v>70</v>
      </c>
      <c r="B2366" s="34" t="s">
        <v>182</v>
      </c>
      <c r="C2366" s="34">
        <v>31.0</v>
      </c>
      <c r="D2366" s="34" t="s">
        <v>508</v>
      </c>
      <c r="E2366" s="34" t="s">
        <v>5786</v>
      </c>
      <c r="F2366" s="34" t="s">
        <v>5490</v>
      </c>
      <c r="G2366" s="34">
        <v>31157.0</v>
      </c>
      <c r="H2366" s="34" t="s">
        <v>5787</v>
      </c>
      <c r="I2366" s="34" t="s">
        <v>18</v>
      </c>
      <c r="J2366" s="34" t="s">
        <v>15</v>
      </c>
      <c r="K2366" s="45">
        <v>122.6</v>
      </c>
      <c r="L2366" s="9"/>
      <c r="M2366" s="45">
        <v>122.6</v>
      </c>
    </row>
    <row r="2367">
      <c r="A2367" s="34" t="s">
        <v>70</v>
      </c>
      <c r="B2367" s="34" t="s">
        <v>182</v>
      </c>
      <c r="C2367" s="34">
        <v>31.0</v>
      </c>
      <c r="D2367" s="34" t="s">
        <v>508</v>
      </c>
      <c r="E2367" s="34" t="s">
        <v>5788</v>
      </c>
      <c r="F2367" s="34" t="s">
        <v>5789</v>
      </c>
      <c r="G2367" s="34">
        <v>31490.0</v>
      </c>
      <c r="H2367" s="34" t="s">
        <v>5790</v>
      </c>
      <c r="I2367" s="34" t="s">
        <v>17</v>
      </c>
      <c r="J2367" s="34" t="s">
        <v>15</v>
      </c>
      <c r="K2367" s="45">
        <v>120.8</v>
      </c>
      <c r="L2367" s="9"/>
      <c r="M2367" s="45">
        <v>120.8</v>
      </c>
    </row>
    <row r="2368">
      <c r="A2368" s="34" t="s">
        <v>70</v>
      </c>
      <c r="B2368" s="34" t="s">
        <v>182</v>
      </c>
      <c r="C2368" s="34">
        <v>32.0</v>
      </c>
      <c r="D2368" s="34" t="s">
        <v>539</v>
      </c>
      <c r="E2368" s="34" t="s">
        <v>5791</v>
      </c>
      <c r="F2368" s="34" t="s">
        <v>5792</v>
      </c>
      <c r="G2368" s="34">
        <v>32296.0</v>
      </c>
      <c r="H2368" s="34" t="s">
        <v>5793</v>
      </c>
      <c r="I2368" s="34" t="s">
        <v>18</v>
      </c>
      <c r="J2368" s="34" t="s">
        <v>14</v>
      </c>
      <c r="K2368" s="45">
        <v>109.7</v>
      </c>
      <c r="L2368" s="45">
        <v>87.8</v>
      </c>
      <c r="M2368" s="45">
        <v>100.2</v>
      </c>
    </row>
    <row r="2369">
      <c r="A2369" s="34" t="s">
        <v>70</v>
      </c>
      <c r="B2369" s="34" t="s">
        <v>377</v>
      </c>
      <c r="C2369" s="34">
        <v>33.0</v>
      </c>
      <c r="D2369" s="34" t="s">
        <v>560</v>
      </c>
      <c r="E2369" s="34" t="s">
        <v>5794</v>
      </c>
      <c r="F2369" s="34" t="s">
        <v>5795</v>
      </c>
      <c r="G2369" s="34">
        <v>33063.0</v>
      </c>
      <c r="H2369" s="34" t="s">
        <v>377</v>
      </c>
      <c r="I2369" s="34" t="s">
        <v>18</v>
      </c>
      <c r="J2369" s="34" t="s">
        <v>13</v>
      </c>
      <c r="K2369" s="9"/>
      <c r="L2369" s="45">
        <v>80.9</v>
      </c>
      <c r="M2369" s="45">
        <v>80.9</v>
      </c>
    </row>
    <row r="2370">
      <c r="A2370" s="34" t="s">
        <v>70</v>
      </c>
      <c r="B2370" s="34" t="s">
        <v>377</v>
      </c>
      <c r="C2370" s="34">
        <v>33.0</v>
      </c>
      <c r="D2370" s="34" t="s">
        <v>560</v>
      </c>
      <c r="E2370" s="34" t="s">
        <v>5796</v>
      </c>
      <c r="F2370" s="34" t="s">
        <v>5797</v>
      </c>
      <c r="G2370" s="34">
        <v>33449.0</v>
      </c>
      <c r="H2370" s="34" t="s">
        <v>5798</v>
      </c>
      <c r="I2370" s="34" t="s">
        <v>18</v>
      </c>
      <c r="J2370" s="34" t="s">
        <v>13</v>
      </c>
      <c r="K2370" s="9"/>
      <c r="L2370" s="45">
        <v>95.1</v>
      </c>
      <c r="M2370" s="45">
        <v>95.1</v>
      </c>
    </row>
    <row r="2371">
      <c r="A2371" s="34" t="s">
        <v>70</v>
      </c>
      <c r="B2371" s="34" t="s">
        <v>377</v>
      </c>
      <c r="C2371" s="34">
        <v>33.0</v>
      </c>
      <c r="D2371" s="34" t="s">
        <v>560</v>
      </c>
      <c r="E2371" s="34" t="s">
        <v>5799</v>
      </c>
      <c r="F2371" s="34" t="s">
        <v>968</v>
      </c>
      <c r="G2371" s="34">
        <v>33522.0</v>
      </c>
      <c r="H2371" s="34" t="s">
        <v>586</v>
      </c>
      <c r="I2371" s="34" t="s">
        <v>18</v>
      </c>
      <c r="J2371" s="34" t="s">
        <v>14</v>
      </c>
      <c r="K2371" s="45">
        <v>121.4</v>
      </c>
      <c r="L2371" s="45">
        <v>103.2</v>
      </c>
      <c r="M2371" s="45">
        <v>117.4</v>
      </c>
    </row>
    <row r="2372">
      <c r="A2372" s="34" t="s">
        <v>70</v>
      </c>
      <c r="B2372" s="34" t="s">
        <v>377</v>
      </c>
      <c r="C2372" s="34">
        <v>33.0</v>
      </c>
      <c r="D2372" s="34" t="s">
        <v>560</v>
      </c>
      <c r="E2372" s="34" t="s">
        <v>5800</v>
      </c>
      <c r="F2372" s="34" t="s">
        <v>5801</v>
      </c>
      <c r="G2372" s="34">
        <v>33063.0</v>
      </c>
      <c r="H2372" s="34" t="s">
        <v>377</v>
      </c>
      <c r="I2372" s="34" t="s">
        <v>17</v>
      </c>
      <c r="J2372" s="34" t="s">
        <v>15</v>
      </c>
      <c r="K2372" s="45">
        <v>128.9</v>
      </c>
      <c r="L2372" s="9"/>
      <c r="M2372" s="45">
        <v>128.9</v>
      </c>
    </row>
    <row r="2373">
      <c r="A2373" s="34" t="s">
        <v>70</v>
      </c>
      <c r="B2373" s="34" t="s">
        <v>377</v>
      </c>
      <c r="C2373" s="34">
        <v>33.0</v>
      </c>
      <c r="D2373" s="34" t="s">
        <v>560</v>
      </c>
      <c r="E2373" s="34" t="s">
        <v>5802</v>
      </c>
      <c r="F2373" s="34" t="s">
        <v>5803</v>
      </c>
      <c r="G2373" s="34">
        <v>33063.0</v>
      </c>
      <c r="H2373" s="34" t="s">
        <v>377</v>
      </c>
      <c r="I2373" s="34" t="s">
        <v>17</v>
      </c>
      <c r="J2373" s="34" t="s">
        <v>15</v>
      </c>
      <c r="K2373" s="45">
        <v>131.4</v>
      </c>
      <c r="L2373" s="9"/>
      <c r="M2373" s="45">
        <v>131.4</v>
      </c>
    </row>
    <row r="2374">
      <c r="A2374" s="34" t="s">
        <v>70</v>
      </c>
      <c r="B2374" s="34" t="s">
        <v>377</v>
      </c>
      <c r="C2374" s="34">
        <v>33.0</v>
      </c>
      <c r="D2374" s="34" t="s">
        <v>560</v>
      </c>
      <c r="E2374" s="34" t="s">
        <v>5804</v>
      </c>
      <c r="F2374" s="34" t="s">
        <v>5805</v>
      </c>
      <c r="G2374" s="34">
        <v>33063.0</v>
      </c>
      <c r="H2374" s="34" t="s">
        <v>377</v>
      </c>
      <c r="I2374" s="34" t="s">
        <v>17</v>
      </c>
      <c r="J2374" s="34" t="s">
        <v>15</v>
      </c>
      <c r="K2374" s="45">
        <v>126.0</v>
      </c>
      <c r="L2374" s="9"/>
      <c r="M2374" s="45">
        <v>126.0</v>
      </c>
    </row>
    <row r="2375">
      <c r="A2375" s="34" t="s">
        <v>70</v>
      </c>
      <c r="B2375" s="34" t="s">
        <v>377</v>
      </c>
      <c r="C2375" s="34">
        <v>33.0</v>
      </c>
      <c r="D2375" s="34" t="s">
        <v>560</v>
      </c>
      <c r="E2375" s="34" t="s">
        <v>5806</v>
      </c>
      <c r="F2375" s="34" t="s">
        <v>5807</v>
      </c>
      <c r="G2375" s="34">
        <v>33063.0</v>
      </c>
      <c r="H2375" s="34" t="s">
        <v>377</v>
      </c>
      <c r="I2375" s="34" t="s">
        <v>17</v>
      </c>
      <c r="J2375" s="34" t="s">
        <v>13</v>
      </c>
      <c r="K2375" s="9"/>
      <c r="L2375" s="45">
        <v>108.9</v>
      </c>
      <c r="M2375" s="45">
        <v>108.9</v>
      </c>
    </row>
    <row r="2376">
      <c r="A2376" s="34" t="s">
        <v>70</v>
      </c>
      <c r="B2376" s="34" t="s">
        <v>377</v>
      </c>
      <c r="C2376" s="34">
        <v>33.0</v>
      </c>
      <c r="D2376" s="34" t="s">
        <v>560</v>
      </c>
      <c r="E2376" s="34" t="s">
        <v>5808</v>
      </c>
      <c r="F2376" s="34" t="s">
        <v>5809</v>
      </c>
      <c r="G2376" s="34">
        <v>33281.0</v>
      </c>
      <c r="H2376" s="34" t="s">
        <v>4299</v>
      </c>
      <c r="I2376" s="34" t="s">
        <v>18</v>
      </c>
      <c r="J2376" s="34" t="s">
        <v>15</v>
      </c>
      <c r="K2376" s="45">
        <v>124.2</v>
      </c>
      <c r="L2376" s="9"/>
      <c r="M2376" s="45">
        <v>124.2</v>
      </c>
    </row>
    <row r="2377">
      <c r="A2377" s="34" t="s">
        <v>70</v>
      </c>
      <c r="B2377" s="34" t="s">
        <v>377</v>
      </c>
      <c r="C2377" s="34">
        <v>33.0</v>
      </c>
      <c r="D2377" s="34" t="s">
        <v>560</v>
      </c>
      <c r="E2377" s="34" t="s">
        <v>5810</v>
      </c>
      <c r="F2377" s="34" t="s">
        <v>5811</v>
      </c>
      <c r="G2377" s="34">
        <v>33063.0</v>
      </c>
      <c r="H2377" s="34" t="s">
        <v>377</v>
      </c>
      <c r="I2377" s="34" t="s">
        <v>18</v>
      </c>
      <c r="J2377" s="34" t="s">
        <v>15</v>
      </c>
      <c r="K2377" s="45">
        <v>107.3</v>
      </c>
      <c r="L2377" s="9"/>
      <c r="M2377" s="45">
        <v>107.3</v>
      </c>
    </row>
    <row r="2378">
      <c r="A2378" s="34" t="s">
        <v>70</v>
      </c>
      <c r="B2378" s="34" t="s">
        <v>377</v>
      </c>
      <c r="C2378" s="34">
        <v>33.0</v>
      </c>
      <c r="D2378" s="34" t="s">
        <v>560</v>
      </c>
      <c r="E2378" s="34" t="s">
        <v>5812</v>
      </c>
      <c r="F2378" s="34" t="s">
        <v>5813</v>
      </c>
      <c r="G2378" s="34">
        <v>33063.0</v>
      </c>
      <c r="H2378" s="34" t="s">
        <v>377</v>
      </c>
      <c r="I2378" s="34" t="s">
        <v>17</v>
      </c>
      <c r="J2378" s="34" t="s">
        <v>13</v>
      </c>
      <c r="K2378" s="9"/>
      <c r="L2378" s="45">
        <v>107.5</v>
      </c>
      <c r="M2378" s="45">
        <v>107.5</v>
      </c>
    </row>
    <row r="2379">
      <c r="A2379" s="34" t="s">
        <v>70</v>
      </c>
      <c r="B2379" s="34" t="s">
        <v>377</v>
      </c>
      <c r="C2379" s="34">
        <v>33.0</v>
      </c>
      <c r="D2379" s="34" t="s">
        <v>560</v>
      </c>
      <c r="E2379" s="34" t="s">
        <v>5814</v>
      </c>
      <c r="F2379" s="34" t="s">
        <v>5815</v>
      </c>
      <c r="G2379" s="34">
        <v>33005.0</v>
      </c>
      <c r="H2379" s="34" t="s">
        <v>5816</v>
      </c>
      <c r="I2379" s="34" t="s">
        <v>18</v>
      </c>
      <c r="J2379" s="34" t="s">
        <v>15</v>
      </c>
      <c r="K2379" s="45">
        <v>124.8</v>
      </c>
      <c r="L2379" s="9"/>
      <c r="M2379" s="45">
        <v>124.8</v>
      </c>
    </row>
    <row r="2380">
      <c r="A2380" s="34" t="s">
        <v>70</v>
      </c>
      <c r="B2380" s="34" t="s">
        <v>377</v>
      </c>
      <c r="C2380" s="34">
        <v>33.0</v>
      </c>
      <c r="D2380" s="34" t="s">
        <v>560</v>
      </c>
      <c r="E2380" s="34" t="s">
        <v>5817</v>
      </c>
      <c r="F2380" s="34" t="s">
        <v>5818</v>
      </c>
      <c r="G2380" s="34">
        <v>33063.0</v>
      </c>
      <c r="H2380" s="34" t="s">
        <v>377</v>
      </c>
      <c r="I2380" s="34" t="s">
        <v>18</v>
      </c>
      <c r="J2380" s="34" t="s">
        <v>15</v>
      </c>
      <c r="K2380" s="45">
        <v>88.0</v>
      </c>
      <c r="L2380" s="9"/>
      <c r="M2380" s="45">
        <v>88.0</v>
      </c>
    </row>
    <row r="2381">
      <c r="A2381" s="34" t="s">
        <v>70</v>
      </c>
      <c r="B2381" s="34" t="s">
        <v>377</v>
      </c>
      <c r="C2381" s="34">
        <v>33.0</v>
      </c>
      <c r="D2381" s="34" t="s">
        <v>560</v>
      </c>
      <c r="E2381" s="34" t="s">
        <v>5819</v>
      </c>
      <c r="F2381" s="34" t="s">
        <v>5820</v>
      </c>
      <c r="G2381" s="34">
        <v>33058.0</v>
      </c>
      <c r="H2381" s="34" t="s">
        <v>2512</v>
      </c>
      <c r="I2381" s="34" t="s">
        <v>18</v>
      </c>
      <c r="J2381" s="34" t="s">
        <v>13</v>
      </c>
      <c r="K2381" s="9"/>
      <c r="L2381" s="45">
        <v>88.2</v>
      </c>
      <c r="M2381" s="45">
        <v>88.2</v>
      </c>
    </row>
    <row r="2382">
      <c r="A2382" s="34" t="s">
        <v>70</v>
      </c>
      <c r="B2382" s="34" t="s">
        <v>377</v>
      </c>
      <c r="C2382" s="34">
        <v>33.0</v>
      </c>
      <c r="D2382" s="34" t="s">
        <v>560</v>
      </c>
      <c r="E2382" s="34" t="s">
        <v>5821</v>
      </c>
      <c r="F2382" s="34" t="s">
        <v>5822</v>
      </c>
      <c r="G2382" s="34">
        <v>33366.0</v>
      </c>
      <c r="H2382" s="34" t="s">
        <v>5823</v>
      </c>
      <c r="I2382" s="34" t="s">
        <v>17</v>
      </c>
      <c r="J2382" s="34" t="s">
        <v>15</v>
      </c>
      <c r="K2382" s="45">
        <v>123.4</v>
      </c>
      <c r="L2382" s="9"/>
      <c r="M2382" s="45">
        <v>123.4</v>
      </c>
    </row>
    <row r="2383">
      <c r="A2383" s="34" t="s">
        <v>70</v>
      </c>
      <c r="B2383" s="34" t="s">
        <v>483</v>
      </c>
      <c r="C2383" s="34">
        <v>34.0</v>
      </c>
      <c r="D2383" s="34" t="s">
        <v>609</v>
      </c>
      <c r="E2383" s="34" t="s">
        <v>5824</v>
      </c>
      <c r="F2383" s="34" t="s">
        <v>5825</v>
      </c>
      <c r="G2383" s="34">
        <v>34032.0</v>
      </c>
      <c r="H2383" s="34" t="s">
        <v>2545</v>
      </c>
      <c r="I2383" s="34" t="s">
        <v>18</v>
      </c>
      <c r="J2383" s="34" t="s">
        <v>15</v>
      </c>
      <c r="K2383" s="45">
        <v>99.8</v>
      </c>
      <c r="L2383" s="9"/>
      <c r="M2383" s="45">
        <v>99.8</v>
      </c>
    </row>
    <row r="2384">
      <c r="A2384" s="34" t="s">
        <v>70</v>
      </c>
      <c r="B2384" s="34" t="s">
        <v>483</v>
      </c>
      <c r="C2384" s="34">
        <v>34.0</v>
      </c>
      <c r="D2384" s="34" t="s">
        <v>609</v>
      </c>
      <c r="E2384" s="34" t="s">
        <v>5826</v>
      </c>
      <c r="F2384" s="34" t="s">
        <v>5827</v>
      </c>
      <c r="G2384" s="34">
        <v>34142.0</v>
      </c>
      <c r="H2384" s="34" t="s">
        <v>5828</v>
      </c>
      <c r="I2384" s="34" t="s">
        <v>18</v>
      </c>
      <c r="J2384" s="34" t="s">
        <v>14</v>
      </c>
      <c r="K2384" s="45">
        <v>113.5</v>
      </c>
      <c r="L2384" s="45">
        <v>89.8</v>
      </c>
      <c r="M2384" s="45">
        <v>104.0</v>
      </c>
    </row>
    <row r="2385">
      <c r="A2385" s="34" t="s">
        <v>70</v>
      </c>
      <c r="B2385" s="34" t="s">
        <v>483</v>
      </c>
      <c r="C2385" s="34">
        <v>34.0</v>
      </c>
      <c r="D2385" s="34" t="s">
        <v>609</v>
      </c>
      <c r="E2385" s="34" t="s">
        <v>5829</v>
      </c>
      <c r="F2385" s="34" t="s">
        <v>3558</v>
      </c>
      <c r="G2385" s="34">
        <v>34172.0</v>
      </c>
      <c r="H2385" s="34" t="s">
        <v>483</v>
      </c>
      <c r="I2385" s="34" t="s">
        <v>18</v>
      </c>
      <c r="J2385" s="34" t="s">
        <v>15</v>
      </c>
      <c r="K2385" s="45">
        <v>107.9</v>
      </c>
      <c r="L2385" s="9"/>
      <c r="M2385" s="45">
        <v>107.9</v>
      </c>
    </row>
    <row r="2386">
      <c r="A2386" s="34" t="s">
        <v>70</v>
      </c>
      <c r="B2386" s="34" t="s">
        <v>483</v>
      </c>
      <c r="C2386" s="34">
        <v>34.0</v>
      </c>
      <c r="D2386" s="34" t="s">
        <v>609</v>
      </c>
      <c r="E2386" s="34" t="s">
        <v>5830</v>
      </c>
      <c r="F2386" s="34" t="s">
        <v>456</v>
      </c>
      <c r="G2386" s="34">
        <v>34199.0</v>
      </c>
      <c r="H2386" s="34" t="s">
        <v>4323</v>
      </c>
      <c r="I2386" s="34" t="s">
        <v>18</v>
      </c>
      <c r="J2386" s="34" t="s">
        <v>15</v>
      </c>
      <c r="K2386" s="45">
        <v>113.9</v>
      </c>
      <c r="L2386" s="9"/>
      <c r="M2386" s="45">
        <v>113.9</v>
      </c>
    </row>
    <row r="2387">
      <c r="A2387" s="34" t="s">
        <v>70</v>
      </c>
      <c r="B2387" s="34" t="s">
        <v>483</v>
      </c>
      <c r="C2387" s="34">
        <v>34.0</v>
      </c>
      <c r="D2387" s="34" t="s">
        <v>609</v>
      </c>
      <c r="E2387" s="34" t="s">
        <v>5831</v>
      </c>
      <c r="F2387" s="34" t="s">
        <v>5832</v>
      </c>
      <c r="G2387" s="34">
        <v>34301.0</v>
      </c>
      <c r="H2387" s="34" t="s">
        <v>615</v>
      </c>
      <c r="I2387" s="34" t="s">
        <v>18</v>
      </c>
      <c r="J2387" s="34" t="s">
        <v>13</v>
      </c>
      <c r="K2387" s="9"/>
      <c r="L2387" s="45">
        <v>84.7</v>
      </c>
      <c r="M2387" s="45">
        <v>84.7</v>
      </c>
    </row>
    <row r="2388">
      <c r="A2388" s="34" t="s">
        <v>70</v>
      </c>
      <c r="B2388" s="34" t="s">
        <v>483</v>
      </c>
      <c r="C2388" s="34">
        <v>34.0</v>
      </c>
      <c r="D2388" s="34" t="s">
        <v>609</v>
      </c>
      <c r="E2388" s="34" t="s">
        <v>5833</v>
      </c>
      <c r="F2388" s="34" t="s">
        <v>5834</v>
      </c>
      <c r="G2388" s="34">
        <v>34032.0</v>
      </c>
      <c r="H2388" s="34" t="s">
        <v>2545</v>
      </c>
      <c r="I2388" s="34" t="s">
        <v>17</v>
      </c>
      <c r="J2388" s="34" t="s">
        <v>15</v>
      </c>
      <c r="K2388" s="45">
        <v>126.1</v>
      </c>
      <c r="L2388" s="9"/>
      <c r="M2388" s="45">
        <v>126.1</v>
      </c>
    </row>
    <row r="2389">
      <c r="A2389" s="34" t="s">
        <v>70</v>
      </c>
      <c r="B2389" s="34" t="s">
        <v>483</v>
      </c>
      <c r="C2389" s="34">
        <v>34.0</v>
      </c>
      <c r="D2389" s="34" t="s">
        <v>609</v>
      </c>
      <c r="E2389" s="34" t="s">
        <v>5835</v>
      </c>
      <c r="F2389" s="34" t="s">
        <v>5836</v>
      </c>
      <c r="G2389" s="34">
        <v>34169.0</v>
      </c>
      <c r="H2389" s="34" t="s">
        <v>5837</v>
      </c>
      <c r="I2389" s="34" t="s">
        <v>17</v>
      </c>
      <c r="J2389" s="34" t="s">
        <v>14</v>
      </c>
      <c r="K2389" s="45">
        <v>127.5</v>
      </c>
      <c r="L2389" s="45">
        <v>114.9</v>
      </c>
      <c r="M2389" s="45">
        <v>123.8</v>
      </c>
    </row>
    <row r="2390">
      <c r="A2390" s="34" t="s">
        <v>70</v>
      </c>
      <c r="B2390" s="34" t="s">
        <v>483</v>
      </c>
      <c r="C2390" s="34">
        <v>34.0</v>
      </c>
      <c r="D2390" s="34" t="s">
        <v>609</v>
      </c>
      <c r="E2390" s="34" t="s">
        <v>5838</v>
      </c>
      <c r="F2390" s="34" t="s">
        <v>4395</v>
      </c>
      <c r="G2390" s="34">
        <v>34172.0</v>
      </c>
      <c r="H2390" s="34" t="s">
        <v>483</v>
      </c>
      <c r="I2390" s="34" t="s">
        <v>18</v>
      </c>
      <c r="J2390" s="34" t="s">
        <v>15</v>
      </c>
      <c r="K2390" s="45">
        <v>102.4</v>
      </c>
      <c r="L2390" s="9"/>
      <c r="M2390" s="45">
        <v>102.4</v>
      </c>
    </row>
    <row r="2391">
      <c r="A2391" s="34" t="s">
        <v>70</v>
      </c>
      <c r="B2391" s="34" t="s">
        <v>483</v>
      </c>
      <c r="C2391" s="34">
        <v>34.0</v>
      </c>
      <c r="D2391" s="34" t="s">
        <v>609</v>
      </c>
      <c r="E2391" s="34" t="s">
        <v>5839</v>
      </c>
      <c r="F2391" s="34" t="s">
        <v>5840</v>
      </c>
      <c r="G2391" s="34">
        <v>34129.0</v>
      </c>
      <c r="H2391" s="34" t="s">
        <v>5841</v>
      </c>
      <c r="I2391" s="34" t="s">
        <v>18</v>
      </c>
      <c r="J2391" s="34" t="s">
        <v>14</v>
      </c>
      <c r="K2391" s="45">
        <v>123.2</v>
      </c>
      <c r="L2391" s="45">
        <v>100.9</v>
      </c>
      <c r="M2391" s="45">
        <v>116.2</v>
      </c>
    </row>
    <row r="2392">
      <c r="A2392" s="34" t="s">
        <v>70</v>
      </c>
      <c r="B2392" s="34" t="s">
        <v>483</v>
      </c>
      <c r="C2392" s="34">
        <v>34.0</v>
      </c>
      <c r="D2392" s="34" t="s">
        <v>609</v>
      </c>
      <c r="E2392" s="34" t="s">
        <v>5842</v>
      </c>
      <c r="F2392" s="34" t="s">
        <v>5843</v>
      </c>
      <c r="G2392" s="34">
        <v>34057.0</v>
      </c>
      <c r="H2392" s="34" t="s">
        <v>5844</v>
      </c>
      <c r="I2392" s="34" t="s">
        <v>18</v>
      </c>
      <c r="J2392" s="34" t="s">
        <v>14</v>
      </c>
      <c r="K2392" s="45">
        <v>132.2</v>
      </c>
      <c r="L2392" s="45">
        <v>93.8</v>
      </c>
      <c r="M2392" s="45">
        <v>121.8</v>
      </c>
    </row>
    <row r="2393">
      <c r="A2393" s="34" t="s">
        <v>70</v>
      </c>
      <c r="B2393" s="34" t="s">
        <v>483</v>
      </c>
      <c r="C2393" s="34">
        <v>34.0</v>
      </c>
      <c r="D2393" s="34" t="s">
        <v>609</v>
      </c>
      <c r="E2393" s="34" t="s">
        <v>5845</v>
      </c>
      <c r="F2393" s="34" t="s">
        <v>5846</v>
      </c>
      <c r="G2393" s="34">
        <v>34145.0</v>
      </c>
      <c r="H2393" s="34" t="s">
        <v>4316</v>
      </c>
      <c r="I2393" s="34" t="s">
        <v>18</v>
      </c>
      <c r="J2393" s="34" t="s">
        <v>14</v>
      </c>
      <c r="K2393" s="45">
        <v>125.6</v>
      </c>
      <c r="L2393" s="45">
        <v>86.5</v>
      </c>
      <c r="M2393" s="45">
        <v>118.4</v>
      </c>
    </row>
    <row r="2394">
      <c r="A2394" s="34" t="s">
        <v>70</v>
      </c>
      <c r="B2394" s="34" t="s">
        <v>483</v>
      </c>
      <c r="C2394" s="34">
        <v>34.0</v>
      </c>
      <c r="D2394" s="34" t="s">
        <v>609</v>
      </c>
      <c r="E2394" s="34" t="s">
        <v>5847</v>
      </c>
      <c r="F2394" s="34" t="s">
        <v>5848</v>
      </c>
      <c r="G2394" s="34">
        <v>34172.0</v>
      </c>
      <c r="H2394" s="34" t="s">
        <v>483</v>
      </c>
      <c r="I2394" s="34" t="s">
        <v>18</v>
      </c>
      <c r="J2394" s="34" t="s">
        <v>14</v>
      </c>
      <c r="K2394" s="45">
        <v>117.8</v>
      </c>
      <c r="L2394" s="45">
        <v>97.0</v>
      </c>
      <c r="M2394" s="45">
        <v>101.5</v>
      </c>
    </row>
    <row r="2395">
      <c r="A2395" s="34" t="s">
        <v>70</v>
      </c>
      <c r="B2395" s="34" t="s">
        <v>354</v>
      </c>
      <c r="C2395" s="34">
        <v>35.0</v>
      </c>
      <c r="D2395" s="34" t="s">
        <v>622</v>
      </c>
      <c r="E2395" s="34" t="s">
        <v>5849</v>
      </c>
      <c r="F2395" s="34" t="s">
        <v>5850</v>
      </c>
      <c r="G2395" s="34">
        <v>35236.0</v>
      </c>
      <c r="H2395" s="34" t="s">
        <v>2563</v>
      </c>
      <c r="I2395" s="34" t="s">
        <v>18</v>
      </c>
      <c r="J2395" s="34" t="s">
        <v>15</v>
      </c>
      <c r="K2395" s="45">
        <v>110.9</v>
      </c>
      <c r="L2395" s="9"/>
      <c r="M2395" s="45">
        <v>110.9</v>
      </c>
    </row>
    <row r="2396">
      <c r="A2396" s="34" t="s">
        <v>70</v>
      </c>
      <c r="B2396" s="34" t="s">
        <v>354</v>
      </c>
      <c r="C2396" s="34">
        <v>35.0</v>
      </c>
      <c r="D2396" s="34" t="s">
        <v>622</v>
      </c>
      <c r="E2396" s="34" t="s">
        <v>5851</v>
      </c>
      <c r="F2396" s="34" t="s">
        <v>5852</v>
      </c>
      <c r="G2396" s="34">
        <v>35337.0</v>
      </c>
      <c r="H2396" s="34" t="s">
        <v>5853</v>
      </c>
      <c r="I2396" s="34" t="s">
        <v>18</v>
      </c>
      <c r="J2396" s="34" t="s">
        <v>13</v>
      </c>
      <c r="K2396" s="9"/>
      <c r="L2396" s="45">
        <v>83.9</v>
      </c>
      <c r="M2396" s="45">
        <v>83.9</v>
      </c>
    </row>
    <row r="2397">
      <c r="A2397" s="34" t="s">
        <v>70</v>
      </c>
      <c r="B2397" s="34" t="s">
        <v>354</v>
      </c>
      <c r="C2397" s="34">
        <v>35.0</v>
      </c>
      <c r="D2397" s="34" t="s">
        <v>622</v>
      </c>
      <c r="E2397" s="34" t="s">
        <v>5854</v>
      </c>
      <c r="F2397" s="34" t="s">
        <v>5855</v>
      </c>
      <c r="G2397" s="34">
        <v>35115.0</v>
      </c>
      <c r="H2397" s="34" t="s">
        <v>2552</v>
      </c>
      <c r="I2397" s="34" t="s">
        <v>17</v>
      </c>
      <c r="J2397" s="34" t="s">
        <v>14</v>
      </c>
      <c r="K2397" s="45">
        <v>111.6</v>
      </c>
      <c r="L2397" s="45">
        <v>88.5</v>
      </c>
      <c r="M2397" s="45">
        <v>103.9</v>
      </c>
    </row>
    <row r="2398">
      <c r="A2398" s="34" t="s">
        <v>70</v>
      </c>
      <c r="B2398" s="34" t="s">
        <v>354</v>
      </c>
      <c r="C2398" s="34">
        <v>35.0</v>
      </c>
      <c r="D2398" s="34" t="s">
        <v>622</v>
      </c>
      <c r="E2398" s="34" t="s">
        <v>5856</v>
      </c>
      <c r="F2398" s="34" t="s">
        <v>5857</v>
      </c>
      <c r="G2398" s="34">
        <v>35238.0</v>
      </c>
      <c r="H2398" s="34" t="s">
        <v>354</v>
      </c>
      <c r="I2398" s="34" t="s">
        <v>17</v>
      </c>
      <c r="J2398" s="34" t="s">
        <v>14</v>
      </c>
      <c r="K2398" s="45">
        <v>140.2</v>
      </c>
      <c r="L2398" s="45">
        <v>86.3</v>
      </c>
      <c r="M2398" s="45">
        <v>136.6</v>
      </c>
    </row>
    <row r="2399">
      <c r="A2399" s="34" t="s">
        <v>70</v>
      </c>
      <c r="B2399" s="34" t="s">
        <v>354</v>
      </c>
      <c r="C2399" s="34">
        <v>35.0</v>
      </c>
      <c r="D2399" s="34" t="s">
        <v>622</v>
      </c>
      <c r="E2399" s="34" t="s">
        <v>5858</v>
      </c>
      <c r="F2399" s="34" t="s">
        <v>5859</v>
      </c>
      <c r="G2399" s="34">
        <v>35238.0</v>
      </c>
      <c r="H2399" s="34" t="s">
        <v>354</v>
      </c>
      <c r="I2399" s="34" t="s">
        <v>17</v>
      </c>
      <c r="J2399" s="34" t="s">
        <v>14</v>
      </c>
      <c r="K2399" s="45">
        <v>121.2</v>
      </c>
      <c r="L2399" s="45">
        <v>89.8</v>
      </c>
      <c r="M2399" s="45">
        <v>108.2</v>
      </c>
    </row>
    <row r="2400">
      <c r="A2400" s="34" t="s">
        <v>70</v>
      </c>
      <c r="B2400" s="34" t="s">
        <v>354</v>
      </c>
      <c r="C2400" s="34">
        <v>35.0</v>
      </c>
      <c r="D2400" s="34" t="s">
        <v>622</v>
      </c>
      <c r="E2400" s="34" t="s">
        <v>5860</v>
      </c>
      <c r="F2400" s="34" t="s">
        <v>555</v>
      </c>
      <c r="G2400" s="34">
        <v>35047.0</v>
      </c>
      <c r="H2400" s="34" t="s">
        <v>5861</v>
      </c>
      <c r="I2400" s="34" t="s">
        <v>17</v>
      </c>
      <c r="J2400" s="34" t="s">
        <v>15</v>
      </c>
      <c r="K2400" s="45">
        <v>135.5</v>
      </c>
      <c r="L2400" s="9"/>
      <c r="M2400" s="45">
        <v>135.5</v>
      </c>
    </row>
    <row r="2401">
      <c r="A2401" s="34" t="s">
        <v>70</v>
      </c>
      <c r="B2401" s="34" t="s">
        <v>354</v>
      </c>
      <c r="C2401" s="34">
        <v>35.0</v>
      </c>
      <c r="D2401" s="34" t="s">
        <v>622</v>
      </c>
      <c r="E2401" s="34" t="s">
        <v>5862</v>
      </c>
      <c r="F2401" s="34" t="s">
        <v>5863</v>
      </c>
      <c r="G2401" s="34">
        <v>35152.0</v>
      </c>
      <c r="H2401" s="34" t="s">
        <v>5864</v>
      </c>
      <c r="I2401" s="34" t="s">
        <v>18</v>
      </c>
      <c r="J2401" s="34" t="s">
        <v>15</v>
      </c>
      <c r="K2401" s="45">
        <v>126.9</v>
      </c>
      <c r="L2401" s="9"/>
      <c r="M2401" s="45">
        <v>126.9</v>
      </c>
    </row>
    <row r="2402">
      <c r="A2402" s="34" t="s">
        <v>70</v>
      </c>
      <c r="B2402" s="34" t="s">
        <v>313</v>
      </c>
      <c r="C2402" s="34">
        <v>36.0</v>
      </c>
      <c r="D2402" s="34" t="s">
        <v>628</v>
      </c>
      <c r="E2402" s="34" t="s">
        <v>5865</v>
      </c>
      <c r="F2402" s="34" t="s">
        <v>146</v>
      </c>
      <c r="G2402" s="34">
        <v>36044.0</v>
      </c>
      <c r="H2402" s="34" t="s">
        <v>634</v>
      </c>
      <c r="I2402" s="34" t="s">
        <v>18</v>
      </c>
      <c r="J2402" s="34" t="s">
        <v>15</v>
      </c>
      <c r="K2402" s="45">
        <v>104.4</v>
      </c>
      <c r="L2402" s="9"/>
      <c r="M2402" s="45">
        <v>104.4</v>
      </c>
    </row>
    <row r="2403">
      <c r="A2403" s="34" t="s">
        <v>70</v>
      </c>
      <c r="B2403" s="34" t="s">
        <v>313</v>
      </c>
      <c r="C2403" s="34">
        <v>36.0</v>
      </c>
      <c r="D2403" s="34" t="s">
        <v>628</v>
      </c>
      <c r="E2403" s="34" t="s">
        <v>5866</v>
      </c>
      <c r="F2403" s="34" t="s">
        <v>5867</v>
      </c>
      <c r="G2403" s="34">
        <v>36088.0</v>
      </c>
      <c r="H2403" s="34" t="s">
        <v>2577</v>
      </c>
      <c r="I2403" s="34" t="s">
        <v>18</v>
      </c>
      <c r="J2403" s="34" t="s">
        <v>14</v>
      </c>
      <c r="K2403" s="45">
        <v>106.0</v>
      </c>
      <c r="L2403" s="45">
        <v>84.5</v>
      </c>
      <c r="M2403" s="45">
        <v>96.1</v>
      </c>
    </row>
    <row r="2404">
      <c r="A2404" s="34" t="s">
        <v>70</v>
      </c>
      <c r="B2404" s="34" t="s">
        <v>313</v>
      </c>
      <c r="C2404" s="34">
        <v>37.0</v>
      </c>
      <c r="D2404" s="34" t="s">
        <v>637</v>
      </c>
      <c r="E2404" s="34" t="s">
        <v>5868</v>
      </c>
      <c r="F2404" s="34" t="s">
        <v>1379</v>
      </c>
      <c r="G2404" s="34">
        <v>37072.0</v>
      </c>
      <c r="H2404" s="34" t="s">
        <v>656</v>
      </c>
      <c r="I2404" s="34" t="s">
        <v>18</v>
      </c>
      <c r="J2404" s="34" t="s">
        <v>14</v>
      </c>
      <c r="K2404" s="45">
        <v>115.7</v>
      </c>
      <c r="L2404" s="45">
        <v>96.1</v>
      </c>
      <c r="M2404" s="45">
        <v>114.2</v>
      </c>
    </row>
    <row r="2405">
      <c r="A2405" s="34" t="s">
        <v>70</v>
      </c>
      <c r="B2405" s="34" t="s">
        <v>313</v>
      </c>
      <c r="C2405" s="34">
        <v>37.0</v>
      </c>
      <c r="D2405" s="34" t="s">
        <v>637</v>
      </c>
      <c r="E2405" s="34" t="s">
        <v>5869</v>
      </c>
      <c r="F2405" s="34" t="s">
        <v>5870</v>
      </c>
      <c r="G2405" s="34">
        <v>37261.0</v>
      </c>
      <c r="H2405" s="34" t="s">
        <v>640</v>
      </c>
      <c r="I2405" s="34" t="s">
        <v>18</v>
      </c>
      <c r="J2405" s="34" t="s">
        <v>15</v>
      </c>
      <c r="K2405" s="45">
        <v>118.6</v>
      </c>
      <c r="L2405" s="9"/>
      <c r="M2405" s="45">
        <v>118.6</v>
      </c>
    </row>
    <row r="2406">
      <c r="A2406" s="34" t="s">
        <v>70</v>
      </c>
      <c r="B2406" s="34" t="s">
        <v>313</v>
      </c>
      <c r="C2406" s="34">
        <v>37.0</v>
      </c>
      <c r="D2406" s="34" t="s">
        <v>637</v>
      </c>
      <c r="E2406" s="34" t="s">
        <v>5871</v>
      </c>
      <c r="F2406" s="34" t="s">
        <v>5872</v>
      </c>
      <c r="G2406" s="34">
        <v>37050.0</v>
      </c>
      <c r="H2406" s="34" t="s">
        <v>5873</v>
      </c>
      <c r="I2406" s="34" t="s">
        <v>17</v>
      </c>
      <c r="J2406" s="34" t="s">
        <v>15</v>
      </c>
      <c r="K2406" s="45">
        <v>134.7</v>
      </c>
      <c r="L2406" s="9"/>
      <c r="M2406" s="45">
        <v>134.7</v>
      </c>
    </row>
    <row r="2407">
      <c r="A2407" s="34" t="s">
        <v>70</v>
      </c>
      <c r="B2407" s="34" t="s">
        <v>313</v>
      </c>
      <c r="C2407" s="34">
        <v>37.0</v>
      </c>
      <c r="D2407" s="34" t="s">
        <v>637</v>
      </c>
      <c r="E2407" s="34" t="s">
        <v>5874</v>
      </c>
      <c r="F2407" s="34" t="s">
        <v>5875</v>
      </c>
      <c r="G2407" s="34">
        <v>37261.0</v>
      </c>
      <c r="H2407" s="34" t="s">
        <v>640</v>
      </c>
      <c r="I2407" s="34" t="s">
        <v>18</v>
      </c>
      <c r="J2407" s="34" t="s">
        <v>15</v>
      </c>
      <c r="K2407" s="45">
        <v>124.8</v>
      </c>
      <c r="L2407" s="9"/>
      <c r="M2407" s="45">
        <v>124.8</v>
      </c>
    </row>
    <row r="2408">
      <c r="A2408" s="34" t="s">
        <v>70</v>
      </c>
      <c r="B2408" s="34" t="s">
        <v>161</v>
      </c>
      <c r="C2408" s="34">
        <v>38.0</v>
      </c>
      <c r="D2408" s="34" t="s">
        <v>663</v>
      </c>
      <c r="E2408" s="34" t="s">
        <v>5876</v>
      </c>
      <c r="F2408" s="34" t="s">
        <v>5877</v>
      </c>
      <c r="G2408" s="34">
        <v>38169.0</v>
      </c>
      <c r="H2408" s="34" t="s">
        <v>5878</v>
      </c>
      <c r="I2408" s="34" t="s">
        <v>18</v>
      </c>
      <c r="J2408" s="34" t="s">
        <v>13</v>
      </c>
      <c r="K2408" s="9"/>
      <c r="L2408" s="45">
        <v>88.1</v>
      </c>
      <c r="M2408" s="45">
        <v>88.1</v>
      </c>
    </row>
    <row r="2409">
      <c r="A2409" s="34" t="s">
        <v>70</v>
      </c>
      <c r="B2409" s="34" t="s">
        <v>161</v>
      </c>
      <c r="C2409" s="34">
        <v>38.0</v>
      </c>
      <c r="D2409" s="34" t="s">
        <v>663</v>
      </c>
      <c r="E2409" s="34" t="s">
        <v>5879</v>
      </c>
      <c r="F2409" s="34" t="s">
        <v>5880</v>
      </c>
      <c r="G2409" s="34">
        <v>38185.0</v>
      </c>
      <c r="H2409" s="34" t="s">
        <v>161</v>
      </c>
      <c r="I2409" s="34" t="s">
        <v>18</v>
      </c>
      <c r="J2409" s="34" t="s">
        <v>15</v>
      </c>
      <c r="K2409" s="45">
        <v>124.2</v>
      </c>
      <c r="L2409" s="9"/>
      <c r="M2409" s="45">
        <v>124.2</v>
      </c>
    </row>
    <row r="2410">
      <c r="A2410" s="34" t="s">
        <v>70</v>
      </c>
      <c r="B2410" s="34" t="s">
        <v>161</v>
      </c>
      <c r="C2410" s="34">
        <v>38.0</v>
      </c>
      <c r="D2410" s="34" t="s">
        <v>663</v>
      </c>
      <c r="E2410" s="34" t="s">
        <v>5881</v>
      </c>
      <c r="F2410" s="34" t="s">
        <v>5882</v>
      </c>
      <c r="G2410" s="34">
        <v>38185.0</v>
      </c>
      <c r="H2410" s="34" t="s">
        <v>161</v>
      </c>
      <c r="I2410" s="34" t="s">
        <v>18</v>
      </c>
      <c r="J2410" s="34" t="s">
        <v>14</v>
      </c>
      <c r="K2410" s="45">
        <v>126.6</v>
      </c>
      <c r="L2410" s="45">
        <v>97.7</v>
      </c>
      <c r="M2410" s="45">
        <v>106.3</v>
      </c>
    </row>
    <row r="2411">
      <c r="A2411" s="34" t="s">
        <v>70</v>
      </c>
      <c r="B2411" s="34" t="s">
        <v>161</v>
      </c>
      <c r="C2411" s="34">
        <v>38.0</v>
      </c>
      <c r="D2411" s="34" t="s">
        <v>663</v>
      </c>
      <c r="E2411" s="34" t="s">
        <v>5883</v>
      </c>
      <c r="F2411" s="34" t="s">
        <v>5884</v>
      </c>
      <c r="G2411" s="34">
        <v>38544.0</v>
      </c>
      <c r="H2411" s="34" t="s">
        <v>695</v>
      </c>
      <c r="I2411" s="34" t="s">
        <v>18</v>
      </c>
      <c r="J2411" s="34" t="s">
        <v>14</v>
      </c>
      <c r="K2411" s="45">
        <v>118.3</v>
      </c>
      <c r="L2411" s="45">
        <v>84.8</v>
      </c>
      <c r="M2411" s="45">
        <v>106.6</v>
      </c>
    </row>
    <row r="2412">
      <c r="A2412" s="34" t="s">
        <v>70</v>
      </c>
      <c r="B2412" s="34" t="s">
        <v>161</v>
      </c>
      <c r="C2412" s="34">
        <v>38.0</v>
      </c>
      <c r="D2412" s="34" t="s">
        <v>663</v>
      </c>
      <c r="E2412" s="34" t="s">
        <v>5885</v>
      </c>
      <c r="F2412" s="34" t="s">
        <v>5886</v>
      </c>
      <c r="G2412" s="34">
        <v>38563.0</v>
      </c>
      <c r="H2412" s="34" t="s">
        <v>2609</v>
      </c>
      <c r="I2412" s="34" t="s">
        <v>18</v>
      </c>
      <c r="J2412" s="34" t="s">
        <v>14</v>
      </c>
      <c r="K2412" s="45">
        <v>126.6</v>
      </c>
      <c r="L2412" s="45">
        <v>90.8</v>
      </c>
      <c r="M2412" s="45">
        <v>120.1</v>
      </c>
    </row>
    <row r="2413">
      <c r="A2413" s="34" t="s">
        <v>70</v>
      </c>
      <c r="B2413" s="34" t="s">
        <v>161</v>
      </c>
      <c r="C2413" s="34">
        <v>38.0</v>
      </c>
      <c r="D2413" s="34" t="s">
        <v>663</v>
      </c>
      <c r="E2413" s="34" t="s">
        <v>5887</v>
      </c>
      <c r="F2413" s="34" t="s">
        <v>5888</v>
      </c>
      <c r="G2413" s="34">
        <v>38344.0</v>
      </c>
      <c r="H2413" s="34" t="s">
        <v>5889</v>
      </c>
      <c r="I2413" s="34" t="s">
        <v>18</v>
      </c>
      <c r="J2413" s="34" t="s">
        <v>14</v>
      </c>
      <c r="K2413" s="45">
        <v>101.9</v>
      </c>
      <c r="L2413" s="45">
        <v>79.0</v>
      </c>
      <c r="M2413" s="45">
        <v>93.5</v>
      </c>
    </row>
    <row r="2414">
      <c r="A2414" s="34" t="s">
        <v>70</v>
      </c>
      <c r="B2414" s="34" t="s">
        <v>161</v>
      </c>
      <c r="C2414" s="34">
        <v>38.0</v>
      </c>
      <c r="D2414" s="34" t="s">
        <v>663</v>
      </c>
      <c r="E2414" s="34" t="s">
        <v>5890</v>
      </c>
      <c r="F2414" s="34" t="s">
        <v>5891</v>
      </c>
      <c r="G2414" s="34">
        <v>38563.0</v>
      </c>
      <c r="H2414" s="34" t="s">
        <v>2609</v>
      </c>
      <c r="I2414" s="34" t="s">
        <v>17</v>
      </c>
      <c r="J2414" s="34" t="s">
        <v>15</v>
      </c>
      <c r="K2414" s="45">
        <v>131.1</v>
      </c>
      <c r="L2414" s="9"/>
      <c r="M2414" s="45">
        <v>131.1</v>
      </c>
    </row>
    <row r="2415">
      <c r="A2415" s="34" t="s">
        <v>70</v>
      </c>
      <c r="B2415" s="34" t="s">
        <v>161</v>
      </c>
      <c r="C2415" s="34">
        <v>38.0</v>
      </c>
      <c r="D2415" s="34" t="s">
        <v>663</v>
      </c>
      <c r="E2415" s="34" t="s">
        <v>5892</v>
      </c>
      <c r="F2415" s="34" t="s">
        <v>5893</v>
      </c>
      <c r="G2415" s="34">
        <v>38185.0</v>
      </c>
      <c r="H2415" s="34" t="s">
        <v>161</v>
      </c>
      <c r="I2415" s="34" t="s">
        <v>17</v>
      </c>
      <c r="J2415" s="34" t="s">
        <v>13</v>
      </c>
      <c r="K2415" s="9"/>
      <c r="L2415" s="45">
        <v>102.0</v>
      </c>
      <c r="M2415" s="45">
        <v>102.0</v>
      </c>
    </row>
    <row r="2416">
      <c r="A2416" s="34" t="s">
        <v>70</v>
      </c>
      <c r="B2416" s="34" t="s">
        <v>161</v>
      </c>
      <c r="C2416" s="34">
        <v>38.0</v>
      </c>
      <c r="D2416" s="34" t="s">
        <v>663</v>
      </c>
      <c r="E2416" s="34" t="s">
        <v>5894</v>
      </c>
      <c r="F2416" s="34" t="s">
        <v>5895</v>
      </c>
      <c r="G2416" s="34">
        <v>38563.0</v>
      </c>
      <c r="H2416" s="34" t="s">
        <v>2609</v>
      </c>
      <c r="I2416" s="34" t="s">
        <v>17</v>
      </c>
      <c r="J2416" s="34" t="s">
        <v>13</v>
      </c>
      <c r="K2416" s="9"/>
      <c r="L2416" s="45">
        <v>95.4</v>
      </c>
      <c r="M2416" s="45">
        <v>95.4</v>
      </c>
    </row>
    <row r="2417">
      <c r="A2417" s="34" t="s">
        <v>70</v>
      </c>
      <c r="B2417" s="34" t="s">
        <v>161</v>
      </c>
      <c r="C2417" s="34">
        <v>38.0</v>
      </c>
      <c r="D2417" s="34" t="s">
        <v>663</v>
      </c>
      <c r="E2417" s="34" t="s">
        <v>5896</v>
      </c>
      <c r="F2417" s="34" t="s">
        <v>5897</v>
      </c>
      <c r="G2417" s="34">
        <v>38563.0</v>
      </c>
      <c r="H2417" s="34" t="s">
        <v>2609</v>
      </c>
      <c r="I2417" s="34" t="s">
        <v>17</v>
      </c>
      <c r="J2417" s="34" t="s">
        <v>13</v>
      </c>
      <c r="K2417" s="9"/>
      <c r="L2417" s="45">
        <v>88.8</v>
      </c>
      <c r="M2417" s="45">
        <v>88.8</v>
      </c>
    </row>
    <row r="2418">
      <c r="A2418" s="34" t="s">
        <v>70</v>
      </c>
      <c r="B2418" s="34" t="s">
        <v>161</v>
      </c>
      <c r="C2418" s="34">
        <v>38.0</v>
      </c>
      <c r="D2418" s="34" t="s">
        <v>663</v>
      </c>
      <c r="E2418" s="34" t="s">
        <v>5898</v>
      </c>
      <c r="F2418" s="34" t="s">
        <v>5899</v>
      </c>
      <c r="G2418" s="34">
        <v>38314.0</v>
      </c>
      <c r="H2418" s="34" t="s">
        <v>5900</v>
      </c>
      <c r="I2418" s="34" t="s">
        <v>18</v>
      </c>
      <c r="J2418" s="34" t="s">
        <v>15</v>
      </c>
      <c r="K2418" s="45">
        <v>133.7</v>
      </c>
      <c r="L2418" s="9"/>
      <c r="M2418" s="45">
        <v>133.7</v>
      </c>
    </row>
    <row r="2419">
      <c r="A2419" s="34" t="s">
        <v>70</v>
      </c>
      <c r="B2419" s="34" t="s">
        <v>161</v>
      </c>
      <c r="C2419" s="34">
        <v>38.0</v>
      </c>
      <c r="D2419" s="34" t="s">
        <v>663</v>
      </c>
      <c r="E2419" s="34" t="s">
        <v>5901</v>
      </c>
      <c r="F2419" s="34" t="s">
        <v>5902</v>
      </c>
      <c r="G2419" s="34">
        <v>38276.0</v>
      </c>
      <c r="H2419" s="34" t="s">
        <v>5903</v>
      </c>
      <c r="I2419" s="34" t="s">
        <v>17</v>
      </c>
      <c r="J2419" s="34" t="s">
        <v>14</v>
      </c>
      <c r="K2419" s="45">
        <v>131.6</v>
      </c>
      <c r="L2419" s="45">
        <v>99.8</v>
      </c>
      <c r="M2419" s="45">
        <v>128.5</v>
      </c>
    </row>
    <row r="2420">
      <c r="A2420" s="34" t="s">
        <v>70</v>
      </c>
      <c r="B2420" s="34" t="s">
        <v>161</v>
      </c>
      <c r="C2420" s="34">
        <v>38.0</v>
      </c>
      <c r="D2420" s="34" t="s">
        <v>663</v>
      </c>
      <c r="E2420" s="34" t="s">
        <v>5904</v>
      </c>
      <c r="F2420" s="34" t="s">
        <v>5905</v>
      </c>
      <c r="G2420" s="34">
        <v>38554.0</v>
      </c>
      <c r="H2420" s="34" t="s">
        <v>5906</v>
      </c>
      <c r="I2420" s="34" t="s">
        <v>17</v>
      </c>
      <c r="J2420" s="34" t="s">
        <v>15</v>
      </c>
      <c r="K2420" s="45">
        <v>115.0</v>
      </c>
      <c r="L2420" s="9"/>
      <c r="M2420" s="45">
        <v>115.0</v>
      </c>
    </row>
    <row r="2421">
      <c r="A2421" s="34" t="s">
        <v>70</v>
      </c>
      <c r="B2421" s="34" t="s">
        <v>393</v>
      </c>
      <c r="C2421" s="34">
        <v>39.0</v>
      </c>
      <c r="D2421" s="34" t="s">
        <v>708</v>
      </c>
      <c r="E2421" s="34" t="s">
        <v>5907</v>
      </c>
      <c r="F2421" s="34" t="s">
        <v>5908</v>
      </c>
      <c r="G2421" s="34">
        <v>39198.0</v>
      </c>
      <c r="H2421" s="34" t="s">
        <v>2634</v>
      </c>
      <c r="I2421" s="34" t="s">
        <v>18</v>
      </c>
      <c r="J2421" s="34" t="s">
        <v>15</v>
      </c>
      <c r="K2421" s="45">
        <v>119.0</v>
      </c>
      <c r="L2421" s="9"/>
      <c r="M2421" s="45">
        <v>119.0</v>
      </c>
    </row>
    <row r="2422">
      <c r="A2422" s="34" t="s">
        <v>70</v>
      </c>
      <c r="B2422" s="34" t="s">
        <v>393</v>
      </c>
      <c r="C2422" s="34">
        <v>39.0</v>
      </c>
      <c r="D2422" s="34" t="s">
        <v>708</v>
      </c>
      <c r="E2422" s="34" t="s">
        <v>5909</v>
      </c>
      <c r="F2422" s="34" t="s">
        <v>5910</v>
      </c>
      <c r="G2422" s="34">
        <v>39198.0</v>
      </c>
      <c r="H2422" s="34" t="s">
        <v>2634</v>
      </c>
      <c r="I2422" s="34" t="s">
        <v>18</v>
      </c>
      <c r="J2422" s="34" t="s">
        <v>13</v>
      </c>
      <c r="K2422" s="9"/>
      <c r="L2422" s="45">
        <v>88.7</v>
      </c>
      <c r="M2422" s="45">
        <v>88.7</v>
      </c>
    </row>
    <row r="2423">
      <c r="A2423" s="34" t="s">
        <v>70</v>
      </c>
      <c r="B2423" s="34" t="s">
        <v>393</v>
      </c>
      <c r="C2423" s="34">
        <v>39.0</v>
      </c>
      <c r="D2423" s="34" t="s">
        <v>708</v>
      </c>
      <c r="E2423" s="34" t="s">
        <v>5911</v>
      </c>
      <c r="F2423" s="34" t="s">
        <v>5912</v>
      </c>
      <c r="G2423" s="34">
        <v>39198.0</v>
      </c>
      <c r="H2423" s="34" t="s">
        <v>2634</v>
      </c>
      <c r="I2423" s="34" t="s">
        <v>17</v>
      </c>
      <c r="J2423" s="34" t="s">
        <v>14</v>
      </c>
      <c r="K2423" s="45">
        <v>106.5</v>
      </c>
      <c r="L2423" s="45">
        <v>89.7</v>
      </c>
      <c r="M2423" s="45">
        <v>98.8</v>
      </c>
    </row>
    <row r="2424">
      <c r="A2424" s="34" t="s">
        <v>70</v>
      </c>
      <c r="B2424" s="34" t="s">
        <v>377</v>
      </c>
      <c r="C2424" s="34">
        <v>40.0</v>
      </c>
      <c r="D2424" s="34" t="s">
        <v>717</v>
      </c>
      <c r="E2424" s="34" t="s">
        <v>5913</v>
      </c>
      <c r="F2424" s="34" t="s">
        <v>5914</v>
      </c>
      <c r="G2424" s="34">
        <v>40192.0</v>
      </c>
      <c r="H2424" s="34" t="s">
        <v>4427</v>
      </c>
      <c r="I2424" s="34" t="s">
        <v>18</v>
      </c>
      <c r="J2424" s="34" t="s">
        <v>15</v>
      </c>
      <c r="K2424" s="45">
        <v>112.3</v>
      </c>
      <c r="L2424" s="9"/>
      <c r="M2424" s="45">
        <v>112.3</v>
      </c>
    </row>
    <row r="2425">
      <c r="A2425" s="34" t="s">
        <v>70</v>
      </c>
      <c r="B2425" s="34" t="s">
        <v>377</v>
      </c>
      <c r="C2425" s="34">
        <v>40.0</v>
      </c>
      <c r="D2425" s="34" t="s">
        <v>717</v>
      </c>
      <c r="E2425" s="34" t="s">
        <v>5915</v>
      </c>
      <c r="F2425" s="34" t="s">
        <v>5916</v>
      </c>
      <c r="G2425" s="34">
        <v>40192.0</v>
      </c>
      <c r="H2425" s="34" t="s">
        <v>4427</v>
      </c>
      <c r="I2425" s="34" t="s">
        <v>18</v>
      </c>
      <c r="J2425" s="34" t="s">
        <v>15</v>
      </c>
      <c r="K2425" s="45">
        <v>113.5</v>
      </c>
      <c r="L2425" s="9"/>
      <c r="M2425" s="45">
        <v>113.5</v>
      </c>
    </row>
    <row r="2426">
      <c r="A2426" s="34" t="s">
        <v>70</v>
      </c>
      <c r="B2426" s="34" t="s">
        <v>377</v>
      </c>
      <c r="C2426" s="34">
        <v>40.0</v>
      </c>
      <c r="D2426" s="34" t="s">
        <v>717</v>
      </c>
      <c r="E2426" s="34" t="s">
        <v>5917</v>
      </c>
      <c r="F2426" s="34" t="s">
        <v>5918</v>
      </c>
      <c r="G2426" s="34">
        <v>40197.0</v>
      </c>
      <c r="H2426" s="34" t="s">
        <v>5919</v>
      </c>
      <c r="I2426" s="34" t="s">
        <v>18</v>
      </c>
      <c r="J2426" s="34" t="s">
        <v>13</v>
      </c>
      <c r="K2426" s="9"/>
      <c r="L2426" s="45">
        <v>81.1</v>
      </c>
      <c r="M2426" s="45">
        <v>81.1</v>
      </c>
    </row>
    <row r="2427">
      <c r="A2427" s="34" t="s">
        <v>70</v>
      </c>
      <c r="B2427" s="34" t="s">
        <v>71</v>
      </c>
      <c r="C2427" s="34">
        <v>42.0</v>
      </c>
      <c r="D2427" s="34" t="s">
        <v>742</v>
      </c>
      <c r="E2427" s="34" t="s">
        <v>5920</v>
      </c>
      <c r="F2427" s="34" t="s">
        <v>5921</v>
      </c>
      <c r="G2427" s="34">
        <v>42095.0</v>
      </c>
      <c r="H2427" s="34" t="s">
        <v>2675</v>
      </c>
      <c r="I2427" s="34" t="s">
        <v>18</v>
      </c>
      <c r="J2427" s="34" t="s">
        <v>15</v>
      </c>
      <c r="K2427" s="45">
        <v>103.9</v>
      </c>
      <c r="L2427" s="9"/>
      <c r="M2427" s="45">
        <v>103.9</v>
      </c>
    </row>
    <row r="2428">
      <c r="A2428" s="34" t="s">
        <v>70</v>
      </c>
      <c r="B2428" s="34" t="s">
        <v>71</v>
      </c>
      <c r="C2428" s="34">
        <v>42.0</v>
      </c>
      <c r="D2428" s="34" t="s">
        <v>742</v>
      </c>
      <c r="E2428" s="34" t="s">
        <v>5922</v>
      </c>
      <c r="F2428" s="34" t="s">
        <v>5923</v>
      </c>
      <c r="G2428" s="34">
        <v>42147.0</v>
      </c>
      <c r="H2428" s="34" t="s">
        <v>2678</v>
      </c>
      <c r="I2428" s="34" t="s">
        <v>18</v>
      </c>
      <c r="J2428" s="34" t="s">
        <v>15</v>
      </c>
      <c r="K2428" s="45">
        <v>119.3</v>
      </c>
      <c r="L2428" s="9"/>
      <c r="M2428" s="45">
        <v>119.3</v>
      </c>
    </row>
    <row r="2429">
      <c r="A2429" s="34" t="s">
        <v>70</v>
      </c>
      <c r="B2429" s="34" t="s">
        <v>71</v>
      </c>
      <c r="C2429" s="34">
        <v>42.0</v>
      </c>
      <c r="D2429" s="34" t="s">
        <v>742</v>
      </c>
      <c r="E2429" s="34" t="s">
        <v>5924</v>
      </c>
      <c r="F2429" s="34" t="s">
        <v>5925</v>
      </c>
      <c r="G2429" s="34">
        <v>42207.0</v>
      </c>
      <c r="H2429" s="34" t="s">
        <v>4450</v>
      </c>
      <c r="I2429" s="34" t="s">
        <v>18</v>
      </c>
      <c r="J2429" s="34" t="s">
        <v>15</v>
      </c>
      <c r="K2429" s="45">
        <v>104.7</v>
      </c>
      <c r="L2429" s="9"/>
      <c r="M2429" s="45">
        <v>104.7</v>
      </c>
    </row>
    <row r="2430">
      <c r="A2430" s="34" t="s">
        <v>70</v>
      </c>
      <c r="B2430" s="34" t="s">
        <v>71</v>
      </c>
      <c r="C2430" s="34">
        <v>42.0</v>
      </c>
      <c r="D2430" s="34" t="s">
        <v>742</v>
      </c>
      <c r="E2430" s="34" t="s">
        <v>5926</v>
      </c>
      <c r="F2430" s="34" t="s">
        <v>5927</v>
      </c>
      <c r="G2430" s="34">
        <v>42328.0</v>
      </c>
      <c r="H2430" s="34" t="s">
        <v>5928</v>
      </c>
      <c r="I2430" s="34" t="s">
        <v>18</v>
      </c>
      <c r="J2430" s="34" t="s">
        <v>13</v>
      </c>
      <c r="K2430" s="9"/>
      <c r="L2430" s="45">
        <v>85.9</v>
      </c>
      <c r="M2430" s="45">
        <v>85.9</v>
      </c>
    </row>
    <row r="2431">
      <c r="A2431" s="34" t="s">
        <v>70</v>
      </c>
      <c r="B2431" s="34" t="s">
        <v>71</v>
      </c>
      <c r="C2431" s="34">
        <v>42.0</v>
      </c>
      <c r="D2431" s="34" t="s">
        <v>742</v>
      </c>
      <c r="E2431" s="34" t="s">
        <v>5929</v>
      </c>
      <c r="F2431" s="34" t="s">
        <v>5930</v>
      </c>
      <c r="G2431" s="34">
        <v>42095.0</v>
      </c>
      <c r="H2431" s="34" t="s">
        <v>2675</v>
      </c>
      <c r="I2431" s="34" t="s">
        <v>18</v>
      </c>
      <c r="J2431" s="34" t="s">
        <v>13</v>
      </c>
      <c r="K2431" s="9"/>
      <c r="L2431" s="45">
        <v>73.4</v>
      </c>
      <c r="M2431" s="45">
        <v>73.4</v>
      </c>
    </row>
    <row r="2432">
      <c r="A2432" s="34" t="s">
        <v>70</v>
      </c>
      <c r="B2432" s="34" t="s">
        <v>71</v>
      </c>
      <c r="C2432" s="34">
        <v>42.0</v>
      </c>
      <c r="D2432" s="34" t="s">
        <v>742</v>
      </c>
      <c r="E2432" s="34" t="s">
        <v>5931</v>
      </c>
      <c r="F2432" s="34" t="s">
        <v>5932</v>
      </c>
      <c r="G2432" s="34">
        <v>42147.0</v>
      </c>
      <c r="H2432" s="34" t="s">
        <v>2678</v>
      </c>
      <c r="I2432" s="34" t="s">
        <v>17</v>
      </c>
      <c r="J2432" s="34" t="s">
        <v>15</v>
      </c>
      <c r="K2432" s="45">
        <v>114.2</v>
      </c>
      <c r="L2432" s="9"/>
      <c r="M2432" s="45">
        <v>114.2</v>
      </c>
    </row>
    <row r="2433">
      <c r="A2433" s="34" t="s">
        <v>70</v>
      </c>
      <c r="B2433" s="34" t="s">
        <v>71</v>
      </c>
      <c r="C2433" s="34">
        <v>42.0</v>
      </c>
      <c r="D2433" s="34" t="s">
        <v>742</v>
      </c>
      <c r="E2433" s="34" t="s">
        <v>5933</v>
      </c>
      <c r="F2433" s="34" t="s">
        <v>5934</v>
      </c>
      <c r="G2433" s="34">
        <v>42304.0</v>
      </c>
      <c r="H2433" s="34" t="s">
        <v>5935</v>
      </c>
      <c r="I2433" s="34" t="s">
        <v>17</v>
      </c>
      <c r="J2433" s="34" t="s">
        <v>13</v>
      </c>
      <c r="K2433" s="9"/>
      <c r="L2433" s="45">
        <v>104.4</v>
      </c>
      <c r="M2433" s="45">
        <v>104.4</v>
      </c>
    </row>
    <row r="2434">
      <c r="A2434" s="34" t="s">
        <v>70</v>
      </c>
      <c r="B2434" s="34" t="s">
        <v>71</v>
      </c>
      <c r="C2434" s="34">
        <v>42.0</v>
      </c>
      <c r="D2434" s="34" t="s">
        <v>742</v>
      </c>
      <c r="E2434" s="34" t="s">
        <v>5936</v>
      </c>
      <c r="F2434" s="34" t="s">
        <v>5937</v>
      </c>
      <c r="G2434" s="34">
        <v>42044.0</v>
      </c>
      <c r="H2434" s="34" t="s">
        <v>4462</v>
      </c>
      <c r="I2434" s="34" t="s">
        <v>17</v>
      </c>
      <c r="J2434" s="34" t="s">
        <v>13</v>
      </c>
      <c r="K2434" s="9"/>
      <c r="L2434" s="45">
        <v>76.1</v>
      </c>
      <c r="M2434" s="45">
        <v>76.1</v>
      </c>
    </row>
    <row r="2435">
      <c r="A2435" s="34" t="s">
        <v>70</v>
      </c>
      <c r="B2435" s="34" t="s">
        <v>71</v>
      </c>
      <c r="C2435" s="34">
        <v>42.0</v>
      </c>
      <c r="D2435" s="34" t="s">
        <v>742</v>
      </c>
      <c r="E2435" s="34" t="s">
        <v>5938</v>
      </c>
      <c r="F2435" s="34" t="s">
        <v>5939</v>
      </c>
      <c r="G2435" s="34">
        <v>42207.0</v>
      </c>
      <c r="H2435" s="34" t="s">
        <v>4450</v>
      </c>
      <c r="I2435" s="34" t="s">
        <v>17</v>
      </c>
      <c r="J2435" s="34" t="s">
        <v>13</v>
      </c>
      <c r="K2435" s="9"/>
      <c r="L2435" s="45">
        <v>82.7</v>
      </c>
      <c r="M2435" s="45">
        <v>82.7</v>
      </c>
    </row>
    <row r="2436">
      <c r="A2436" s="34" t="s">
        <v>70</v>
      </c>
      <c r="B2436" s="34" t="s">
        <v>71</v>
      </c>
      <c r="C2436" s="34">
        <v>42.0</v>
      </c>
      <c r="D2436" s="34" t="s">
        <v>742</v>
      </c>
      <c r="E2436" s="34" t="s">
        <v>5940</v>
      </c>
      <c r="F2436" s="34" t="s">
        <v>5941</v>
      </c>
      <c r="G2436" s="34">
        <v>42218.0</v>
      </c>
      <c r="H2436" s="34" t="s">
        <v>748</v>
      </c>
      <c r="I2436" s="34" t="s">
        <v>17</v>
      </c>
      <c r="J2436" s="34" t="s">
        <v>15</v>
      </c>
      <c r="K2436" s="45">
        <v>105.2</v>
      </c>
      <c r="L2436" s="9"/>
      <c r="M2436" s="45">
        <v>105.2</v>
      </c>
    </row>
    <row r="2437">
      <c r="A2437" s="34" t="s">
        <v>70</v>
      </c>
      <c r="B2437" s="34" t="s">
        <v>71</v>
      </c>
      <c r="C2437" s="34">
        <v>42.0</v>
      </c>
      <c r="D2437" s="34" t="s">
        <v>742</v>
      </c>
      <c r="E2437" s="34" t="s">
        <v>5942</v>
      </c>
      <c r="F2437" s="34" t="s">
        <v>5943</v>
      </c>
      <c r="G2437" s="34">
        <v>42218.0</v>
      </c>
      <c r="H2437" s="34" t="s">
        <v>748</v>
      </c>
      <c r="I2437" s="34" t="s">
        <v>17</v>
      </c>
      <c r="J2437" s="34" t="s">
        <v>15</v>
      </c>
      <c r="K2437" s="45">
        <v>122.6</v>
      </c>
      <c r="L2437" s="9"/>
      <c r="M2437" s="45">
        <v>122.6</v>
      </c>
    </row>
    <row r="2438">
      <c r="A2438" s="34" t="s">
        <v>70</v>
      </c>
      <c r="B2438" s="34" t="s">
        <v>71</v>
      </c>
      <c r="C2438" s="34">
        <v>42.0</v>
      </c>
      <c r="D2438" s="34" t="s">
        <v>742</v>
      </c>
      <c r="E2438" s="34" t="s">
        <v>5944</v>
      </c>
      <c r="F2438" s="34" t="s">
        <v>2197</v>
      </c>
      <c r="G2438" s="34">
        <v>42052.0</v>
      </c>
      <c r="H2438" s="34" t="s">
        <v>2662</v>
      </c>
      <c r="I2438" s="34" t="s">
        <v>17</v>
      </c>
      <c r="J2438" s="34" t="s">
        <v>15</v>
      </c>
      <c r="K2438" s="45">
        <v>109.5</v>
      </c>
      <c r="L2438" s="9"/>
      <c r="M2438" s="45">
        <v>109.5</v>
      </c>
    </row>
    <row r="2439">
      <c r="A2439" s="34" t="s">
        <v>70</v>
      </c>
      <c r="B2439" s="34" t="s">
        <v>71</v>
      </c>
      <c r="C2439" s="34">
        <v>42.0</v>
      </c>
      <c r="D2439" s="34" t="s">
        <v>742</v>
      </c>
      <c r="E2439" s="34" t="s">
        <v>5945</v>
      </c>
      <c r="F2439" s="34" t="s">
        <v>5946</v>
      </c>
      <c r="G2439" s="34">
        <v>42094.0</v>
      </c>
      <c r="H2439" s="34" t="s">
        <v>5947</v>
      </c>
      <c r="I2439" s="34" t="s">
        <v>18</v>
      </c>
      <c r="J2439" s="34" t="s">
        <v>15</v>
      </c>
      <c r="K2439" s="45">
        <v>118.3</v>
      </c>
      <c r="L2439" s="9"/>
      <c r="M2439" s="45">
        <v>118.3</v>
      </c>
    </row>
    <row r="2440">
      <c r="A2440" s="34" t="s">
        <v>70</v>
      </c>
      <c r="B2440" s="34" t="s">
        <v>116</v>
      </c>
      <c r="C2440" s="34">
        <v>43.0</v>
      </c>
      <c r="D2440" s="34" t="s">
        <v>764</v>
      </c>
      <c r="E2440" s="34" t="s">
        <v>5948</v>
      </c>
      <c r="F2440" s="34" t="s">
        <v>5949</v>
      </c>
      <c r="G2440" s="34">
        <v>43089.0</v>
      </c>
      <c r="H2440" s="34" t="s">
        <v>5950</v>
      </c>
      <c r="I2440" s="34" t="s">
        <v>18</v>
      </c>
      <c r="J2440" s="34" t="s">
        <v>13</v>
      </c>
      <c r="K2440" s="9"/>
      <c r="L2440" s="45">
        <v>85.3</v>
      </c>
      <c r="M2440" s="45">
        <v>85.3</v>
      </c>
    </row>
    <row r="2441">
      <c r="A2441" s="34" t="s">
        <v>70</v>
      </c>
      <c r="B2441" s="34" t="s">
        <v>116</v>
      </c>
      <c r="C2441" s="34">
        <v>43.0</v>
      </c>
      <c r="D2441" s="34" t="s">
        <v>764</v>
      </c>
      <c r="E2441" s="34" t="s">
        <v>5951</v>
      </c>
      <c r="F2441" s="34" t="s">
        <v>5952</v>
      </c>
      <c r="G2441" s="34">
        <v>43137.0</v>
      </c>
      <c r="H2441" s="34" t="s">
        <v>776</v>
      </c>
      <c r="I2441" s="34" t="s">
        <v>17</v>
      </c>
      <c r="J2441" s="34" t="s">
        <v>15</v>
      </c>
      <c r="K2441" s="45">
        <v>114.2</v>
      </c>
      <c r="L2441" s="9"/>
      <c r="M2441" s="45">
        <v>114.2</v>
      </c>
    </row>
    <row r="2442">
      <c r="A2442" s="34" t="s">
        <v>70</v>
      </c>
      <c r="B2442" s="34" t="s">
        <v>779</v>
      </c>
      <c r="C2442" s="34">
        <v>44.0</v>
      </c>
      <c r="D2442" s="34" t="s">
        <v>780</v>
      </c>
      <c r="E2442" s="34" t="s">
        <v>5953</v>
      </c>
      <c r="F2442" s="34" t="s">
        <v>5954</v>
      </c>
      <c r="G2442" s="34">
        <v>44036.0</v>
      </c>
      <c r="H2442" s="34" t="s">
        <v>795</v>
      </c>
      <c r="I2442" s="34" t="s">
        <v>18</v>
      </c>
      <c r="J2442" s="34" t="s">
        <v>14</v>
      </c>
      <c r="K2442" s="45">
        <v>101.5</v>
      </c>
      <c r="L2442" s="45">
        <v>83.6</v>
      </c>
      <c r="M2442" s="45">
        <v>92.4</v>
      </c>
    </row>
    <row r="2443">
      <c r="A2443" s="34" t="s">
        <v>70</v>
      </c>
      <c r="B2443" s="34" t="s">
        <v>779</v>
      </c>
      <c r="C2443" s="34">
        <v>44.0</v>
      </c>
      <c r="D2443" s="34" t="s">
        <v>780</v>
      </c>
      <c r="E2443" s="34" t="s">
        <v>5955</v>
      </c>
      <c r="F2443" s="34" t="s">
        <v>419</v>
      </c>
      <c r="G2443" s="34">
        <v>44184.0</v>
      </c>
      <c r="H2443" s="34" t="s">
        <v>801</v>
      </c>
      <c r="I2443" s="34" t="s">
        <v>18</v>
      </c>
      <c r="J2443" s="34" t="s">
        <v>15</v>
      </c>
      <c r="K2443" s="45">
        <v>111.6</v>
      </c>
      <c r="L2443" s="9"/>
      <c r="M2443" s="45">
        <v>111.6</v>
      </c>
    </row>
    <row r="2444">
      <c r="A2444" s="34" t="s">
        <v>70</v>
      </c>
      <c r="B2444" s="34" t="s">
        <v>779</v>
      </c>
      <c r="C2444" s="34">
        <v>44.0</v>
      </c>
      <c r="D2444" s="34" t="s">
        <v>780</v>
      </c>
      <c r="E2444" s="34" t="s">
        <v>5956</v>
      </c>
      <c r="F2444" s="34" t="s">
        <v>80</v>
      </c>
      <c r="G2444" s="34">
        <v>44003.0</v>
      </c>
      <c r="H2444" s="34" t="s">
        <v>2703</v>
      </c>
      <c r="I2444" s="34" t="s">
        <v>17</v>
      </c>
      <c r="J2444" s="34" t="s">
        <v>15</v>
      </c>
      <c r="K2444" s="45">
        <v>117.3</v>
      </c>
      <c r="L2444" s="9"/>
      <c r="M2444" s="45">
        <v>117.3</v>
      </c>
    </row>
    <row r="2445">
      <c r="A2445" s="34" t="s">
        <v>70</v>
      </c>
      <c r="B2445" s="34" t="s">
        <v>779</v>
      </c>
      <c r="C2445" s="34">
        <v>44.0</v>
      </c>
      <c r="D2445" s="34" t="s">
        <v>780</v>
      </c>
      <c r="E2445" s="34" t="s">
        <v>5957</v>
      </c>
      <c r="F2445" s="34" t="s">
        <v>80</v>
      </c>
      <c r="G2445" s="34">
        <v>44036.0</v>
      </c>
      <c r="H2445" s="34" t="s">
        <v>795</v>
      </c>
      <c r="I2445" s="34" t="s">
        <v>17</v>
      </c>
      <c r="J2445" s="34" t="s">
        <v>15</v>
      </c>
      <c r="K2445" s="45">
        <v>113.1</v>
      </c>
      <c r="L2445" s="9"/>
      <c r="M2445" s="45">
        <v>113.1</v>
      </c>
    </row>
    <row r="2446">
      <c r="A2446" s="34" t="s">
        <v>70</v>
      </c>
      <c r="B2446" s="34" t="s">
        <v>779</v>
      </c>
      <c r="C2446" s="34">
        <v>44.0</v>
      </c>
      <c r="D2446" s="34" t="s">
        <v>780</v>
      </c>
      <c r="E2446" s="34" t="s">
        <v>5958</v>
      </c>
      <c r="F2446" s="34" t="s">
        <v>502</v>
      </c>
      <c r="G2446" s="34">
        <v>44109.0</v>
      </c>
      <c r="H2446" s="34" t="s">
        <v>779</v>
      </c>
      <c r="I2446" s="34" t="s">
        <v>17</v>
      </c>
      <c r="J2446" s="34" t="s">
        <v>15</v>
      </c>
      <c r="K2446" s="45">
        <v>142.1</v>
      </c>
      <c r="L2446" s="9"/>
      <c r="M2446" s="45">
        <v>142.1</v>
      </c>
    </row>
    <row r="2447">
      <c r="A2447" s="34" t="s">
        <v>70</v>
      </c>
      <c r="B2447" s="34" t="s">
        <v>779</v>
      </c>
      <c r="C2447" s="34">
        <v>44.0</v>
      </c>
      <c r="D2447" s="34" t="s">
        <v>780</v>
      </c>
      <c r="E2447" s="34" t="s">
        <v>5959</v>
      </c>
      <c r="F2447" s="34" t="s">
        <v>5960</v>
      </c>
      <c r="G2447" s="34">
        <v>44109.0</v>
      </c>
      <c r="H2447" s="34" t="s">
        <v>779</v>
      </c>
      <c r="I2447" s="34" t="s">
        <v>17</v>
      </c>
      <c r="J2447" s="34" t="s">
        <v>15</v>
      </c>
      <c r="K2447" s="45">
        <v>143.5</v>
      </c>
      <c r="L2447" s="9"/>
      <c r="M2447" s="45">
        <v>143.5</v>
      </c>
    </row>
    <row r="2448">
      <c r="A2448" s="34" t="s">
        <v>70</v>
      </c>
      <c r="B2448" s="34" t="s">
        <v>779</v>
      </c>
      <c r="C2448" s="34">
        <v>44.0</v>
      </c>
      <c r="D2448" s="34" t="s">
        <v>780</v>
      </c>
      <c r="E2448" s="34" t="s">
        <v>5961</v>
      </c>
      <c r="F2448" s="34" t="s">
        <v>5962</v>
      </c>
      <c r="G2448" s="34">
        <v>44003.0</v>
      </c>
      <c r="H2448" s="34" t="s">
        <v>2703</v>
      </c>
      <c r="I2448" s="34" t="s">
        <v>17</v>
      </c>
      <c r="J2448" s="34" t="s">
        <v>13</v>
      </c>
      <c r="K2448" s="9"/>
      <c r="L2448" s="45">
        <v>105.9</v>
      </c>
      <c r="M2448" s="45">
        <v>105.9</v>
      </c>
    </row>
    <row r="2449">
      <c r="A2449" s="34" t="s">
        <v>70</v>
      </c>
      <c r="B2449" s="34" t="s">
        <v>779</v>
      </c>
      <c r="C2449" s="34">
        <v>44.0</v>
      </c>
      <c r="D2449" s="34" t="s">
        <v>780</v>
      </c>
      <c r="E2449" s="34" t="s">
        <v>5963</v>
      </c>
      <c r="F2449" s="34" t="s">
        <v>5964</v>
      </c>
      <c r="G2449" s="34">
        <v>44162.0</v>
      </c>
      <c r="H2449" s="34" t="s">
        <v>790</v>
      </c>
      <c r="I2449" s="34" t="s">
        <v>17</v>
      </c>
      <c r="J2449" s="34" t="s">
        <v>13</v>
      </c>
      <c r="K2449" s="9"/>
      <c r="L2449" s="45">
        <v>105.7</v>
      </c>
      <c r="M2449" s="45">
        <v>105.7</v>
      </c>
    </row>
    <row r="2450">
      <c r="A2450" s="34" t="s">
        <v>70</v>
      </c>
      <c r="B2450" s="34" t="s">
        <v>779</v>
      </c>
      <c r="C2450" s="34">
        <v>44.0</v>
      </c>
      <c r="D2450" s="34" t="s">
        <v>780</v>
      </c>
      <c r="E2450" s="34" t="s">
        <v>5965</v>
      </c>
      <c r="F2450" s="34" t="s">
        <v>489</v>
      </c>
      <c r="G2450" s="34">
        <v>44109.0</v>
      </c>
      <c r="H2450" s="34" t="s">
        <v>779</v>
      </c>
      <c r="I2450" s="34" t="s">
        <v>18</v>
      </c>
      <c r="J2450" s="34" t="s">
        <v>15</v>
      </c>
      <c r="K2450" s="45">
        <v>100.2</v>
      </c>
      <c r="L2450" s="9"/>
      <c r="M2450" s="45">
        <v>100.2</v>
      </c>
    </row>
    <row r="2451">
      <c r="A2451" s="34" t="s">
        <v>70</v>
      </c>
      <c r="B2451" s="34" t="s">
        <v>779</v>
      </c>
      <c r="C2451" s="34">
        <v>44.0</v>
      </c>
      <c r="D2451" s="34" t="s">
        <v>780</v>
      </c>
      <c r="E2451" s="34" t="s">
        <v>5966</v>
      </c>
      <c r="F2451" s="34" t="s">
        <v>5967</v>
      </c>
      <c r="G2451" s="34">
        <v>44184.0</v>
      </c>
      <c r="H2451" s="34" t="s">
        <v>801</v>
      </c>
      <c r="I2451" s="34" t="s">
        <v>18</v>
      </c>
      <c r="J2451" s="34" t="s">
        <v>13</v>
      </c>
      <c r="K2451" s="9"/>
      <c r="L2451" s="45">
        <v>83.8</v>
      </c>
      <c r="M2451" s="45">
        <v>83.8</v>
      </c>
    </row>
    <row r="2452">
      <c r="A2452" s="34" t="s">
        <v>70</v>
      </c>
      <c r="B2452" s="34" t="s">
        <v>779</v>
      </c>
      <c r="C2452" s="34">
        <v>44.0</v>
      </c>
      <c r="D2452" s="34" t="s">
        <v>780</v>
      </c>
      <c r="E2452" s="34" t="s">
        <v>5968</v>
      </c>
      <c r="F2452" s="34" t="s">
        <v>5969</v>
      </c>
      <c r="G2452" s="34">
        <v>44190.0</v>
      </c>
      <c r="H2452" s="34" t="s">
        <v>798</v>
      </c>
      <c r="I2452" s="34" t="s">
        <v>18</v>
      </c>
      <c r="J2452" s="34" t="s">
        <v>13</v>
      </c>
      <c r="K2452" s="9"/>
      <c r="L2452" s="45">
        <v>92.8</v>
      </c>
      <c r="M2452" s="45">
        <v>92.8</v>
      </c>
    </row>
    <row r="2453">
      <c r="A2453" s="34" t="s">
        <v>70</v>
      </c>
      <c r="B2453" s="34" t="s">
        <v>779</v>
      </c>
      <c r="C2453" s="34">
        <v>44.0</v>
      </c>
      <c r="D2453" s="34" t="s">
        <v>780</v>
      </c>
      <c r="E2453" s="34" t="s">
        <v>5970</v>
      </c>
      <c r="F2453" s="34" t="s">
        <v>5971</v>
      </c>
      <c r="G2453" s="34">
        <v>44109.0</v>
      </c>
      <c r="H2453" s="34" t="s">
        <v>779</v>
      </c>
      <c r="I2453" s="34" t="s">
        <v>18</v>
      </c>
      <c r="J2453" s="34" t="s">
        <v>14</v>
      </c>
      <c r="K2453" s="45">
        <v>118.5</v>
      </c>
      <c r="L2453" s="45">
        <v>88.9</v>
      </c>
      <c r="M2453" s="45">
        <v>112.8</v>
      </c>
    </row>
    <row r="2454">
      <c r="A2454" s="34" t="s">
        <v>70</v>
      </c>
      <c r="B2454" s="34" t="s">
        <v>779</v>
      </c>
      <c r="C2454" s="34">
        <v>44.0</v>
      </c>
      <c r="D2454" s="34" t="s">
        <v>780</v>
      </c>
      <c r="E2454" s="34" t="s">
        <v>5972</v>
      </c>
      <c r="F2454" s="34" t="s">
        <v>5973</v>
      </c>
      <c r="G2454" s="34">
        <v>44184.0</v>
      </c>
      <c r="H2454" s="34" t="s">
        <v>801</v>
      </c>
      <c r="I2454" s="34" t="s">
        <v>18</v>
      </c>
      <c r="J2454" s="34" t="s">
        <v>13</v>
      </c>
      <c r="K2454" s="9"/>
      <c r="L2454" s="45">
        <v>98.2</v>
      </c>
      <c r="M2454" s="45">
        <v>98.2</v>
      </c>
    </row>
    <row r="2455">
      <c r="A2455" s="34" t="s">
        <v>70</v>
      </c>
      <c r="B2455" s="34" t="s">
        <v>779</v>
      </c>
      <c r="C2455" s="34">
        <v>44.0</v>
      </c>
      <c r="D2455" s="34" t="s">
        <v>780</v>
      </c>
      <c r="E2455" s="34" t="s">
        <v>5974</v>
      </c>
      <c r="F2455" s="34" t="s">
        <v>5975</v>
      </c>
      <c r="G2455" s="34">
        <v>44131.0</v>
      </c>
      <c r="H2455" s="34" t="s">
        <v>5976</v>
      </c>
      <c r="I2455" s="34" t="s">
        <v>18</v>
      </c>
      <c r="J2455" s="34" t="s">
        <v>15</v>
      </c>
      <c r="K2455" s="45">
        <v>119.6</v>
      </c>
      <c r="L2455" s="9"/>
      <c r="M2455" s="45">
        <v>119.6</v>
      </c>
    </row>
    <row r="2456">
      <c r="A2456" s="34" t="s">
        <v>70</v>
      </c>
      <c r="B2456" s="34" t="s">
        <v>779</v>
      </c>
      <c r="C2456" s="34">
        <v>44.0</v>
      </c>
      <c r="D2456" s="34" t="s">
        <v>780</v>
      </c>
      <c r="E2456" s="34" t="s">
        <v>5977</v>
      </c>
      <c r="F2456" s="34" t="s">
        <v>5978</v>
      </c>
      <c r="G2456" s="34">
        <v>44069.0</v>
      </c>
      <c r="H2456" s="34" t="s">
        <v>818</v>
      </c>
      <c r="I2456" s="34" t="s">
        <v>18</v>
      </c>
      <c r="J2456" s="34" t="s">
        <v>15</v>
      </c>
      <c r="K2456" s="45">
        <v>117.9</v>
      </c>
      <c r="L2456" s="9"/>
      <c r="M2456" s="45">
        <v>117.9</v>
      </c>
    </row>
    <row r="2457">
      <c r="A2457" s="34" t="s">
        <v>70</v>
      </c>
      <c r="B2457" s="34" t="s">
        <v>779</v>
      </c>
      <c r="C2457" s="34">
        <v>44.0</v>
      </c>
      <c r="D2457" s="34" t="s">
        <v>780</v>
      </c>
      <c r="E2457" s="34" t="s">
        <v>5979</v>
      </c>
      <c r="F2457" s="34" t="s">
        <v>5980</v>
      </c>
      <c r="G2457" s="34">
        <v>44109.0</v>
      </c>
      <c r="H2457" s="34" t="s">
        <v>779</v>
      </c>
      <c r="I2457" s="34" t="s">
        <v>17</v>
      </c>
      <c r="J2457" s="34" t="s">
        <v>15</v>
      </c>
      <c r="K2457" s="45">
        <v>142.5</v>
      </c>
      <c r="L2457" s="9"/>
      <c r="M2457" s="45">
        <v>142.5</v>
      </c>
    </row>
    <row r="2458">
      <c r="A2458" s="34" t="s">
        <v>70</v>
      </c>
      <c r="B2458" s="34" t="s">
        <v>779</v>
      </c>
      <c r="C2458" s="34">
        <v>44.0</v>
      </c>
      <c r="D2458" s="34" t="s">
        <v>780</v>
      </c>
      <c r="E2458" s="34" t="s">
        <v>5981</v>
      </c>
      <c r="F2458" s="34" t="s">
        <v>1597</v>
      </c>
      <c r="G2458" s="34">
        <v>44195.0</v>
      </c>
      <c r="H2458" s="34" t="s">
        <v>5982</v>
      </c>
      <c r="I2458" s="34" t="s">
        <v>17</v>
      </c>
      <c r="J2458" s="34" t="s">
        <v>15</v>
      </c>
      <c r="K2458" s="45">
        <v>122.6</v>
      </c>
      <c r="L2458" s="9"/>
      <c r="M2458" s="45">
        <v>122.6</v>
      </c>
    </row>
    <row r="2459">
      <c r="A2459" s="34" t="s">
        <v>70</v>
      </c>
      <c r="B2459" s="34" t="s">
        <v>313</v>
      </c>
      <c r="C2459" s="34">
        <v>45.0</v>
      </c>
      <c r="D2459" s="34" t="s">
        <v>821</v>
      </c>
      <c r="E2459" s="34" t="s">
        <v>5983</v>
      </c>
      <c r="F2459" s="34" t="s">
        <v>5984</v>
      </c>
      <c r="G2459" s="34">
        <v>45284.0</v>
      </c>
      <c r="H2459" s="34" t="s">
        <v>2742</v>
      </c>
      <c r="I2459" s="34" t="s">
        <v>18</v>
      </c>
      <c r="J2459" s="34" t="s">
        <v>14</v>
      </c>
      <c r="K2459" s="45">
        <v>118.9</v>
      </c>
      <c r="L2459" s="45">
        <v>90.3</v>
      </c>
      <c r="M2459" s="45">
        <v>92.6</v>
      </c>
    </row>
    <row r="2460">
      <c r="A2460" s="34" t="s">
        <v>70</v>
      </c>
      <c r="B2460" s="34" t="s">
        <v>313</v>
      </c>
      <c r="C2460" s="34">
        <v>45.0</v>
      </c>
      <c r="D2460" s="34" t="s">
        <v>821</v>
      </c>
      <c r="E2460" s="34" t="s">
        <v>5985</v>
      </c>
      <c r="F2460" s="34" t="s">
        <v>5986</v>
      </c>
      <c r="G2460" s="34">
        <v>45285.0</v>
      </c>
      <c r="H2460" s="34" t="s">
        <v>5987</v>
      </c>
      <c r="I2460" s="34" t="s">
        <v>18</v>
      </c>
      <c r="J2460" s="34" t="s">
        <v>13</v>
      </c>
      <c r="K2460" s="9"/>
      <c r="L2460" s="45">
        <v>88.7</v>
      </c>
      <c r="M2460" s="45">
        <v>88.7</v>
      </c>
    </row>
    <row r="2461">
      <c r="A2461" s="34" t="s">
        <v>70</v>
      </c>
      <c r="B2461" s="34" t="s">
        <v>313</v>
      </c>
      <c r="C2461" s="34">
        <v>45.0</v>
      </c>
      <c r="D2461" s="34" t="s">
        <v>821</v>
      </c>
      <c r="E2461" s="34" t="s">
        <v>5988</v>
      </c>
      <c r="F2461" s="34" t="s">
        <v>694</v>
      </c>
      <c r="G2461" s="34">
        <v>45234.0</v>
      </c>
      <c r="H2461" s="34" t="s">
        <v>830</v>
      </c>
      <c r="I2461" s="34" t="s">
        <v>17</v>
      </c>
      <c r="J2461" s="34" t="s">
        <v>15</v>
      </c>
      <c r="K2461" s="45">
        <v>135.4</v>
      </c>
      <c r="L2461" s="9"/>
      <c r="M2461" s="45">
        <v>135.4</v>
      </c>
    </row>
    <row r="2462">
      <c r="A2462" s="34" t="s">
        <v>70</v>
      </c>
      <c r="B2462" s="34" t="s">
        <v>313</v>
      </c>
      <c r="C2462" s="34">
        <v>45.0</v>
      </c>
      <c r="D2462" s="34" t="s">
        <v>821</v>
      </c>
      <c r="E2462" s="34" t="s">
        <v>5989</v>
      </c>
      <c r="F2462" s="34" t="s">
        <v>5990</v>
      </c>
      <c r="G2462" s="34">
        <v>45252.0</v>
      </c>
      <c r="H2462" s="34" t="s">
        <v>2737</v>
      </c>
      <c r="I2462" s="34" t="s">
        <v>18</v>
      </c>
      <c r="J2462" s="34" t="s">
        <v>13</v>
      </c>
      <c r="K2462" s="9"/>
      <c r="L2462" s="45">
        <v>85.9</v>
      </c>
      <c r="M2462" s="45">
        <v>85.9</v>
      </c>
    </row>
    <row r="2463">
      <c r="A2463" s="34" t="s">
        <v>70</v>
      </c>
      <c r="B2463" s="34" t="s">
        <v>313</v>
      </c>
      <c r="C2463" s="34">
        <v>45.0</v>
      </c>
      <c r="D2463" s="34" t="s">
        <v>821</v>
      </c>
      <c r="E2463" s="34" t="s">
        <v>5991</v>
      </c>
      <c r="F2463" s="34" t="s">
        <v>5992</v>
      </c>
      <c r="G2463" s="34">
        <v>45234.0</v>
      </c>
      <c r="H2463" s="34" t="s">
        <v>830</v>
      </c>
      <c r="I2463" s="34" t="s">
        <v>17</v>
      </c>
      <c r="J2463" s="34" t="s">
        <v>14</v>
      </c>
      <c r="K2463" s="45">
        <v>118.0</v>
      </c>
      <c r="L2463" s="45">
        <v>86.6</v>
      </c>
      <c r="M2463" s="45">
        <v>98.9</v>
      </c>
    </row>
    <row r="2464">
      <c r="A2464" s="34" t="s">
        <v>70</v>
      </c>
      <c r="B2464" s="34" t="s">
        <v>313</v>
      </c>
      <c r="C2464" s="34">
        <v>45.0</v>
      </c>
      <c r="D2464" s="34" t="s">
        <v>821</v>
      </c>
      <c r="E2464" s="34" t="s">
        <v>5993</v>
      </c>
      <c r="F2464" s="34" t="s">
        <v>5994</v>
      </c>
      <c r="G2464" s="34">
        <v>45252.0</v>
      </c>
      <c r="H2464" s="34" t="s">
        <v>2737</v>
      </c>
      <c r="I2464" s="34" t="s">
        <v>17</v>
      </c>
      <c r="J2464" s="34" t="s">
        <v>13</v>
      </c>
      <c r="K2464" s="9"/>
      <c r="L2464" s="45">
        <v>94.5</v>
      </c>
      <c r="M2464" s="45">
        <v>94.5</v>
      </c>
    </row>
    <row r="2465">
      <c r="A2465" s="34" t="s">
        <v>70</v>
      </c>
      <c r="B2465" s="34" t="s">
        <v>313</v>
      </c>
      <c r="C2465" s="34">
        <v>45.0</v>
      </c>
      <c r="D2465" s="34" t="s">
        <v>821</v>
      </c>
      <c r="E2465" s="34" t="s">
        <v>5995</v>
      </c>
      <c r="F2465" s="34" t="s">
        <v>5996</v>
      </c>
      <c r="G2465" s="34">
        <v>45147.0</v>
      </c>
      <c r="H2465" s="34" t="s">
        <v>5997</v>
      </c>
      <c r="I2465" s="34" t="s">
        <v>18</v>
      </c>
      <c r="J2465" s="34" t="s">
        <v>13</v>
      </c>
      <c r="K2465" s="9"/>
      <c r="L2465" s="45">
        <v>81.1</v>
      </c>
      <c r="M2465" s="45">
        <v>81.1</v>
      </c>
    </row>
    <row r="2466">
      <c r="A2466" s="34" t="s">
        <v>70</v>
      </c>
      <c r="B2466" s="34" t="s">
        <v>313</v>
      </c>
      <c r="C2466" s="34">
        <v>45.0</v>
      </c>
      <c r="D2466" s="34" t="s">
        <v>821</v>
      </c>
      <c r="E2466" s="34" t="s">
        <v>5998</v>
      </c>
      <c r="F2466" s="34" t="s">
        <v>5999</v>
      </c>
      <c r="G2466" s="34">
        <v>45232.0</v>
      </c>
      <c r="H2466" s="34" t="s">
        <v>6000</v>
      </c>
      <c r="I2466" s="34" t="s">
        <v>18</v>
      </c>
      <c r="J2466" s="34" t="s">
        <v>14</v>
      </c>
      <c r="K2466" s="45">
        <v>110.5</v>
      </c>
      <c r="L2466" s="45">
        <v>88.4</v>
      </c>
      <c r="M2466" s="45">
        <v>93.1</v>
      </c>
    </row>
    <row r="2467">
      <c r="A2467" s="34" t="s">
        <v>70</v>
      </c>
      <c r="B2467" s="34" t="s">
        <v>313</v>
      </c>
      <c r="C2467" s="34">
        <v>45.0</v>
      </c>
      <c r="D2467" s="34" t="s">
        <v>821</v>
      </c>
      <c r="E2467" s="34" t="s">
        <v>6001</v>
      </c>
      <c r="F2467" s="34" t="s">
        <v>3451</v>
      </c>
      <c r="G2467" s="34">
        <v>45028.0</v>
      </c>
      <c r="H2467" s="34" t="s">
        <v>4516</v>
      </c>
      <c r="I2467" s="34" t="s">
        <v>18</v>
      </c>
      <c r="J2467" s="34" t="s">
        <v>15</v>
      </c>
      <c r="K2467" s="45">
        <v>117.4</v>
      </c>
      <c r="L2467" s="9"/>
      <c r="M2467" s="45">
        <v>117.4</v>
      </c>
    </row>
    <row r="2468">
      <c r="A2468" s="34" t="s">
        <v>70</v>
      </c>
      <c r="B2468" s="34" t="s">
        <v>313</v>
      </c>
      <c r="C2468" s="34">
        <v>45.0</v>
      </c>
      <c r="D2468" s="34" t="s">
        <v>821</v>
      </c>
      <c r="E2468" s="34" t="s">
        <v>6002</v>
      </c>
      <c r="F2468" s="34" t="s">
        <v>6003</v>
      </c>
      <c r="G2468" s="34">
        <v>45234.0</v>
      </c>
      <c r="H2468" s="34" t="s">
        <v>830</v>
      </c>
      <c r="I2468" s="34" t="s">
        <v>18</v>
      </c>
      <c r="J2468" s="34" t="s">
        <v>15</v>
      </c>
      <c r="K2468" s="45">
        <v>122.0</v>
      </c>
      <c r="L2468" s="9"/>
      <c r="M2468" s="45">
        <v>122.0</v>
      </c>
    </row>
    <row r="2469">
      <c r="A2469" s="34" t="s">
        <v>70</v>
      </c>
      <c r="B2469" s="34" t="s">
        <v>182</v>
      </c>
      <c r="C2469" s="34">
        <v>46.0</v>
      </c>
      <c r="D2469" s="34" t="s">
        <v>838</v>
      </c>
      <c r="E2469" s="34" t="s">
        <v>6004</v>
      </c>
      <c r="F2469" s="34" t="s">
        <v>6005</v>
      </c>
      <c r="G2469" s="34">
        <v>46042.0</v>
      </c>
      <c r="H2469" s="34" t="s">
        <v>2748</v>
      </c>
      <c r="I2469" s="34" t="s">
        <v>18</v>
      </c>
      <c r="J2469" s="34" t="s">
        <v>15</v>
      </c>
      <c r="K2469" s="45">
        <v>116.8</v>
      </c>
      <c r="L2469" s="9"/>
      <c r="M2469" s="45">
        <v>116.8</v>
      </c>
    </row>
    <row r="2470">
      <c r="A2470" s="34" t="s">
        <v>70</v>
      </c>
      <c r="B2470" s="34" t="s">
        <v>182</v>
      </c>
      <c r="C2470" s="34">
        <v>46.0</v>
      </c>
      <c r="D2470" s="34" t="s">
        <v>838</v>
      </c>
      <c r="E2470" s="34" t="s">
        <v>6006</v>
      </c>
      <c r="F2470" s="34" t="s">
        <v>6007</v>
      </c>
      <c r="G2470" s="34">
        <v>46309.0</v>
      </c>
      <c r="H2470" s="34" t="s">
        <v>2751</v>
      </c>
      <c r="I2470" s="34" t="s">
        <v>18</v>
      </c>
      <c r="J2470" s="34" t="s">
        <v>14</v>
      </c>
      <c r="K2470" s="45">
        <v>108.3</v>
      </c>
      <c r="L2470" s="45">
        <v>91.5</v>
      </c>
      <c r="M2470" s="45">
        <v>103.8</v>
      </c>
    </row>
    <row r="2471">
      <c r="A2471" s="34" t="s">
        <v>70</v>
      </c>
      <c r="B2471" s="34" t="s">
        <v>182</v>
      </c>
      <c r="C2471" s="34">
        <v>46.0</v>
      </c>
      <c r="D2471" s="34" t="s">
        <v>838</v>
      </c>
      <c r="E2471" s="34" t="s">
        <v>6008</v>
      </c>
      <c r="F2471" s="34" t="s">
        <v>6009</v>
      </c>
      <c r="G2471" s="34">
        <v>46042.0</v>
      </c>
      <c r="H2471" s="34" t="s">
        <v>2748</v>
      </c>
      <c r="I2471" s="34" t="s">
        <v>18</v>
      </c>
      <c r="J2471" s="34" t="s">
        <v>13</v>
      </c>
      <c r="K2471" s="9"/>
      <c r="L2471" s="45">
        <v>89.9</v>
      </c>
      <c r="M2471" s="45">
        <v>89.9</v>
      </c>
    </row>
    <row r="2472">
      <c r="A2472" s="34" t="s">
        <v>70</v>
      </c>
      <c r="B2472" s="34" t="s">
        <v>377</v>
      </c>
      <c r="C2472" s="34">
        <v>47.0</v>
      </c>
      <c r="D2472" s="34" t="s">
        <v>849</v>
      </c>
      <c r="E2472" s="34" t="s">
        <v>6010</v>
      </c>
      <c r="F2472" s="34" t="s">
        <v>6011</v>
      </c>
      <c r="G2472" s="34">
        <v>47001.0</v>
      </c>
      <c r="H2472" s="34" t="s">
        <v>852</v>
      </c>
      <c r="I2472" s="34" t="s">
        <v>18</v>
      </c>
      <c r="J2472" s="34" t="s">
        <v>14</v>
      </c>
      <c r="K2472" s="45">
        <v>79.0</v>
      </c>
      <c r="L2472" s="45">
        <v>86.1</v>
      </c>
      <c r="M2472" s="45">
        <v>85.7</v>
      </c>
    </row>
    <row r="2473">
      <c r="A2473" s="34" t="s">
        <v>70</v>
      </c>
      <c r="B2473" s="34" t="s">
        <v>483</v>
      </c>
      <c r="C2473" s="34">
        <v>48.0</v>
      </c>
      <c r="D2473" s="34" t="s">
        <v>2761</v>
      </c>
      <c r="E2473" s="34" t="s">
        <v>6012</v>
      </c>
      <c r="F2473" s="34" t="s">
        <v>6013</v>
      </c>
      <c r="G2473" s="34">
        <v>48095.0</v>
      </c>
      <c r="H2473" s="34" t="s">
        <v>2764</v>
      </c>
      <c r="I2473" s="34" t="s">
        <v>18</v>
      </c>
      <c r="J2473" s="34" t="s">
        <v>13</v>
      </c>
      <c r="K2473" s="9"/>
      <c r="L2473" s="45">
        <v>94.7</v>
      </c>
      <c r="M2473" s="45">
        <v>94.7</v>
      </c>
    </row>
    <row r="2474">
      <c r="A2474" s="34" t="s">
        <v>70</v>
      </c>
      <c r="B2474" s="34" t="s">
        <v>779</v>
      </c>
      <c r="C2474" s="34">
        <v>49.0</v>
      </c>
      <c r="D2474" s="34" t="s">
        <v>856</v>
      </c>
      <c r="E2474" s="34" t="s">
        <v>6014</v>
      </c>
      <c r="F2474" s="34" t="s">
        <v>6015</v>
      </c>
      <c r="G2474" s="34">
        <v>49007.0</v>
      </c>
      <c r="H2474" s="34" t="s">
        <v>859</v>
      </c>
      <c r="I2474" s="34" t="s">
        <v>18</v>
      </c>
      <c r="J2474" s="34" t="s">
        <v>13</v>
      </c>
      <c r="K2474" s="9"/>
      <c r="L2474" s="45">
        <v>80.0</v>
      </c>
      <c r="M2474" s="45">
        <v>80.0</v>
      </c>
    </row>
    <row r="2475">
      <c r="A2475" s="34" t="s">
        <v>70</v>
      </c>
      <c r="B2475" s="34" t="s">
        <v>779</v>
      </c>
      <c r="C2475" s="34">
        <v>49.0</v>
      </c>
      <c r="D2475" s="34" t="s">
        <v>856</v>
      </c>
      <c r="E2475" s="34" t="s">
        <v>6016</v>
      </c>
      <c r="F2475" s="34" t="s">
        <v>6017</v>
      </c>
      <c r="G2475" s="34">
        <v>49099.0</v>
      </c>
      <c r="H2475" s="34" t="s">
        <v>867</v>
      </c>
      <c r="I2475" s="34" t="s">
        <v>18</v>
      </c>
      <c r="J2475" s="34" t="s">
        <v>14</v>
      </c>
      <c r="K2475" s="45">
        <v>112.4</v>
      </c>
      <c r="L2475" s="45">
        <v>89.1</v>
      </c>
      <c r="M2475" s="45">
        <v>105.8</v>
      </c>
    </row>
    <row r="2476">
      <c r="A2476" s="34" t="s">
        <v>70</v>
      </c>
      <c r="B2476" s="34" t="s">
        <v>779</v>
      </c>
      <c r="C2476" s="34">
        <v>49.0</v>
      </c>
      <c r="D2476" s="34" t="s">
        <v>856</v>
      </c>
      <c r="E2476" s="34" t="s">
        <v>6018</v>
      </c>
      <c r="F2476" s="34" t="s">
        <v>6019</v>
      </c>
      <c r="G2476" s="34">
        <v>49328.0</v>
      </c>
      <c r="H2476" s="34" t="s">
        <v>870</v>
      </c>
      <c r="I2476" s="34" t="s">
        <v>18</v>
      </c>
      <c r="J2476" s="34" t="s">
        <v>14</v>
      </c>
      <c r="K2476" s="45">
        <v>98.1</v>
      </c>
      <c r="L2476" s="45">
        <v>85.0</v>
      </c>
      <c r="M2476" s="45">
        <v>89.6</v>
      </c>
    </row>
    <row r="2477">
      <c r="A2477" s="34" t="s">
        <v>70</v>
      </c>
      <c r="B2477" s="34" t="s">
        <v>779</v>
      </c>
      <c r="C2477" s="34">
        <v>49.0</v>
      </c>
      <c r="D2477" s="34" t="s">
        <v>856</v>
      </c>
      <c r="E2477" s="34" t="s">
        <v>6020</v>
      </c>
      <c r="F2477" s="34" t="s">
        <v>1566</v>
      </c>
      <c r="G2477" s="34">
        <v>49331.0</v>
      </c>
      <c r="H2477" s="34" t="s">
        <v>4554</v>
      </c>
      <c r="I2477" s="34" t="s">
        <v>18</v>
      </c>
      <c r="J2477" s="34" t="s">
        <v>14</v>
      </c>
      <c r="K2477" s="45">
        <v>110.9</v>
      </c>
      <c r="L2477" s="45">
        <v>86.2</v>
      </c>
      <c r="M2477" s="45">
        <v>102.8</v>
      </c>
    </row>
    <row r="2478">
      <c r="A2478" s="34" t="s">
        <v>70</v>
      </c>
      <c r="B2478" s="34" t="s">
        <v>779</v>
      </c>
      <c r="C2478" s="34">
        <v>49.0</v>
      </c>
      <c r="D2478" s="34" t="s">
        <v>856</v>
      </c>
      <c r="E2478" s="34" t="s">
        <v>6021</v>
      </c>
      <c r="F2478" s="34" t="s">
        <v>555</v>
      </c>
      <c r="G2478" s="34">
        <v>49244.0</v>
      </c>
      <c r="H2478" s="34" t="s">
        <v>6022</v>
      </c>
      <c r="I2478" s="34" t="s">
        <v>17</v>
      </c>
      <c r="J2478" s="34" t="s">
        <v>15</v>
      </c>
      <c r="K2478" s="45">
        <v>119.2</v>
      </c>
      <c r="L2478" s="9"/>
      <c r="M2478" s="45">
        <v>119.2</v>
      </c>
    </row>
    <row r="2479">
      <c r="A2479" s="34" t="s">
        <v>70</v>
      </c>
      <c r="B2479" s="34" t="s">
        <v>779</v>
      </c>
      <c r="C2479" s="34">
        <v>49.0</v>
      </c>
      <c r="D2479" s="34" t="s">
        <v>856</v>
      </c>
      <c r="E2479" s="34" t="s">
        <v>6023</v>
      </c>
      <c r="F2479" s="34" t="s">
        <v>6024</v>
      </c>
      <c r="G2479" s="34">
        <v>49353.0</v>
      </c>
      <c r="H2479" s="34" t="s">
        <v>6025</v>
      </c>
      <c r="I2479" s="34" t="s">
        <v>18</v>
      </c>
      <c r="J2479" s="34" t="s">
        <v>13</v>
      </c>
      <c r="K2479" s="9"/>
      <c r="L2479" s="45">
        <v>78.2</v>
      </c>
      <c r="M2479" s="45">
        <v>78.2</v>
      </c>
    </row>
    <row r="2480">
      <c r="A2480" s="34" t="s">
        <v>70</v>
      </c>
      <c r="B2480" s="34" t="s">
        <v>779</v>
      </c>
      <c r="C2480" s="34">
        <v>49.0</v>
      </c>
      <c r="D2480" s="34" t="s">
        <v>856</v>
      </c>
      <c r="E2480" s="34" t="s">
        <v>6026</v>
      </c>
      <c r="F2480" s="34" t="s">
        <v>6027</v>
      </c>
      <c r="G2480" s="34">
        <v>49246.0</v>
      </c>
      <c r="H2480" s="34" t="s">
        <v>6028</v>
      </c>
      <c r="I2480" s="34" t="s">
        <v>18</v>
      </c>
      <c r="J2480" s="34" t="s">
        <v>15</v>
      </c>
      <c r="K2480" s="45">
        <v>117.6</v>
      </c>
      <c r="L2480" s="9"/>
      <c r="M2480" s="45">
        <v>117.6</v>
      </c>
    </row>
    <row r="2481">
      <c r="A2481" s="34" t="s">
        <v>70</v>
      </c>
      <c r="B2481" s="34" t="s">
        <v>269</v>
      </c>
      <c r="C2481" s="34">
        <v>50.0</v>
      </c>
      <c r="D2481" s="34" t="s">
        <v>881</v>
      </c>
      <c r="E2481" s="34" t="s">
        <v>6029</v>
      </c>
      <c r="F2481" s="34" t="s">
        <v>6030</v>
      </c>
      <c r="G2481" s="34">
        <v>50147.0</v>
      </c>
      <c r="H2481" s="34" t="s">
        <v>890</v>
      </c>
      <c r="I2481" s="34" t="s">
        <v>18</v>
      </c>
      <c r="J2481" s="34" t="s">
        <v>15</v>
      </c>
      <c r="K2481" s="45">
        <v>112.6</v>
      </c>
      <c r="L2481" s="9"/>
      <c r="M2481" s="45">
        <v>112.6</v>
      </c>
    </row>
    <row r="2482">
      <c r="A2482" s="34" t="s">
        <v>70</v>
      </c>
      <c r="B2482" s="34" t="s">
        <v>269</v>
      </c>
      <c r="C2482" s="34">
        <v>50.0</v>
      </c>
      <c r="D2482" s="34" t="s">
        <v>881</v>
      </c>
      <c r="E2482" s="34" t="s">
        <v>6031</v>
      </c>
      <c r="F2482" s="34" t="s">
        <v>6032</v>
      </c>
      <c r="G2482" s="34">
        <v>50129.0</v>
      </c>
      <c r="H2482" s="34" t="s">
        <v>884</v>
      </c>
      <c r="I2482" s="34" t="s">
        <v>18</v>
      </c>
      <c r="J2482" s="34" t="s">
        <v>13</v>
      </c>
      <c r="K2482" s="9"/>
      <c r="L2482" s="45">
        <v>91.3</v>
      </c>
      <c r="M2482" s="45">
        <v>91.3</v>
      </c>
    </row>
    <row r="2483">
      <c r="A2483" s="34" t="s">
        <v>70</v>
      </c>
      <c r="B2483" s="34" t="s">
        <v>269</v>
      </c>
      <c r="C2483" s="34">
        <v>50.0</v>
      </c>
      <c r="D2483" s="34" t="s">
        <v>881</v>
      </c>
      <c r="E2483" s="34" t="s">
        <v>6033</v>
      </c>
      <c r="F2483" s="34" t="s">
        <v>6034</v>
      </c>
      <c r="G2483" s="34">
        <v>50502.0</v>
      </c>
      <c r="H2483" s="34" t="s">
        <v>887</v>
      </c>
      <c r="I2483" s="34" t="s">
        <v>17</v>
      </c>
      <c r="J2483" s="34" t="s">
        <v>15</v>
      </c>
      <c r="K2483" s="45">
        <v>96.8</v>
      </c>
      <c r="L2483" s="9"/>
      <c r="M2483" s="45">
        <v>96.8</v>
      </c>
    </row>
    <row r="2484">
      <c r="A2484" s="34" t="s">
        <v>70</v>
      </c>
      <c r="B2484" s="34" t="s">
        <v>269</v>
      </c>
      <c r="C2484" s="34">
        <v>50.0</v>
      </c>
      <c r="D2484" s="34" t="s">
        <v>881</v>
      </c>
      <c r="E2484" s="34" t="s">
        <v>6035</v>
      </c>
      <c r="F2484" s="34" t="s">
        <v>6036</v>
      </c>
      <c r="G2484" s="34">
        <v>50502.0</v>
      </c>
      <c r="H2484" s="34" t="s">
        <v>887</v>
      </c>
      <c r="I2484" s="34" t="s">
        <v>18</v>
      </c>
      <c r="J2484" s="34" t="s">
        <v>14</v>
      </c>
      <c r="K2484" s="45">
        <v>107.3</v>
      </c>
      <c r="L2484" s="45">
        <v>88.0</v>
      </c>
      <c r="M2484" s="45">
        <v>98.1</v>
      </c>
    </row>
    <row r="2485">
      <c r="A2485" s="34" t="s">
        <v>70</v>
      </c>
      <c r="B2485" s="34" t="s">
        <v>269</v>
      </c>
      <c r="C2485" s="34">
        <v>50.0</v>
      </c>
      <c r="D2485" s="34" t="s">
        <v>881</v>
      </c>
      <c r="E2485" s="34" t="s">
        <v>6037</v>
      </c>
      <c r="F2485" s="34" t="s">
        <v>6038</v>
      </c>
      <c r="G2485" s="34">
        <v>50129.0</v>
      </c>
      <c r="H2485" s="34" t="s">
        <v>884</v>
      </c>
      <c r="I2485" s="34" t="s">
        <v>18</v>
      </c>
      <c r="J2485" s="34" t="s">
        <v>13</v>
      </c>
      <c r="K2485" s="9"/>
      <c r="L2485" s="45">
        <v>85.0</v>
      </c>
      <c r="M2485" s="45">
        <v>85.0</v>
      </c>
    </row>
    <row r="2486">
      <c r="A2486" s="34" t="s">
        <v>70</v>
      </c>
      <c r="B2486" s="34" t="s">
        <v>269</v>
      </c>
      <c r="C2486" s="34">
        <v>50.0</v>
      </c>
      <c r="D2486" s="34" t="s">
        <v>881</v>
      </c>
      <c r="E2486" s="34" t="s">
        <v>6039</v>
      </c>
      <c r="F2486" s="34" t="s">
        <v>6040</v>
      </c>
      <c r="G2486" s="34">
        <v>50002.0</v>
      </c>
      <c r="H2486" s="34" t="s">
        <v>4570</v>
      </c>
      <c r="I2486" s="34" t="s">
        <v>17</v>
      </c>
      <c r="J2486" s="34" t="s">
        <v>13</v>
      </c>
      <c r="K2486" s="9"/>
      <c r="L2486" s="45">
        <v>106.5</v>
      </c>
      <c r="M2486" s="45">
        <v>106.5</v>
      </c>
    </row>
    <row r="2487">
      <c r="A2487" s="34" t="s">
        <v>70</v>
      </c>
      <c r="B2487" s="34" t="s">
        <v>169</v>
      </c>
      <c r="C2487" s="34">
        <v>51.0</v>
      </c>
      <c r="D2487" s="34" t="s">
        <v>904</v>
      </c>
      <c r="E2487" s="34" t="s">
        <v>6041</v>
      </c>
      <c r="F2487" s="34" t="s">
        <v>6042</v>
      </c>
      <c r="G2487" s="34">
        <v>51454.0</v>
      </c>
      <c r="H2487" s="34" t="s">
        <v>169</v>
      </c>
      <c r="I2487" s="34" t="s">
        <v>18</v>
      </c>
      <c r="J2487" s="34" t="s">
        <v>13</v>
      </c>
      <c r="K2487" s="9"/>
      <c r="L2487" s="45">
        <v>77.6</v>
      </c>
      <c r="M2487" s="45">
        <v>77.6</v>
      </c>
    </row>
    <row r="2488">
      <c r="A2488" s="34" t="s">
        <v>70</v>
      </c>
      <c r="B2488" s="34" t="s">
        <v>169</v>
      </c>
      <c r="C2488" s="34">
        <v>51.0</v>
      </c>
      <c r="D2488" s="34" t="s">
        <v>904</v>
      </c>
      <c r="E2488" s="34" t="s">
        <v>6043</v>
      </c>
      <c r="F2488" s="34" t="s">
        <v>3187</v>
      </c>
      <c r="G2488" s="34">
        <v>51454.0</v>
      </c>
      <c r="H2488" s="34" t="s">
        <v>169</v>
      </c>
      <c r="I2488" s="34" t="s">
        <v>18</v>
      </c>
      <c r="J2488" s="34" t="s">
        <v>15</v>
      </c>
      <c r="K2488" s="45">
        <v>99.5</v>
      </c>
      <c r="L2488" s="9"/>
      <c r="M2488" s="45">
        <v>99.5</v>
      </c>
    </row>
    <row r="2489">
      <c r="A2489" s="34" t="s">
        <v>70</v>
      </c>
      <c r="B2489" s="34" t="s">
        <v>169</v>
      </c>
      <c r="C2489" s="34">
        <v>52.0</v>
      </c>
      <c r="D2489" s="34" t="s">
        <v>923</v>
      </c>
      <c r="E2489" s="34" t="s">
        <v>6044</v>
      </c>
      <c r="F2489" s="34" t="s">
        <v>6045</v>
      </c>
      <c r="G2489" s="34">
        <v>52121.0</v>
      </c>
      <c r="H2489" s="34" t="s">
        <v>4587</v>
      </c>
      <c r="I2489" s="34" t="s">
        <v>18</v>
      </c>
      <c r="J2489" s="34" t="s">
        <v>13</v>
      </c>
      <c r="K2489" s="9"/>
      <c r="L2489" s="45">
        <v>87.7</v>
      </c>
      <c r="M2489" s="45">
        <v>87.7</v>
      </c>
    </row>
    <row r="2490">
      <c r="A2490" s="34" t="s">
        <v>70</v>
      </c>
      <c r="B2490" s="34" t="s">
        <v>169</v>
      </c>
      <c r="C2490" s="34">
        <v>52.0</v>
      </c>
      <c r="D2490" s="34" t="s">
        <v>923</v>
      </c>
      <c r="E2490" s="34" t="s">
        <v>6046</v>
      </c>
      <c r="F2490" s="34" t="s">
        <v>6047</v>
      </c>
      <c r="G2490" s="34">
        <v>52250.0</v>
      </c>
      <c r="H2490" s="34" t="s">
        <v>6048</v>
      </c>
      <c r="I2490" s="34" t="s">
        <v>18</v>
      </c>
      <c r="J2490" s="34" t="s">
        <v>15</v>
      </c>
      <c r="K2490" s="45">
        <v>97.2</v>
      </c>
      <c r="L2490" s="9"/>
      <c r="M2490" s="45">
        <v>97.2</v>
      </c>
    </row>
    <row r="2491">
      <c r="A2491" s="34" t="s">
        <v>70</v>
      </c>
      <c r="B2491" s="34" t="s">
        <v>169</v>
      </c>
      <c r="C2491" s="34">
        <v>52.0</v>
      </c>
      <c r="D2491" s="34" t="s">
        <v>923</v>
      </c>
      <c r="E2491" s="34" t="s">
        <v>6049</v>
      </c>
      <c r="F2491" s="34" t="s">
        <v>4969</v>
      </c>
      <c r="G2491" s="34">
        <v>52269.0</v>
      </c>
      <c r="H2491" s="34" t="s">
        <v>6050</v>
      </c>
      <c r="I2491" s="34" t="s">
        <v>18</v>
      </c>
      <c r="J2491" s="34" t="s">
        <v>14</v>
      </c>
      <c r="K2491" s="45">
        <v>108.6</v>
      </c>
      <c r="L2491" s="45">
        <v>80.6</v>
      </c>
      <c r="M2491" s="45">
        <v>104.6</v>
      </c>
    </row>
    <row r="2492">
      <c r="A2492" s="34" t="s">
        <v>70</v>
      </c>
      <c r="B2492" s="34" t="s">
        <v>169</v>
      </c>
      <c r="C2492" s="34">
        <v>52.0</v>
      </c>
      <c r="D2492" s="34" t="s">
        <v>923</v>
      </c>
      <c r="E2492" s="34" t="s">
        <v>6051</v>
      </c>
      <c r="F2492" s="34" t="s">
        <v>6052</v>
      </c>
      <c r="G2492" s="34">
        <v>52121.0</v>
      </c>
      <c r="H2492" s="34" t="s">
        <v>4587</v>
      </c>
      <c r="I2492" s="34" t="s">
        <v>17</v>
      </c>
      <c r="J2492" s="34" t="s">
        <v>15</v>
      </c>
      <c r="K2492" s="45">
        <v>110.5</v>
      </c>
      <c r="L2492" s="9"/>
      <c r="M2492" s="45">
        <v>110.5</v>
      </c>
    </row>
    <row r="2493">
      <c r="A2493" s="34" t="s">
        <v>70</v>
      </c>
      <c r="B2493" s="34" t="s">
        <v>169</v>
      </c>
      <c r="C2493" s="34">
        <v>52.0</v>
      </c>
      <c r="D2493" s="34" t="s">
        <v>923</v>
      </c>
      <c r="E2493" s="34" t="s">
        <v>6053</v>
      </c>
      <c r="F2493" s="34" t="s">
        <v>6054</v>
      </c>
      <c r="G2493" s="34">
        <v>52121.0</v>
      </c>
      <c r="H2493" s="34" t="s">
        <v>4587</v>
      </c>
      <c r="I2493" s="34" t="s">
        <v>18</v>
      </c>
      <c r="J2493" s="34" t="s">
        <v>15</v>
      </c>
      <c r="K2493" s="45">
        <v>105.3</v>
      </c>
      <c r="L2493" s="9"/>
      <c r="M2493" s="45">
        <v>105.3</v>
      </c>
    </row>
    <row r="2494">
      <c r="A2494" s="34" t="s">
        <v>70</v>
      </c>
      <c r="B2494" s="34" t="s">
        <v>169</v>
      </c>
      <c r="C2494" s="34">
        <v>52.0</v>
      </c>
      <c r="D2494" s="34" t="s">
        <v>923</v>
      </c>
      <c r="E2494" s="34" t="s">
        <v>6055</v>
      </c>
      <c r="F2494" s="34" t="s">
        <v>6056</v>
      </c>
      <c r="G2494" s="34">
        <v>52448.0</v>
      </c>
      <c r="H2494" s="34" t="s">
        <v>4580</v>
      </c>
      <c r="I2494" s="34" t="s">
        <v>18</v>
      </c>
      <c r="J2494" s="34" t="s">
        <v>13</v>
      </c>
      <c r="K2494" s="9"/>
      <c r="L2494" s="45">
        <v>74.9</v>
      </c>
      <c r="M2494" s="45">
        <v>74.9</v>
      </c>
    </row>
    <row r="2495">
      <c r="A2495" s="34" t="s">
        <v>70</v>
      </c>
      <c r="B2495" s="34" t="s">
        <v>779</v>
      </c>
      <c r="C2495" s="34">
        <v>53.0</v>
      </c>
      <c r="D2495" s="34" t="s">
        <v>927</v>
      </c>
      <c r="E2495" s="34" t="s">
        <v>6057</v>
      </c>
      <c r="F2495" s="34" t="s">
        <v>1733</v>
      </c>
      <c r="G2495" s="34">
        <v>53062.0</v>
      </c>
      <c r="H2495" s="34" t="s">
        <v>4591</v>
      </c>
      <c r="I2495" s="34" t="s">
        <v>18</v>
      </c>
      <c r="J2495" s="34" t="s">
        <v>15</v>
      </c>
      <c r="K2495" s="45">
        <v>114.2</v>
      </c>
      <c r="L2495" s="9"/>
      <c r="M2495" s="45">
        <v>114.2</v>
      </c>
    </row>
    <row r="2496">
      <c r="A2496" s="34" t="s">
        <v>70</v>
      </c>
      <c r="B2496" s="34" t="s">
        <v>779</v>
      </c>
      <c r="C2496" s="34">
        <v>53.0</v>
      </c>
      <c r="D2496" s="34" t="s">
        <v>927</v>
      </c>
      <c r="E2496" s="34" t="s">
        <v>6058</v>
      </c>
      <c r="F2496" s="34" t="s">
        <v>6059</v>
      </c>
      <c r="G2496" s="34">
        <v>53130.0</v>
      </c>
      <c r="H2496" s="34" t="s">
        <v>2808</v>
      </c>
      <c r="I2496" s="34" t="s">
        <v>18</v>
      </c>
      <c r="J2496" s="34" t="s">
        <v>15</v>
      </c>
      <c r="K2496" s="45">
        <v>112.3</v>
      </c>
      <c r="L2496" s="9"/>
      <c r="M2496" s="45">
        <v>112.3</v>
      </c>
    </row>
    <row r="2497">
      <c r="A2497" s="34" t="s">
        <v>70</v>
      </c>
      <c r="B2497" s="34" t="s">
        <v>779</v>
      </c>
      <c r="C2497" s="34">
        <v>53.0</v>
      </c>
      <c r="D2497" s="34" t="s">
        <v>927</v>
      </c>
      <c r="E2497" s="34" t="s">
        <v>6060</v>
      </c>
      <c r="F2497" s="34" t="s">
        <v>6061</v>
      </c>
      <c r="G2497" s="34">
        <v>53130.0</v>
      </c>
      <c r="H2497" s="34" t="s">
        <v>2808</v>
      </c>
      <c r="I2497" s="34" t="s">
        <v>18</v>
      </c>
      <c r="J2497" s="34" t="s">
        <v>13</v>
      </c>
      <c r="K2497" s="9"/>
      <c r="L2497" s="45">
        <v>84.5</v>
      </c>
      <c r="M2497" s="45">
        <v>84.5</v>
      </c>
    </row>
    <row r="2498">
      <c r="A2498" s="34" t="s">
        <v>70</v>
      </c>
      <c r="B2498" s="34" t="s">
        <v>779</v>
      </c>
      <c r="C2498" s="34">
        <v>53.0</v>
      </c>
      <c r="D2498" s="34" t="s">
        <v>927</v>
      </c>
      <c r="E2498" s="34" t="s">
        <v>6062</v>
      </c>
      <c r="F2498" s="34" t="s">
        <v>1167</v>
      </c>
      <c r="G2498" s="34">
        <v>53147.0</v>
      </c>
      <c r="H2498" s="34" t="s">
        <v>927</v>
      </c>
      <c r="I2498" s="34" t="s">
        <v>18</v>
      </c>
      <c r="J2498" s="34" t="s">
        <v>15</v>
      </c>
      <c r="K2498" s="45">
        <v>111.5</v>
      </c>
      <c r="L2498" s="9"/>
      <c r="M2498" s="45">
        <v>111.5</v>
      </c>
    </row>
    <row r="2499">
      <c r="A2499" s="34" t="s">
        <v>70</v>
      </c>
      <c r="B2499" s="34" t="s">
        <v>779</v>
      </c>
      <c r="C2499" s="34">
        <v>53.0</v>
      </c>
      <c r="D2499" s="34" t="s">
        <v>927</v>
      </c>
      <c r="E2499" s="34" t="s">
        <v>6063</v>
      </c>
      <c r="F2499" s="34" t="s">
        <v>6064</v>
      </c>
      <c r="G2499" s="34">
        <v>53062.0</v>
      </c>
      <c r="H2499" s="34" t="s">
        <v>4591</v>
      </c>
      <c r="I2499" s="34" t="s">
        <v>17</v>
      </c>
      <c r="J2499" s="34" t="s">
        <v>15</v>
      </c>
      <c r="K2499" s="45">
        <v>111.9</v>
      </c>
      <c r="L2499" s="9"/>
      <c r="M2499" s="45">
        <v>111.9</v>
      </c>
    </row>
    <row r="2500">
      <c r="A2500" s="34" t="s">
        <v>70</v>
      </c>
      <c r="B2500" s="34" t="s">
        <v>930</v>
      </c>
      <c r="C2500" s="34">
        <v>54.0</v>
      </c>
      <c r="D2500" s="34" t="s">
        <v>931</v>
      </c>
      <c r="E2500" s="34" t="s">
        <v>6065</v>
      </c>
      <c r="F2500" s="34" t="s">
        <v>6066</v>
      </c>
      <c r="G2500" s="34">
        <v>54159.0</v>
      </c>
      <c r="H2500" s="34" t="s">
        <v>6067</v>
      </c>
      <c r="I2500" s="34" t="s">
        <v>18</v>
      </c>
      <c r="J2500" s="34" t="s">
        <v>13</v>
      </c>
      <c r="K2500" s="9"/>
      <c r="L2500" s="45">
        <v>79.8</v>
      </c>
      <c r="M2500" s="45">
        <v>79.8</v>
      </c>
    </row>
    <row r="2501">
      <c r="A2501" s="34" t="s">
        <v>70</v>
      </c>
      <c r="B2501" s="34" t="s">
        <v>930</v>
      </c>
      <c r="C2501" s="34">
        <v>54.0</v>
      </c>
      <c r="D2501" s="34" t="s">
        <v>931</v>
      </c>
      <c r="E2501" s="34" t="s">
        <v>6068</v>
      </c>
      <c r="F2501" s="34" t="s">
        <v>6069</v>
      </c>
      <c r="G2501" s="34">
        <v>54323.0</v>
      </c>
      <c r="H2501" s="34" t="s">
        <v>2825</v>
      </c>
      <c r="I2501" s="34" t="s">
        <v>18</v>
      </c>
      <c r="J2501" s="34" t="s">
        <v>14</v>
      </c>
      <c r="K2501" s="45">
        <v>99.2</v>
      </c>
      <c r="L2501" s="45">
        <v>78.2</v>
      </c>
      <c r="M2501" s="45">
        <v>97.1</v>
      </c>
    </row>
    <row r="2502">
      <c r="A2502" s="34" t="s">
        <v>70</v>
      </c>
      <c r="B2502" s="34" t="s">
        <v>930</v>
      </c>
      <c r="C2502" s="34">
        <v>54.0</v>
      </c>
      <c r="D2502" s="34" t="s">
        <v>931</v>
      </c>
      <c r="E2502" s="34" t="s">
        <v>6070</v>
      </c>
      <c r="F2502" s="34" t="s">
        <v>6071</v>
      </c>
      <c r="G2502" s="34">
        <v>54323.0</v>
      </c>
      <c r="H2502" s="34" t="s">
        <v>2825</v>
      </c>
      <c r="I2502" s="34" t="s">
        <v>18</v>
      </c>
      <c r="J2502" s="34" t="s">
        <v>13</v>
      </c>
      <c r="K2502" s="9"/>
      <c r="L2502" s="45">
        <v>76.7</v>
      </c>
      <c r="M2502" s="45">
        <v>76.7</v>
      </c>
    </row>
    <row r="2503">
      <c r="A2503" s="34" t="s">
        <v>70</v>
      </c>
      <c r="B2503" s="34" t="s">
        <v>930</v>
      </c>
      <c r="C2503" s="34">
        <v>54.0</v>
      </c>
      <c r="D2503" s="34" t="s">
        <v>931</v>
      </c>
      <c r="E2503" s="34" t="s">
        <v>6072</v>
      </c>
      <c r="F2503" s="34" t="s">
        <v>6073</v>
      </c>
      <c r="G2503" s="34">
        <v>54432.0</v>
      </c>
      <c r="H2503" s="34" t="s">
        <v>6074</v>
      </c>
      <c r="I2503" s="34" t="s">
        <v>18</v>
      </c>
      <c r="J2503" s="34" t="s">
        <v>13</v>
      </c>
      <c r="K2503" s="9"/>
      <c r="L2503" s="45">
        <v>74.5</v>
      </c>
      <c r="M2503" s="45">
        <v>74.5</v>
      </c>
    </row>
    <row r="2504">
      <c r="A2504" s="34" t="s">
        <v>70</v>
      </c>
      <c r="B2504" s="34" t="s">
        <v>930</v>
      </c>
      <c r="C2504" s="34">
        <v>54.0</v>
      </c>
      <c r="D2504" s="34" t="s">
        <v>931</v>
      </c>
      <c r="E2504" s="34" t="s">
        <v>6075</v>
      </c>
      <c r="F2504" s="34" t="s">
        <v>6076</v>
      </c>
      <c r="G2504" s="34">
        <v>54526.0</v>
      </c>
      <c r="H2504" s="34" t="s">
        <v>942</v>
      </c>
      <c r="I2504" s="34" t="s">
        <v>18</v>
      </c>
      <c r="J2504" s="34" t="s">
        <v>13</v>
      </c>
      <c r="K2504" s="9"/>
      <c r="L2504" s="45">
        <v>77.5</v>
      </c>
      <c r="M2504" s="45">
        <v>77.5</v>
      </c>
    </row>
    <row r="2505">
      <c r="A2505" s="34" t="s">
        <v>70</v>
      </c>
      <c r="B2505" s="34" t="s">
        <v>930</v>
      </c>
      <c r="C2505" s="34">
        <v>54.0</v>
      </c>
      <c r="D2505" s="34" t="s">
        <v>931</v>
      </c>
      <c r="E2505" s="34" t="s">
        <v>6077</v>
      </c>
      <c r="F2505" s="34" t="s">
        <v>6078</v>
      </c>
      <c r="G2505" s="34">
        <v>54528.0</v>
      </c>
      <c r="H2505" s="34" t="s">
        <v>2820</v>
      </c>
      <c r="I2505" s="34" t="s">
        <v>18</v>
      </c>
      <c r="J2505" s="34" t="s">
        <v>13</v>
      </c>
      <c r="K2505" s="9"/>
      <c r="L2505" s="45">
        <v>82.9</v>
      </c>
      <c r="M2505" s="45">
        <v>82.9</v>
      </c>
    </row>
    <row r="2506">
      <c r="A2506" s="34" t="s">
        <v>70</v>
      </c>
      <c r="B2506" s="34" t="s">
        <v>930</v>
      </c>
      <c r="C2506" s="34">
        <v>54.0</v>
      </c>
      <c r="D2506" s="34" t="s">
        <v>931</v>
      </c>
      <c r="E2506" s="34" t="s">
        <v>6079</v>
      </c>
      <c r="F2506" s="34" t="s">
        <v>6080</v>
      </c>
      <c r="G2506" s="34">
        <v>54295.0</v>
      </c>
      <c r="H2506" s="34" t="s">
        <v>6081</v>
      </c>
      <c r="I2506" s="34" t="s">
        <v>18</v>
      </c>
      <c r="J2506" s="34" t="s">
        <v>13</v>
      </c>
      <c r="K2506" s="9"/>
      <c r="L2506" s="45">
        <v>85.6</v>
      </c>
      <c r="M2506" s="45">
        <v>85.6</v>
      </c>
    </row>
    <row r="2507">
      <c r="A2507" s="34" t="s">
        <v>70</v>
      </c>
      <c r="B2507" s="34" t="s">
        <v>930</v>
      </c>
      <c r="C2507" s="34">
        <v>54.0</v>
      </c>
      <c r="D2507" s="34" t="s">
        <v>931</v>
      </c>
      <c r="E2507" s="34" t="s">
        <v>6082</v>
      </c>
      <c r="F2507" s="34" t="s">
        <v>6083</v>
      </c>
      <c r="G2507" s="34">
        <v>54329.0</v>
      </c>
      <c r="H2507" s="34" t="s">
        <v>934</v>
      </c>
      <c r="I2507" s="34" t="s">
        <v>17</v>
      </c>
      <c r="J2507" s="34" t="s">
        <v>15</v>
      </c>
      <c r="K2507" s="45">
        <v>103.6</v>
      </c>
      <c r="L2507" s="9"/>
      <c r="M2507" s="45">
        <v>103.6</v>
      </c>
    </row>
    <row r="2508">
      <c r="A2508" s="34" t="s">
        <v>70</v>
      </c>
      <c r="B2508" s="34" t="s">
        <v>930</v>
      </c>
      <c r="C2508" s="34">
        <v>54.0</v>
      </c>
      <c r="D2508" s="34" t="s">
        <v>931</v>
      </c>
      <c r="E2508" s="34" t="s">
        <v>6084</v>
      </c>
      <c r="F2508" s="34" t="s">
        <v>6085</v>
      </c>
      <c r="G2508" s="34">
        <v>54395.0</v>
      </c>
      <c r="H2508" s="34" t="s">
        <v>937</v>
      </c>
      <c r="I2508" s="34" t="s">
        <v>17</v>
      </c>
      <c r="J2508" s="34" t="s">
        <v>15</v>
      </c>
      <c r="K2508" s="45">
        <v>134.3</v>
      </c>
      <c r="L2508" s="9"/>
      <c r="M2508" s="45">
        <v>134.3</v>
      </c>
    </row>
    <row r="2509">
      <c r="A2509" s="34" t="s">
        <v>70</v>
      </c>
      <c r="B2509" s="34" t="s">
        <v>930</v>
      </c>
      <c r="C2509" s="34">
        <v>55.0</v>
      </c>
      <c r="D2509" s="34" t="s">
        <v>957</v>
      </c>
      <c r="E2509" s="34" t="s">
        <v>6086</v>
      </c>
      <c r="F2509" s="34" t="s">
        <v>6087</v>
      </c>
      <c r="G2509" s="34">
        <v>55029.0</v>
      </c>
      <c r="H2509" s="34" t="s">
        <v>960</v>
      </c>
      <c r="I2509" s="34" t="s">
        <v>18</v>
      </c>
      <c r="J2509" s="34" t="s">
        <v>13</v>
      </c>
      <c r="K2509" s="9"/>
      <c r="L2509" s="45">
        <v>80.7</v>
      </c>
      <c r="M2509" s="45">
        <v>80.7</v>
      </c>
    </row>
    <row r="2510">
      <c r="A2510" s="34" t="s">
        <v>70</v>
      </c>
      <c r="B2510" s="34" t="s">
        <v>930</v>
      </c>
      <c r="C2510" s="34">
        <v>55.0</v>
      </c>
      <c r="D2510" s="34" t="s">
        <v>957</v>
      </c>
      <c r="E2510" s="34" t="s">
        <v>6088</v>
      </c>
      <c r="F2510" s="34" t="s">
        <v>6089</v>
      </c>
      <c r="G2510" s="34">
        <v>55122.0</v>
      </c>
      <c r="H2510" s="34" t="s">
        <v>963</v>
      </c>
      <c r="I2510" s="34" t="s">
        <v>17</v>
      </c>
      <c r="J2510" s="34" t="s">
        <v>13</v>
      </c>
      <c r="K2510" s="9"/>
      <c r="L2510" s="45">
        <v>96.0</v>
      </c>
      <c r="M2510" s="45">
        <v>96.0</v>
      </c>
    </row>
    <row r="2511">
      <c r="A2511" s="34" t="s">
        <v>70</v>
      </c>
      <c r="B2511" s="34" t="s">
        <v>354</v>
      </c>
      <c r="C2511" s="34">
        <v>56.0</v>
      </c>
      <c r="D2511" s="34" t="s">
        <v>972</v>
      </c>
      <c r="E2511" s="34" t="s">
        <v>6090</v>
      </c>
      <c r="F2511" s="34" t="s">
        <v>2228</v>
      </c>
      <c r="G2511" s="34">
        <v>56091.0</v>
      </c>
      <c r="H2511" s="34" t="s">
        <v>6091</v>
      </c>
      <c r="I2511" s="34" t="s">
        <v>18</v>
      </c>
      <c r="J2511" s="34" t="s">
        <v>13</v>
      </c>
      <c r="K2511" s="9"/>
      <c r="L2511" s="45">
        <v>81.3</v>
      </c>
      <c r="M2511" s="45">
        <v>81.3</v>
      </c>
    </row>
    <row r="2512">
      <c r="A2512" s="34" t="s">
        <v>70</v>
      </c>
      <c r="B2512" s="34" t="s">
        <v>354</v>
      </c>
      <c r="C2512" s="34">
        <v>56.0</v>
      </c>
      <c r="D2512" s="34" t="s">
        <v>972</v>
      </c>
      <c r="E2512" s="34" t="s">
        <v>6092</v>
      </c>
      <c r="F2512" s="34" t="s">
        <v>6093</v>
      </c>
      <c r="G2512" s="34">
        <v>56121.0</v>
      </c>
      <c r="H2512" s="34" t="s">
        <v>6094</v>
      </c>
      <c r="I2512" s="34" t="s">
        <v>18</v>
      </c>
      <c r="J2512" s="34" t="s">
        <v>15</v>
      </c>
      <c r="K2512" s="45">
        <v>121.4</v>
      </c>
      <c r="L2512" s="9"/>
      <c r="M2512" s="45">
        <v>121.4</v>
      </c>
    </row>
    <row r="2513">
      <c r="A2513" s="34" t="s">
        <v>70</v>
      </c>
      <c r="B2513" s="34" t="s">
        <v>354</v>
      </c>
      <c r="C2513" s="34">
        <v>56.0</v>
      </c>
      <c r="D2513" s="34" t="s">
        <v>972</v>
      </c>
      <c r="E2513" s="34" t="s">
        <v>6095</v>
      </c>
      <c r="F2513" s="34" t="s">
        <v>6096</v>
      </c>
      <c r="G2513" s="34">
        <v>56121.0</v>
      </c>
      <c r="H2513" s="34" t="s">
        <v>6094</v>
      </c>
      <c r="I2513" s="34" t="s">
        <v>18</v>
      </c>
      <c r="J2513" s="34" t="s">
        <v>14</v>
      </c>
      <c r="K2513" s="45">
        <v>119.9</v>
      </c>
      <c r="L2513" s="45">
        <v>94.1</v>
      </c>
      <c r="M2513" s="45">
        <v>113.7</v>
      </c>
    </row>
    <row r="2514">
      <c r="A2514" s="34" t="s">
        <v>70</v>
      </c>
      <c r="B2514" s="34" t="s">
        <v>354</v>
      </c>
      <c r="C2514" s="34">
        <v>56.0</v>
      </c>
      <c r="D2514" s="34" t="s">
        <v>972</v>
      </c>
      <c r="E2514" s="34" t="s">
        <v>6097</v>
      </c>
      <c r="F2514" s="34" t="s">
        <v>6098</v>
      </c>
      <c r="G2514" s="34">
        <v>56121.0</v>
      </c>
      <c r="H2514" s="34" t="s">
        <v>6094</v>
      </c>
      <c r="I2514" s="34" t="s">
        <v>18</v>
      </c>
      <c r="J2514" s="34" t="s">
        <v>14</v>
      </c>
      <c r="K2514" s="45">
        <v>102.0</v>
      </c>
      <c r="L2514" s="45">
        <v>87.2</v>
      </c>
      <c r="M2514" s="45">
        <v>89.7</v>
      </c>
    </row>
    <row r="2515">
      <c r="A2515" s="34" t="s">
        <v>70</v>
      </c>
      <c r="B2515" s="34" t="s">
        <v>354</v>
      </c>
      <c r="C2515" s="34">
        <v>56.0</v>
      </c>
      <c r="D2515" s="34" t="s">
        <v>972</v>
      </c>
      <c r="E2515" s="34" t="s">
        <v>6099</v>
      </c>
      <c r="F2515" s="34" t="s">
        <v>6100</v>
      </c>
      <c r="G2515" s="34">
        <v>56178.0</v>
      </c>
      <c r="H2515" s="34" t="s">
        <v>975</v>
      </c>
      <c r="I2515" s="34" t="s">
        <v>18</v>
      </c>
      <c r="J2515" s="34" t="s">
        <v>13</v>
      </c>
      <c r="K2515" s="9"/>
      <c r="L2515" s="45">
        <v>87.9</v>
      </c>
      <c r="M2515" s="45">
        <v>87.9</v>
      </c>
    </row>
    <row r="2516">
      <c r="A2516" s="34" t="s">
        <v>70</v>
      </c>
      <c r="B2516" s="34" t="s">
        <v>354</v>
      </c>
      <c r="C2516" s="34">
        <v>56.0</v>
      </c>
      <c r="D2516" s="34" t="s">
        <v>972</v>
      </c>
      <c r="E2516" s="34" t="s">
        <v>6101</v>
      </c>
      <c r="F2516" s="34" t="s">
        <v>307</v>
      </c>
      <c r="G2516" s="34">
        <v>56121.0</v>
      </c>
      <c r="H2516" s="34" t="s">
        <v>6094</v>
      </c>
      <c r="I2516" s="34" t="s">
        <v>17</v>
      </c>
      <c r="J2516" s="34" t="s">
        <v>15</v>
      </c>
      <c r="K2516" s="45">
        <v>124.4</v>
      </c>
      <c r="L2516" s="9"/>
      <c r="M2516" s="45">
        <v>124.4</v>
      </c>
    </row>
    <row r="2517">
      <c r="A2517" s="34" t="s">
        <v>70</v>
      </c>
      <c r="B2517" s="34" t="s">
        <v>354</v>
      </c>
      <c r="C2517" s="34">
        <v>56.0</v>
      </c>
      <c r="D2517" s="34" t="s">
        <v>972</v>
      </c>
      <c r="E2517" s="34" t="s">
        <v>6102</v>
      </c>
      <c r="F2517" s="34" t="s">
        <v>6103</v>
      </c>
      <c r="G2517" s="34">
        <v>56121.0</v>
      </c>
      <c r="H2517" s="34" t="s">
        <v>6094</v>
      </c>
      <c r="I2517" s="34" t="s">
        <v>17</v>
      </c>
      <c r="J2517" s="34" t="s">
        <v>14</v>
      </c>
      <c r="K2517" s="45">
        <v>120.1</v>
      </c>
      <c r="L2517" s="45">
        <v>101.3</v>
      </c>
      <c r="M2517" s="45">
        <v>110.6</v>
      </c>
    </row>
    <row r="2518">
      <c r="A2518" s="34" t="s">
        <v>70</v>
      </c>
      <c r="B2518" s="34" t="s">
        <v>354</v>
      </c>
      <c r="C2518" s="34">
        <v>56.0</v>
      </c>
      <c r="D2518" s="34" t="s">
        <v>972</v>
      </c>
      <c r="E2518" s="34" t="s">
        <v>6104</v>
      </c>
      <c r="F2518" s="34" t="s">
        <v>6105</v>
      </c>
      <c r="G2518" s="34">
        <v>56260.0</v>
      </c>
      <c r="H2518" s="34" t="s">
        <v>978</v>
      </c>
      <c r="I2518" s="34" t="s">
        <v>17</v>
      </c>
      <c r="J2518" s="34" t="s">
        <v>14</v>
      </c>
      <c r="K2518" s="45">
        <v>124.1</v>
      </c>
      <c r="L2518" s="45">
        <v>108.2</v>
      </c>
      <c r="M2518" s="45">
        <v>114.0</v>
      </c>
    </row>
    <row r="2519">
      <c r="A2519" s="34" t="s">
        <v>70</v>
      </c>
      <c r="B2519" s="34" t="s">
        <v>354</v>
      </c>
      <c r="C2519" s="34">
        <v>56.0</v>
      </c>
      <c r="D2519" s="34" t="s">
        <v>972</v>
      </c>
      <c r="E2519" s="34" t="s">
        <v>6106</v>
      </c>
      <c r="F2519" s="34" t="s">
        <v>6107</v>
      </c>
      <c r="G2519" s="34">
        <v>56260.0</v>
      </c>
      <c r="H2519" s="34" t="s">
        <v>978</v>
      </c>
      <c r="I2519" s="34" t="s">
        <v>17</v>
      </c>
      <c r="J2519" s="34" t="s">
        <v>14</v>
      </c>
      <c r="K2519" s="45">
        <v>107.0</v>
      </c>
      <c r="L2519" s="45">
        <v>100.7</v>
      </c>
      <c r="M2519" s="45">
        <v>104.9</v>
      </c>
    </row>
    <row r="2520">
      <c r="A2520" s="34" t="s">
        <v>70</v>
      </c>
      <c r="B2520" s="34" t="s">
        <v>354</v>
      </c>
      <c r="C2520" s="34">
        <v>56.0</v>
      </c>
      <c r="D2520" s="34" t="s">
        <v>972</v>
      </c>
      <c r="E2520" s="34" t="s">
        <v>6108</v>
      </c>
      <c r="F2520" s="34" t="s">
        <v>6109</v>
      </c>
      <c r="G2520" s="34">
        <v>56117.0</v>
      </c>
      <c r="H2520" s="34" t="s">
        <v>6110</v>
      </c>
      <c r="I2520" s="34" t="s">
        <v>18</v>
      </c>
      <c r="J2520" s="34" t="s">
        <v>14</v>
      </c>
      <c r="K2520" s="45">
        <v>94.3</v>
      </c>
      <c r="L2520" s="45">
        <v>90.7</v>
      </c>
      <c r="M2520" s="45">
        <v>91.0</v>
      </c>
    </row>
    <row r="2521">
      <c r="A2521" s="34" t="s">
        <v>70</v>
      </c>
      <c r="B2521" s="34" t="s">
        <v>354</v>
      </c>
      <c r="C2521" s="34">
        <v>56.0</v>
      </c>
      <c r="D2521" s="34" t="s">
        <v>972</v>
      </c>
      <c r="E2521" s="34" t="s">
        <v>6111</v>
      </c>
      <c r="F2521" s="34" t="s">
        <v>6112</v>
      </c>
      <c r="G2521" s="34">
        <v>56098.0</v>
      </c>
      <c r="H2521" s="34" t="s">
        <v>6113</v>
      </c>
      <c r="I2521" s="34" t="s">
        <v>18</v>
      </c>
      <c r="J2521" s="34" t="s">
        <v>14</v>
      </c>
      <c r="K2521" s="45">
        <v>118.9</v>
      </c>
      <c r="L2521" s="45">
        <v>84.4</v>
      </c>
      <c r="M2521" s="45">
        <v>110.8</v>
      </c>
    </row>
    <row r="2522">
      <c r="A2522" s="34" t="s">
        <v>70</v>
      </c>
      <c r="B2522" s="34" t="s">
        <v>930</v>
      </c>
      <c r="C2522" s="34">
        <v>57.0</v>
      </c>
      <c r="D2522" s="34" t="s">
        <v>983</v>
      </c>
      <c r="E2522" s="34" t="s">
        <v>6114</v>
      </c>
      <c r="F2522" s="34" t="s">
        <v>1324</v>
      </c>
      <c r="G2522" s="34">
        <v>57206.0</v>
      </c>
      <c r="H2522" s="34" t="s">
        <v>1004</v>
      </c>
      <c r="I2522" s="34" t="s">
        <v>18</v>
      </c>
      <c r="J2522" s="34" t="s">
        <v>15</v>
      </c>
      <c r="K2522" s="45">
        <v>91.3</v>
      </c>
      <c r="L2522" s="9"/>
      <c r="M2522" s="45">
        <v>91.3</v>
      </c>
    </row>
    <row r="2523">
      <c r="A2523" s="34" t="s">
        <v>70</v>
      </c>
      <c r="B2523" s="34" t="s">
        <v>930</v>
      </c>
      <c r="C2523" s="34">
        <v>57.0</v>
      </c>
      <c r="D2523" s="34" t="s">
        <v>983</v>
      </c>
      <c r="E2523" s="34" t="s">
        <v>6115</v>
      </c>
      <c r="F2523" s="34" t="s">
        <v>456</v>
      </c>
      <c r="G2523" s="34">
        <v>57227.0</v>
      </c>
      <c r="H2523" s="34" t="s">
        <v>1007</v>
      </c>
      <c r="I2523" s="34" t="s">
        <v>18</v>
      </c>
      <c r="J2523" s="34" t="s">
        <v>15</v>
      </c>
      <c r="K2523" s="45">
        <v>88.1</v>
      </c>
      <c r="L2523" s="9"/>
      <c r="M2523" s="45">
        <v>88.1</v>
      </c>
    </row>
    <row r="2524">
      <c r="A2524" s="34" t="s">
        <v>70</v>
      </c>
      <c r="B2524" s="34" t="s">
        <v>930</v>
      </c>
      <c r="C2524" s="34">
        <v>57.0</v>
      </c>
      <c r="D2524" s="34" t="s">
        <v>983</v>
      </c>
      <c r="E2524" s="34" t="s">
        <v>6116</v>
      </c>
      <c r="F2524" s="34" t="s">
        <v>6117</v>
      </c>
      <c r="G2524" s="34">
        <v>57227.0</v>
      </c>
      <c r="H2524" s="34" t="s">
        <v>1007</v>
      </c>
      <c r="I2524" s="34" t="s">
        <v>18</v>
      </c>
      <c r="J2524" s="34" t="s">
        <v>14</v>
      </c>
      <c r="K2524" s="45">
        <v>71.0</v>
      </c>
      <c r="L2524" s="45">
        <v>65.0</v>
      </c>
      <c r="M2524" s="45">
        <v>67.7</v>
      </c>
    </row>
    <row r="2525">
      <c r="A2525" s="34" t="s">
        <v>70</v>
      </c>
      <c r="B2525" s="34" t="s">
        <v>930</v>
      </c>
      <c r="C2525" s="34">
        <v>57.0</v>
      </c>
      <c r="D2525" s="34" t="s">
        <v>983</v>
      </c>
      <c r="E2525" s="34" t="s">
        <v>6118</v>
      </c>
      <c r="F2525" s="34" t="s">
        <v>6119</v>
      </c>
      <c r="G2525" s="34">
        <v>57463.0</v>
      </c>
      <c r="H2525" s="34" t="s">
        <v>989</v>
      </c>
      <c r="I2525" s="34" t="s">
        <v>18</v>
      </c>
      <c r="J2525" s="34" t="s">
        <v>15</v>
      </c>
      <c r="K2525" s="45">
        <v>127.8</v>
      </c>
      <c r="L2525" s="9"/>
      <c r="M2525" s="45">
        <v>127.8</v>
      </c>
    </row>
    <row r="2526">
      <c r="A2526" s="34" t="s">
        <v>70</v>
      </c>
      <c r="B2526" s="34" t="s">
        <v>930</v>
      </c>
      <c r="C2526" s="34">
        <v>57.0</v>
      </c>
      <c r="D2526" s="34" t="s">
        <v>983</v>
      </c>
      <c r="E2526" s="34" t="s">
        <v>6120</v>
      </c>
      <c r="F2526" s="34" t="s">
        <v>6121</v>
      </c>
      <c r="G2526" s="34">
        <v>57606.0</v>
      </c>
      <c r="H2526" s="34" t="s">
        <v>2895</v>
      </c>
      <c r="I2526" s="34" t="s">
        <v>18</v>
      </c>
      <c r="J2526" s="34" t="s">
        <v>14</v>
      </c>
      <c r="K2526" s="45">
        <v>103.6</v>
      </c>
      <c r="L2526" s="45">
        <v>77.7</v>
      </c>
      <c r="M2526" s="45">
        <v>98.9</v>
      </c>
    </row>
    <row r="2527">
      <c r="A2527" s="34" t="s">
        <v>70</v>
      </c>
      <c r="B2527" s="34" t="s">
        <v>930</v>
      </c>
      <c r="C2527" s="34">
        <v>57.0</v>
      </c>
      <c r="D2527" s="34" t="s">
        <v>983</v>
      </c>
      <c r="E2527" s="34" t="s">
        <v>6122</v>
      </c>
      <c r="F2527" s="34" t="s">
        <v>3345</v>
      </c>
      <c r="G2527" s="34">
        <v>57672.0</v>
      </c>
      <c r="H2527" s="34" t="s">
        <v>995</v>
      </c>
      <c r="I2527" s="34" t="s">
        <v>18</v>
      </c>
      <c r="J2527" s="34" t="s">
        <v>15</v>
      </c>
      <c r="K2527" s="45">
        <v>117.4</v>
      </c>
      <c r="L2527" s="9"/>
      <c r="M2527" s="45">
        <v>117.4</v>
      </c>
    </row>
    <row r="2528">
      <c r="A2528" s="34" t="s">
        <v>70</v>
      </c>
      <c r="B2528" s="34" t="s">
        <v>930</v>
      </c>
      <c r="C2528" s="34">
        <v>57.0</v>
      </c>
      <c r="D2528" s="34" t="s">
        <v>983</v>
      </c>
      <c r="E2528" s="34" t="s">
        <v>6123</v>
      </c>
      <c r="F2528" s="34" t="s">
        <v>6124</v>
      </c>
      <c r="G2528" s="34">
        <v>57672.0</v>
      </c>
      <c r="H2528" s="34" t="s">
        <v>995</v>
      </c>
      <c r="I2528" s="34" t="s">
        <v>18</v>
      </c>
      <c r="J2528" s="34" t="s">
        <v>14</v>
      </c>
      <c r="K2528" s="45">
        <v>107.8</v>
      </c>
      <c r="L2528" s="45">
        <v>84.4</v>
      </c>
      <c r="M2528" s="45">
        <v>90.6</v>
      </c>
    </row>
    <row r="2529">
      <c r="A2529" s="34" t="s">
        <v>70</v>
      </c>
      <c r="B2529" s="34" t="s">
        <v>930</v>
      </c>
      <c r="C2529" s="34">
        <v>57.0</v>
      </c>
      <c r="D2529" s="34" t="s">
        <v>983</v>
      </c>
      <c r="E2529" s="34" t="s">
        <v>6125</v>
      </c>
      <c r="F2529" s="34" t="s">
        <v>4871</v>
      </c>
      <c r="G2529" s="34">
        <v>57534.0</v>
      </c>
      <c r="H2529" s="34" t="s">
        <v>6126</v>
      </c>
      <c r="I2529" s="34" t="s">
        <v>17</v>
      </c>
      <c r="J2529" s="34" t="s">
        <v>15</v>
      </c>
      <c r="K2529" s="45">
        <v>107.7</v>
      </c>
      <c r="L2529" s="9"/>
      <c r="M2529" s="45">
        <v>107.7</v>
      </c>
    </row>
    <row r="2530">
      <c r="A2530" s="34" t="s">
        <v>70</v>
      </c>
      <c r="B2530" s="34" t="s">
        <v>930</v>
      </c>
      <c r="C2530" s="34">
        <v>57.0</v>
      </c>
      <c r="D2530" s="34" t="s">
        <v>983</v>
      </c>
      <c r="E2530" s="34" t="s">
        <v>6127</v>
      </c>
      <c r="F2530" s="34" t="s">
        <v>6128</v>
      </c>
      <c r="G2530" s="34">
        <v>57631.0</v>
      </c>
      <c r="H2530" s="34" t="s">
        <v>2885</v>
      </c>
      <c r="I2530" s="34" t="s">
        <v>17</v>
      </c>
      <c r="J2530" s="34" t="s">
        <v>15</v>
      </c>
      <c r="K2530" s="45">
        <v>117.8</v>
      </c>
      <c r="L2530" s="9"/>
      <c r="M2530" s="45">
        <v>117.8</v>
      </c>
    </row>
    <row r="2531">
      <c r="A2531" s="34" t="s">
        <v>70</v>
      </c>
      <c r="B2531" s="34" t="s">
        <v>930</v>
      </c>
      <c r="C2531" s="34">
        <v>57.0</v>
      </c>
      <c r="D2531" s="34" t="s">
        <v>983</v>
      </c>
      <c r="E2531" s="34" t="s">
        <v>6129</v>
      </c>
      <c r="F2531" s="34" t="s">
        <v>1938</v>
      </c>
      <c r="G2531" s="34">
        <v>57672.0</v>
      </c>
      <c r="H2531" s="34" t="s">
        <v>995</v>
      </c>
      <c r="I2531" s="34" t="s">
        <v>17</v>
      </c>
      <c r="J2531" s="34" t="s">
        <v>15</v>
      </c>
      <c r="K2531" s="45">
        <v>124.6</v>
      </c>
      <c r="L2531" s="9"/>
      <c r="M2531" s="45">
        <v>124.6</v>
      </c>
    </row>
    <row r="2532">
      <c r="A2532" s="34" t="s">
        <v>70</v>
      </c>
      <c r="B2532" s="34" t="s">
        <v>930</v>
      </c>
      <c r="C2532" s="34">
        <v>57.0</v>
      </c>
      <c r="D2532" s="34" t="s">
        <v>983</v>
      </c>
      <c r="E2532" s="34" t="s">
        <v>6130</v>
      </c>
      <c r="F2532" s="34" t="s">
        <v>6131</v>
      </c>
      <c r="G2532" s="34">
        <v>57529.0</v>
      </c>
      <c r="H2532" s="34" t="s">
        <v>6132</v>
      </c>
      <c r="I2532" s="34" t="s">
        <v>17</v>
      </c>
      <c r="J2532" s="34" t="s">
        <v>13</v>
      </c>
      <c r="K2532" s="9"/>
      <c r="L2532" s="45">
        <v>70.5</v>
      </c>
      <c r="M2532" s="45">
        <v>70.5</v>
      </c>
    </row>
    <row r="2533">
      <c r="A2533" s="34" t="s">
        <v>70</v>
      </c>
      <c r="B2533" s="34" t="s">
        <v>930</v>
      </c>
      <c r="C2533" s="34">
        <v>57.0</v>
      </c>
      <c r="D2533" s="34" t="s">
        <v>983</v>
      </c>
      <c r="E2533" s="34" t="s">
        <v>6133</v>
      </c>
      <c r="F2533" s="34" t="s">
        <v>6134</v>
      </c>
      <c r="G2533" s="34">
        <v>57058.0</v>
      </c>
      <c r="H2533" s="34" t="s">
        <v>6135</v>
      </c>
      <c r="I2533" s="34" t="s">
        <v>18</v>
      </c>
      <c r="J2533" s="34" t="s">
        <v>13</v>
      </c>
      <c r="K2533" s="9"/>
      <c r="L2533" s="45">
        <v>75.0</v>
      </c>
      <c r="M2533" s="45">
        <v>75.0</v>
      </c>
    </row>
    <row r="2534">
      <c r="A2534" s="34" t="s">
        <v>70</v>
      </c>
      <c r="B2534" s="34" t="s">
        <v>930</v>
      </c>
      <c r="C2534" s="34">
        <v>57.0</v>
      </c>
      <c r="D2534" s="34" t="s">
        <v>983</v>
      </c>
      <c r="E2534" s="34" t="s">
        <v>6136</v>
      </c>
      <c r="F2534" s="34" t="s">
        <v>6137</v>
      </c>
      <c r="G2534" s="34">
        <v>57463.0</v>
      </c>
      <c r="H2534" s="34" t="s">
        <v>989</v>
      </c>
      <c r="I2534" s="34" t="s">
        <v>18</v>
      </c>
      <c r="J2534" s="34" t="s">
        <v>14</v>
      </c>
      <c r="K2534" s="45">
        <v>114.8</v>
      </c>
      <c r="L2534" s="45">
        <v>89.1</v>
      </c>
      <c r="M2534" s="45">
        <v>97.4</v>
      </c>
    </row>
    <row r="2535">
      <c r="A2535" s="34" t="s">
        <v>70</v>
      </c>
      <c r="B2535" s="34" t="s">
        <v>930</v>
      </c>
      <c r="C2535" s="34">
        <v>57.0</v>
      </c>
      <c r="D2535" s="34" t="s">
        <v>983</v>
      </c>
      <c r="E2535" s="34" t="s">
        <v>6138</v>
      </c>
      <c r="F2535" s="34" t="s">
        <v>6139</v>
      </c>
      <c r="G2535" s="34">
        <v>57089.0</v>
      </c>
      <c r="H2535" s="34" t="s">
        <v>6140</v>
      </c>
      <c r="I2535" s="34" t="s">
        <v>18</v>
      </c>
      <c r="J2535" s="34" t="s">
        <v>14</v>
      </c>
      <c r="K2535" s="45">
        <v>108.4</v>
      </c>
      <c r="L2535" s="45">
        <v>82.7</v>
      </c>
      <c r="M2535" s="45">
        <v>104.1</v>
      </c>
    </row>
    <row r="2536">
      <c r="A2536" s="34" t="s">
        <v>70</v>
      </c>
      <c r="B2536" s="34" t="s">
        <v>930</v>
      </c>
      <c r="C2536" s="34">
        <v>57.0</v>
      </c>
      <c r="D2536" s="34" t="s">
        <v>983</v>
      </c>
      <c r="E2536" s="34" t="s">
        <v>6141</v>
      </c>
      <c r="F2536" s="34" t="s">
        <v>6142</v>
      </c>
      <c r="G2536" s="34">
        <v>57240.0</v>
      </c>
      <c r="H2536" s="34" t="s">
        <v>986</v>
      </c>
      <c r="I2536" s="34" t="s">
        <v>18</v>
      </c>
      <c r="J2536" s="34" t="s">
        <v>13</v>
      </c>
      <c r="K2536" s="9"/>
      <c r="L2536" s="45">
        <v>69.2</v>
      </c>
      <c r="M2536" s="45">
        <v>69.2</v>
      </c>
    </row>
    <row r="2537">
      <c r="A2537" s="34" t="s">
        <v>70</v>
      </c>
      <c r="B2537" s="34" t="s">
        <v>930</v>
      </c>
      <c r="C2537" s="34">
        <v>57.0</v>
      </c>
      <c r="D2537" s="34" t="s">
        <v>983</v>
      </c>
      <c r="E2537" s="34" t="s">
        <v>6143</v>
      </c>
      <c r="F2537" s="34" t="s">
        <v>6144</v>
      </c>
      <c r="G2537" s="34">
        <v>57463.0</v>
      </c>
      <c r="H2537" s="34" t="s">
        <v>989</v>
      </c>
      <c r="I2537" s="34" t="s">
        <v>17</v>
      </c>
      <c r="J2537" s="34" t="s">
        <v>15</v>
      </c>
      <c r="K2537" s="45">
        <v>79.0</v>
      </c>
      <c r="L2537" s="9"/>
      <c r="M2537" s="45">
        <v>79.0</v>
      </c>
    </row>
    <row r="2538">
      <c r="A2538" s="34" t="s">
        <v>70</v>
      </c>
      <c r="B2538" s="34" t="s">
        <v>333</v>
      </c>
      <c r="C2538" s="34">
        <v>58.0</v>
      </c>
      <c r="D2538" s="34" t="s">
        <v>1011</v>
      </c>
      <c r="E2538" s="34" t="s">
        <v>6145</v>
      </c>
      <c r="F2538" s="34" t="s">
        <v>6146</v>
      </c>
      <c r="G2538" s="34">
        <v>58194.0</v>
      </c>
      <c r="H2538" s="34" t="s">
        <v>2900</v>
      </c>
      <c r="I2538" s="34" t="s">
        <v>18</v>
      </c>
      <c r="J2538" s="34" t="s">
        <v>15</v>
      </c>
      <c r="K2538" s="45">
        <v>107.6</v>
      </c>
      <c r="L2538" s="9"/>
      <c r="M2538" s="45">
        <v>107.6</v>
      </c>
    </row>
    <row r="2539">
      <c r="A2539" s="34" t="s">
        <v>70</v>
      </c>
      <c r="B2539" s="34" t="s">
        <v>333</v>
      </c>
      <c r="C2539" s="34">
        <v>58.0</v>
      </c>
      <c r="D2539" s="34" t="s">
        <v>1011</v>
      </c>
      <c r="E2539" s="34" t="s">
        <v>6147</v>
      </c>
      <c r="F2539" s="34" t="s">
        <v>6148</v>
      </c>
      <c r="G2539" s="34">
        <v>58062.0</v>
      </c>
      <c r="H2539" s="34" t="s">
        <v>6149</v>
      </c>
      <c r="I2539" s="34" t="s">
        <v>18</v>
      </c>
      <c r="J2539" s="34" t="s">
        <v>13</v>
      </c>
      <c r="K2539" s="9"/>
      <c r="L2539" s="45">
        <v>91.4</v>
      </c>
      <c r="M2539" s="45">
        <v>91.4</v>
      </c>
    </row>
    <row r="2540">
      <c r="A2540" s="34" t="s">
        <v>70</v>
      </c>
      <c r="B2540" s="34" t="s">
        <v>333</v>
      </c>
      <c r="C2540" s="34">
        <v>58.0</v>
      </c>
      <c r="D2540" s="34" t="s">
        <v>1011</v>
      </c>
      <c r="E2540" s="34" t="s">
        <v>6150</v>
      </c>
      <c r="F2540" s="34" t="s">
        <v>6151</v>
      </c>
      <c r="G2540" s="34">
        <v>58194.0</v>
      </c>
      <c r="H2540" s="34" t="s">
        <v>2900</v>
      </c>
      <c r="I2540" s="34" t="s">
        <v>18</v>
      </c>
      <c r="J2540" s="34" t="s">
        <v>15</v>
      </c>
      <c r="K2540" s="45">
        <v>115.3</v>
      </c>
      <c r="L2540" s="9"/>
      <c r="M2540" s="45">
        <v>115.3</v>
      </c>
    </row>
    <row r="2541">
      <c r="A2541" s="34" t="s">
        <v>70</v>
      </c>
      <c r="B2541" s="34" t="s">
        <v>46</v>
      </c>
      <c r="C2541" s="34">
        <v>59.0</v>
      </c>
      <c r="D2541" s="34" t="s">
        <v>1027</v>
      </c>
      <c r="E2541" s="34" t="s">
        <v>6152</v>
      </c>
      <c r="F2541" s="34" t="s">
        <v>6153</v>
      </c>
      <c r="G2541" s="34">
        <v>59136.0</v>
      </c>
      <c r="H2541" s="34" t="s">
        <v>6154</v>
      </c>
      <c r="I2541" s="34" t="s">
        <v>18</v>
      </c>
      <c r="J2541" s="34" t="s">
        <v>14</v>
      </c>
      <c r="K2541" s="45">
        <v>89.4</v>
      </c>
      <c r="L2541" s="45">
        <v>68.8</v>
      </c>
      <c r="M2541" s="45">
        <v>80.7</v>
      </c>
    </row>
    <row r="2542">
      <c r="A2542" s="34" t="s">
        <v>70</v>
      </c>
      <c r="B2542" s="34" t="s">
        <v>46</v>
      </c>
      <c r="C2542" s="34">
        <v>59.0</v>
      </c>
      <c r="D2542" s="34" t="s">
        <v>1027</v>
      </c>
      <c r="E2542" s="34" t="s">
        <v>6155</v>
      </c>
      <c r="F2542" s="34" t="s">
        <v>6156</v>
      </c>
      <c r="G2542" s="34">
        <v>59183.0</v>
      </c>
      <c r="H2542" s="34" t="s">
        <v>1039</v>
      </c>
      <c r="I2542" s="34" t="s">
        <v>18</v>
      </c>
      <c r="J2542" s="34" t="s">
        <v>15</v>
      </c>
      <c r="K2542" s="45">
        <v>114.8</v>
      </c>
      <c r="L2542" s="9"/>
      <c r="M2542" s="45">
        <v>114.8</v>
      </c>
    </row>
    <row r="2543">
      <c r="A2543" s="34" t="s">
        <v>70</v>
      </c>
      <c r="B2543" s="34" t="s">
        <v>46</v>
      </c>
      <c r="C2543" s="34">
        <v>59.0</v>
      </c>
      <c r="D2543" s="34" t="s">
        <v>1027</v>
      </c>
      <c r="E2543" s="34" t="s">
        <v>6157</v>
      </c>
      <c r="F2543" s="34" t="s">
        <v>6158</v>
      </c>
      <c r="G2543" s="34">
        <v>59328.0</v>
      </c>
      <c r="H2543" s="34" t="s">
        <v>1099</v>
      </c>
      <c r="I2543" s="34" t="s">
        <v>18</v>
      </c>
      <c r="J2543" s="34" t="s">
        <v>15</v>
      </c>
      <c r="K2543" s="45">
        <v>121.3</v>
      </c>
      <c r="L2543" s="9"/>
      <c r="M2543" s="45">
        <v>121.3</v>
      </c>
    </row>
    <row r="2544">
      <c r="A2544" s="34" t="s">
        <v>70</v>
      </c>
      <c r="B2544" s="34" t="s">
        <v>46</v>
      </c>
      <c r="C2544" s="34">
        <v>59.0</v>
      </c>
      <c r="D2544" s="34" t="s">
        <v>1027</v>
      </c>
      <c r="E2544" s="34" t="s">
        <v>6159</v>
      </c>
      <c r="F2544" s="34" t="s">
        <v>6160</v>
      </c>
      <c r="G2544" s="34">
        <v>59350.0</v>
      </c>
      <c r="H2544" s="34" t="s">
        <v>46</v>
      </c>
      <c r="I2544" s="34" t="s">
        <v>18</v>
      </c>
      <c r="J2544" s="34" t="s">
        <v>15</v>
      </c>
      <c r="K2544" s="45">
        <v>114.7</v>
      </c>
      <c r="L2544" s="9"/>
      <c r="M2544" s="45">
        <v>114.7</v>
      </c>
    </row>
    <row r="2545">
      <c r="A2545" s="34" t="s">
        <v>70</v>
      </c>
      <c r="B2545" s="34" t="s">
        <v>46</v>
      </c>
      <c r="C2545" s="34">
        <v>59.0</v>
      </c>
      <c r="D2545" s="34" t="s">
        <v>1027</v>
      </c>
      <c r="E2545" s="34" t="s">
        <v>6161</v>
      </c>
      <c r="F2545" s="34" t="s">
        <v>6162</v>
      </c>
      <c r="G2545" s="34">
        <v>59350.0</v>
      </c>
      <c r="H2545" s="34" t="s">
        <v>46</v>
      </c>
      <c r="I2545" s="34" t="s">
        <v>18</v>
      </c>
      <c r="J2545" s="34" t="s">
        <v>15</v>
      </c>
      <c r="K2545" s="45">
        <v>113.8</v>
      </c>
      <c r="L2545" s="9"/>
      <c r="M2545" s="45">
        <v>113.8</v>
      </c>
    </row>
    <row r="2546">
      <c r="A2546" s="34" t="s">
        <v>70</v>
      </c>
      <c r="B2546" s="34" t="s">
        <v>46</v>
      </c>
      <c r="C2546" s="34">
        <v>59.0</v>
      </c>
      <c r="D2546" s="34" t="s">
        <v>1027</v>
      </c>
      <c r="E2546" s="34" t="s">
        <v>6163</v>
      </c>
      <c r="F2546" s="34" t="s">
        <v>6164</v>
      </c>
      <c r="G2546" s="34">
        <v>59350.0</v>
      </c>
      <c r="H2546" s="34" t="s">
        <v>46</v>
      </c>
      <c r="I2546" s="34" t="s">
        <v>18</v>
      </c>
      <c r="J2546" s="34" t="s">
        <v>14</v>
      </c>
      <c r="K2546" s="45">
        <v>116.9</v>
      </c>
      <c r="L2546" s="45">
        <v>87.2</v>
      </c>
      <c r="M2546" s="45">
        <v>91.2</v>
      </c>
    </row>
    <row r="2547">
      <c r="A2547" s="34" t="s">
        <v>70</v>
      </c>
      <c r="B2547" s="34" t="s">
        <v>46</v>
      </c>
      <c r="C2547" s="34">
        <v>59.0</v>
      </c>
      <c r="D2547" s="34" t="s">
        <v>1027</v>
      </c>
      <c r="E2547" s="34" t="s">
        <v>6165</v>
      </c>
      <c r="F2547" s="34" t="s">
        <v>6166</v>
      </c>
      <c r="G2547" s="34">
        <v>59378.0</v>
      </c>
      <c r="H2547" s="34" t="s">
        <v>2923</v>
      </c>
      <c r="I2547" s="34" t="s">
        <v>18</v>
      </c>
      <c r="J2547" s="34" t="s">
        <v>15</v>
      </c>
      <c r="K2547" s="45">
        <v>127.1</v>
      </c>
      <c r="L2547" s="9"/>
      <c r="M2547" s="45">
        <v>127.1</v>
      </c>
    </row>
    <row r="2548">
      <c r="A2548" s="34" t="s">
        <v>70</v>
      </c>
      <c r="B2548" s="34" t="s">
        <v>46</v>
      </c>
      <c r="C2548" s="34">
        <v>59.0</v>
      </c>
      <c r="D2548" s="34" t="s">
        <v>1027</v>
      </c>
      <c r="E2548" s="34" t="s">
        <v>6167</v>
      </c>
      <c r="F2548" s="34" t="s">
        <v>6168</v>
      </c>
      <c r="G2548" s="34">
        <v>59512.0</v>
      </c>
      <c r="H2548" s="34" t="s">
        <v>1059</v>
      </c>
      <c r="I2548" s="34" t="s">
        <v>18</v>
      </c>
      <c r="J2548" s="34" t="s">
        <v>15</v>
      </c>
      <c r="K2548" s="45">
        <v>74.9</v>
      </c>
      <c r="L2548" s="9"/>
      <c r="M2548" s="45">
        <v>74.9</v>
      </c>
    </row>
    <row r="2549">
      <c r="A2549" s="34" t="s">
        <v>70</v>
      </c>
      <c r="B2549" s="34" t="s">
        <v>46</v>
      </c>
      <c r="C2549" s="34">
        <v>59.0</v>
      </c>
      <c r="D2549" s="34" t="s">
        <v>1027</v>
      </c>
      <c r="E2549" s="34" t="s">
        <v>6169</v>
      </c>
      <c r="F2549" s="34" t="s">
        <v>6170</v>
      </c>
      <c r="G2549" s="34">
        <v>59599.0</v>
      </c>
      <c r="H2549" s="34" t="s">
        <v>1067</v>
      </c>
      <c r="I2549" s="34" t="s">
        <v>18</v>
      </c>
      <c r="J2549" s="34" t="s">
        <v>13</v>
      </c>
      <c r="K2549" s="9"/>
      <c r="L2549" s="45">
        <v>78.8</v>
      </c>
      <c r="M2549" s="45">
        <v>78.8</v>
      </c>
    </row>
    <row r="2550">
      <c r="A2550" s="34" t="s">
        <v>70</v>
      </c>
      <c r="B2550" s="34" t="s">
        <v>46</v>
      </c>
      <c r="C2550" s="34">
        <v>59.0</v>
      </c>
      <c r="D2550" s="34" t="s">
        <v>1027</v>
      </c>
      <c r="E2550" s="34" t="s">
        <v>6171</v>
      </c>
      <c r="F2550" s="34" t="s">
        <v>6172</v>
      </c>
      <c r="G2550" s="34">
        <v>59650.0</v>
      </c>
      <c r="H2550" s="34" t="s">
        <v>2972</v>
      </c>
      <c r="I2550" s="34" t="s">
        <v>18</v>
      </c>
      <c r="J2550" s="34" t="s">
        <v>14</v>
      </c>
      <c r="K2550" s="45">
        <v>83.8</v>
      </c>
      <c r="L2550" s="45">
        <v>71.7</v>
      </c>
      <c r="M2550" s="45">
        <v>79.5</v>
      </c>
    </row>
    <row r="2551">
      <c r="A2551" s="34" t="s">
        <v>70</v>
      </c>
      <c r="B2551" s="34" t="s">
        <v>46</v>
      </c>
      <c r="C2551" s="34">
        <v>59.0</v>
      </c>
      <c r="D2551" s="34" t="s">
        <v>1027</v>
      </c>
      <c r="E2551" s="34" t="s">
        <v>6173</v>
      </c>
      <c r="F2551" s="34" t="s">
        <v>6174</v>
      </c>
      <c r="G2551" s="34">
        <v>59017.0</v>
      </c>
      <c r="H2551" s="34" t="s">
        <v>1030</v>
      </c>
      <c r="I2551" s="34" t="s">
        <v>18</v>
      </c>
      <c r="J2551" s="34" t="s">
        <v>13</v>
      </c>
      <c r="K2551" s="9"/>
      <c r="L2551" s="45">
        <v>76.7</v>
      </c>
      <c r="M2551" s="45">
        <v>76.7</v>
      </c>
    </row>
    <row r="2552">
      <c r="A2552" s="34" t="s">
        <v>70</v>
      </c>
      <c r="B2552" s="34" t="s">
        <v>46</v>
      </c>
      <c r="C2552" s="34">
        <v>59.0</v>
      </c>
      <c r="D2552" s="34" t="s">
        <v>1027</v>
      </c>
      <c r="E2552" s="34" t="s">
        <v>6175</v>
      </c>
      <c r="F2552" s="34" t="s">
        <v>6176</v>
      </c>
      <c r="G2552" s="34">
        <v>59350.0</v>
      </c>
      <c r="H2552" s="34" t="s">
        <v>46</v>
      </c>
      <c r="I2552" s="34" t="s">
        <v>18</v>
      </c>
      <c r="J2552" s="34" t="s">
        <v>13</v>
      </c>
      <c r="K2552" s="9"/>
      <c r="L2552" s="45">
        <v>77.9</v>
      </c>
      <c r="M2552" s="45">
        <v>77.9</v>
      </c>
    </row>
    <row r="2553">
      <c r="A2553" s="34" t="s">
        <v>70</v>
      </c>
      <c r="B2553" s="34" t="s">
        <v>46</v>
      </c>
      <c r="C2553" s="34">
        <v>59.0</v>
      </c>
      <c r="D2553" s="34" t="s">
        <v>1027</v>
      </c>
      <c r="E2553" s="34" t="s">
        <v>6177</v>
      </c>
      <c r="F2553" s="34" t="s">
        <v>6178</v>
      </c>
      <c r="G2553" s="34">
        <v>59090.0</v>
      </c>
      <c r="H2553" s="34" t="s">
        <v>6179</v>
      </c>
      <c r="I2553" s="34" t="s">
        <v>17</v>
      </c>
      <c r="J2553" s="34" t="s">
        <v>15</v>
      </c>
      <c r="K2553" s="45">
        <v>141.7</v>
      </c>
      <c r="L2553" s="9"/>
      <c r="M2553" s="45">
        <v>141.7</v>
      </c>
    </row>
    <row r="2554">
      <c r="A2554" s="34" t="s">
        <v>70</v>
      </c>
      <c r="B2554" s="34" t="s">
        <v>46</v>
      </c>
      <c r="C2554" s="34">
        <v>59.0</v>
      </c>
      <c r="D2554" s="34" t="s">
        <v>1027</v>
      </c>
      <c r="E2554" s="34" t="s">
        <v>6180</v>
      </c>
      <c r="F2554" s="34" t="s">
        <v>6181</v>
      </c>
      <c r="G2554" s="34">
        <v>59009.0</v>
      </c>
      <c r="H2554" s="34" t="s">
        <v>1110</v>
      </c>
      <c r="I2554" s="34" t="s">
        <v>17</v>
      </c>
      <c r="J2554" s="34" t="s">
        <v>15</v>
      </c>
      <c r="K2554" s="45">
        <v>142.1</v>
      </c>
      <c r="L2554" s="9"/>
      <c r="M2554" s="45">
        <v>142.1</v>
      </c>
    </row>
    <row r="2555">
      <c r="A2555" s="34" t="s">
        <v>70</v>
      </c>
      <c r="B2555" s="34" t="s">
        <v>46</v>
      </c>
      <c r="C2555" s="34">
        <v>59.0</v>
      </c>
      <c r="D2555" s="34" t="s">
        <v>1027</v>
      </c>
      <c r="E2555" s="34" t="s">
        <v>6182</v>
      </c>
      <c r="F2555" s="34" t="s">
        <v>5232</v>
      </c>
      <c r="G2555" s="34">
        <v>59512.0</v>
      </c>
      <c r="H2555" s="34" t="s">
        <v>1059</v>
      </c>
      <c r="I2555" s="34" t="s">
        <v>17</v>
      </c>
      <c r="J2555" s="34" t="s">
        <v>14</v>
      </c>
      <c r="K2555" s="45">
        <v>79.6</v>
      </c>
      <c r="L2555" s="45">
        <v>74.1</v>
      </c>
      <c r="M2555" s="45">
        <v>76.8</v>
      </c>
    </row>
    <row r="2556">
      <c r="A2556" s="34" t="s">
        <v>70</v>
      </c>
      <c r="B2556" s="34" t="s">
        <v>46</v>
      </c>
      <c r="C2556" s="34">
        <v>59.0</v>
      </c>
      <c r="D2556" s="34" t="s">
        <v>1027</v>
      </c>
      <c r="E2556" s="34" t="s">
        <v>6183</v>
      </c>
      <c r="F2556" s="34" t="s">
        <v>6184</v>
      </c>
      <c r="G2556" s="34">
        <v>59183.0</v>
      </c>
      <c r="H2556" s="34" t="s">
        <v>1039</v>
      </c>
      <c r="I2556" s="34" t="s">
        <v>17</v>
      </c>
      <c r="J2556" s="34" t="s">
        <v>14</v>
      </c>
      <c r="K2556" s="45">
        <v>98.2</v>
      </c>
      <c r="L2556" s="45">
        <v>89.5</v>
      </c>
      <c r="M2556" s="45">
        <v>92.4</v>
      </c>
    </row>
    <row r="2557">
      <c r="A2557" s="34" t="s">
        <v>70</v>
      </c>
      <c r="B2557" s="34" t="s">
        <v>46</v>
      </c>
      <c r="C2557" s="34">
        <v>59.0</v>
      </c>
      <c r="D2557" s="34" t="s">
        <v>1027</v>
      </c>
      <c r="E2557" s="34" t="s">
        <v>6185</v>
      </c>
      <c r="F2557" s="34" t="s">
        <v>6186</v>
      </c>
      <c r="G2557" s="34">
        <v>59122.0</v>
      </c>
      <c r="H2557" s="34" t="s">
        <v>1036</v>
      </c>
      <c r="I2557" s="34" t="s">
        <v>17</v>
      </c>
      <c r="J2557" s="34" t="s">
        <v>14</v>
      </c>
      <c r="K2557" s="45">
        <v>120.6</v>
      </c>
      <c r="L2557" s="45">
        <v>93.6</v>
      </c>
      <c r="M2557" s="45">
        <v>109.0</v>
      </c>
    </row>
    <row r="2558">
      <c r="A2558" s="34" t="s">
        <v>70</v>
      </c>
      <c r="B2558" s="34" t="s">
        <v>46</v>
      </c>
      <c r="C2558" s="34">
        <v>59.0</v>
      </c>
      <c r="D2558" s="34" t="s">
        <v>1027</v>
      </c>
      <c r="E2558" s="34" t="s">
        <v>6187</v>
      </c>
      <c r="F2558" s="34" t="s">
        <v>918</v>
      </c>
      <c r="G2558" s="34">
        <v>59043.0</v>
      </c>
      <c r="H2558" s="34" t="s">
        <v>6188</v>
      </c>
      <c r="I2558" s="34" t="s">
        <v>17</v>
      </c>
      <c r="J2558" s="34" t="s">
        <v>13</v>
      </c>
      <c r="K2558" s="9"/>
      <c r="L2558" s="45">
        <v>93.4</v>
      </c>
      <c r="M2558" s="45">
        <v>93.4</v>
      </c>
    </row>
    <row r="2559">
      <c r="A2559" s="34" t="s">
        <v>70</v>
      </c>
      <c r="B2559" s="34" t="s">
        <v>46</v>
      </c>
      <c r="C2559" s="34">
        <v>59.0</v>
      </c>
      <c r="D2559" s="34" t="s">
        <v>1027</v>
      </c>
      <c r="E2559" s="34" t="s">
        <v>6189</v>
      </c>
      <c r="F2559" s="34" t="s">
        <v>6190</v>
      </c>
      <c r="G2559" s="34">
        <v>59324.0</v>
      </c>
      <c r="H2559" s="34" t="s">
        <v>6191</v>
      </c>
      <c r="I2559" s="34" t="s">
        <v>17</v>
      </c>
      <c r="J2559" s="34" t="s">
        <v>13</v>
      </c>
      <c r="K2559" s="9"/>
      <c r="L2559" s="45">
        <v>76.5</v>
      </c>
      <c r="M2559" s="45">
        <v>76.5</v>
      </c>
    </row>
    <row r="2560">
      <c r="A2560" s="34" t="s">
        <v>70</v>
      </c>
      <c r="B2560" s="34" t="s">
        <v>46</v>
      </c>
      <c r="C2560" s="34">
        <v>59.0</v>
      </c>
      <c r="D2560" s="34" t="s">
        <v>1027</v>
      </c>
      <c r="E2560" s="34" t="s">
        <v>6192</v>
      </c>
      <c r="F2560" s="34" t="s">
        <v>6193</v>
      </c>
      <c r="G2560" s="34">
        <v>59350.0</v>
      </c>
      <c r="H2560" s="34" t="s">
        <v>46</v>
      </c>
      <c r="I2560" s="34" t="s">
        <v>17</v>
      </c>
      <c r="J2560" s="34" t="s">
        <v>15</v>
      </c>
      <c r="K2560" s="45">
        <v>128.8</v>
      </c>
      <c r="L2560" s="9"/>
      <c r="M2560" s="45">
        <v>128.8</v>
      </c>
    </row>
    <row r="2561">
      <c r="A2561" s="34" t="s">
        <v>70</v>
      </c>
      <c r="B2561" s="34" t="s">
        <v>46</v>
      </c>
      <c r="C2561" s="34">
        <v>59.0</v>
      </c>
      <c r="D2561" s="34" t="s">
        <v>1027</v>
      </c>
      <c r="E2561" s="34" t="s">
        <v>6194</v>
      </c>
      <c r="F2561" s="34" t="s">
        <v>2197</v>
      </c>
      <c r="G2561" s="34">
        <v>59606.0</v>
      </c>
      <c r="H2561" s="34" t="s">
        <v>1072</v>
      </c>
      <c r="I2561" s="34" t="s">
        <v>17</v>
      </c>
      <c r="J2561" s="34" t="s">
        <v>15</v>
      </c>
      <c r="K2561" s="45">
        <v>125.5</v>
      </c>
      <c r="L2561" s="9"/>
      <c r="M2561" s="45">
        <v>125.5</v>
      </c>
    </row>
    <row r="2562">
      <c r="A2562" s="34" t="s">
        <v>70</v>
      </c>
      <c r="B2562" s="34" t="s">
        <v>46</v>
      </c>
      <c r="C2562" s="34">
        <v>59.0</v>
      </c>
      <c r="D2562" s="34" t="s">
        <v>1027</v>
      </c>
      <c r="E2562" s="34" t="s">
        <v>6195</v>
      </c>
      <c r="F2562" s="34" t="s">
        <v>6196</v>
      </c>
      <c r="G2562" s="34">
        <v>59271.0</v>
      </c>
      <c r="H2562" s="34" t="s">
        <v>1113</v>
      </c>
      <c r="I2562" s="34" t="s">
        <v>18</v>
      </c>
      <c r="J2562" s="34" t="s">
        <v>13</v>
      </c>
      <c r="K2562" s="9"/>
      <c r="L2562" s="45">
        <v>73.3</v>
      </c>
      <c r="M2562" s="45">
        <v>73.3</v>
      </c>
    </row>
    <row r="2563">
      <c r="A2563" s="34" t="s">
        <v>70</v>
      </c>
      <c r="B2563" s="34" t="s">
        <v>46</v>
      </c>
      <c r="C2563" s="34">
        <v>59.0</v>
      </c>
      <c r="D2563" s="34" t="s">
        <v>1027</v>
      </c>
      <c r="E2563" s="34" t="s">
        <v>6197</v>
      </c>
      <c r="F2563" s="34" t="s">
        <v>2889</v>
      </c>
      <c r="G2563" s="34">
        <v>59414.0</v>
      </c>
      <c r="H2563" s="34" t="s">
        <v>6198</v>
      </c>
      <c r="I2563" s="34" t="s">
        <v>18</v>
      </c>
      <c r="J2563" s="34" t="s">
        <v>13</v>
      </c>
      <c r="K2563" s="9"/>
      <c r="L2563" s="45">
        <v>67.6</v>
      </c>
      <c r="M2563" s="45">
        <v>67.6</v>
      </c>
    </row>
    <row r="2564">
      <c r="A2564" s="34" t="s">
        <v>70</v>
      </c>
      <c r="B2564" s="34" t="s">
        <v>46</v>
      </c>
      <c r="C2564" s="34">
        <v>59.0</v>
      </c>
      <c r="D2564" s="34" t="s">
        <v>1027</v>
      </c>
      <c r="E2564" s="34" t="s">
        <v>6199</v>
      </c>
      <c r="F2564" s="34" t="s">
        <v>6200</v>
      </c>
      <c r="G2564" s="34">
        <v>59172.0</v>
      </c>
      <c r="H2564" s="34" t="s">
        <v>1078</v>
      </c>
      <c r="I2564" s="34" t="s">
        <v>18</v>
      </c>
      <c r="J2564" s="34" t="s">
        <v>13</v>
      </c>
      <c r="K2564" s="9"/>
      <c r="L2564" s="45">
        <v>68.5</v>
      </c>
      <c r="M2564" s="45">
        <v>68.5</v>
      </c>
    </row>
    <row r="2565">
      <c r="A2565" s="34" t="s">
        <v>70</v>
      </c>
      <c r="B2565" s="34" t="s">
        <v>46</v>
      </c>
      <c r="C2565" s="34">
        <v>59.0</v>
      </c>
      <c r="D2565" s="34" t="s">
        <v>1027</v>
      </c>
      <c r="E2565" s="34" t="s">
        <v>6201</v>
      </c>
      <c r="F2565" s="34" t="s">
        <v>2263</v>
      </c>
      <c r="G2565" s="34">
        <v>59569.0</v>
      </c>
      <c r="H2565" s="34" t="s">
        <v>6202</v>
      </c>
      <c r="I2565" s="34" t="s">
        <v>18</v>
      </c>
      <c r="J2565" s="34" t="s">
        <v>15</v>
      </c>
      <c r="K2565" s="45">
        <v>103.4</v>
      </c>
      <c r="L2565" s="9"/>
      <c r="M2565" s="45">
        <v>103.4</v>
      </c>
    </row>
    <row r="2566">
      <c r="A2566" s="34" t="s">
        <v>70</v>
      </c>
      <c r="B2566" s="34" t="s">
        <v>46</v>
      </c>
      <c r="C2566" s="34">
        <v>59.0</v>
      </c>
      <c r="D2566" s="34" t="s">
        <v>1027</v>
      </c>
      <c r="E2566" s="34" t="s">
        <v>6203</v>
      </c>
      <c r="F2566" s="34" t="s">
        <v>6204</v>
      </c>
      <c r="G2566" s="34">
        <v>59183.0</v>
      </c>
      <c r="H2566" s="34" t="s">
        <v>1039</v>
      </c>
      <c r="I2566" s="34" t="s">
        <v>17</v>
      </c>
      <c r="J2566" s="34" t="s">
        <v>13</v>
      </c>
      <c r="K2566" s="9"/>
      <c r="L2566" s="45">
        <v>99.5</v>
      </c>
      <c r="M2566" s="45">
        <v>99.5</v>
      </c>
    </row>
    <row r="2567">
      <c r="A2567" s="34" t="s">
        <v>70</v>
      </c>
      <c r="B2567" s="34" t="s">
        <v>46</v>
      </c>
      <c r="C2567" s="34">
        <v>59.0</v>
      </c>
      <c r="D2567" s="34" t="s">
        <v>1027</v>
      </c>
      <c r="E2567" s="34" t="s">
        <v>6205</v>
      </c>
      <c r="F2567" s="34" t="s">
        <v>6206</v>
      </c>
      <c r="G2567" s="34">
        <v>59456.0</v>
      </c>
      <c r="H2567" s="34" t="s">
        <v>6207</v>
      </c>
      <c r="I2567" s="34" t="s">
        <v>17</v>
      </c>
      <c r="J2567" s="34" t="s">
        <v>15</v>
      </c>
      <c r="K2567" s="45">
        <v>121.8</v>
      </c>
      <c r="L2567" s="9"/>
      <c r="M2567" s="45">
        <v>121.8</v>
      </c>
    </row>
    <row r="2568">
      <c r="A2568" s="34" t="s">
        <v>70</v>
      </c>
      <c r="B2568" s="34" t="s">
        <v>88</v>
      </c>
      <c r="C2568" s="34">
        <v>60.0</v>
      </c>
      <c r="D2568" s="34" t="s">
        <v>1127</v>
      </c>
      <c r="E2568" s="34" t="s">
        <v>6208</v>
      </c>
      <c r="F2568" s="34" t="s">
        <v>6209</v>
      </c>
      <c r="G2568" s="34">
        <v>60057.0</v>
      </c>
      <c r="H2568" s="34" t="s">
        <v>1130</v>
      </c>
      <c r="I2568" s="34" t="s">
        <v>18</v>
      </c>
      <c r="J2568" s="34" t="s">
        <v>13</v>
      </c>
      <c r="K2568" s="9"/>
      <c r="L2568" s="45">
        <v>83.2</v>
      </c>
      <c r="M2568" s="45">
        <v>83.2</v>
      </c>
    </row>
    <row r="2569">
      <c r="A2569" s="34" t="s">
        <v>70</v>
      </c>
      <c r="B2569" s="34" t="s">
        <v>88</v>
      </c>
      <c r="C2569" s="34">
        <v>60.0</v>
      </c>
      <c r="D2569" s="34" t="s">
        <v>1127</v>
      </c>
      <c r="E2569" s="34" t="s">
        <v>6210</v>
      </c>
      <c r="F2569" s="34" t="s">
        <v>6211</v>
      </c>
      <c r="G2569" s="34">
        <v>60159.0</v>
      </c>
      <c r="H2569" s="34" t="s">
        <v>1136</v>
      </c>
      <c r="I2569" s="34" t="s">
        <v>18</v>
      </c>
      <c r="J2569" s="34" t="s">
        <v>13</v>
      </c>
      <c r="K2569" s="9"/>
      <c r="L2569" s="45">
        <v>89.7</v>
      </c>
      <c r="M2569" s="45">
        <v>89.7</v>
      </c>
    </row>
    <row r="2570">
      <c r="A2570" s="34" t="s">
        <v>70</v>
      </c>
      <c r="B2570" s="34" t="s">
        <v>88</v>
      </c>
      <c r="C2570" s="34">
        <v>60.0</v>
      </c>
      <c r="D2570" s="34" t="s">
        <v>1127</v>
      </c>
      <c r="E2570" s="34" t="s">
        <v>6212</v>
      </c>
      <c r="F2570" s="34" t="s">
        <v>6213</v>
      </c>
      <c r="G2570" s="34">
        <v>60463.0</v>
      </c>
      <c r="H2570" s="34" t="s">
        <v>6214</v>
      </c>
      <c r="I2570" s="34" t="s">
        <v>18</v>
      </c>
      <c r="J2570" s="34" t="s">
        <v>13</v>
      </c>
      <c r="K2570" s="9"/>
      <c r="L2570" s="45">
        <v>86.3</v>
      </c>
      <c r="M2570" s="45">
        <v>86.3</v>
      </c>
    </row>
    <row r="2571">
      <c r="A2571" s="34" t="s">
        <v>70</v>
      </c>
      <c r="B2571" s="34" t="s">
        <v>88</v>
      </c>
      <c r="C2571" s="34">
        <v>60.0</v>
      </c>
      <c r="D2571" s="34" t="s">
        <v>1127</v>
      </c>
      <c r="E2571" s="34" t="s">
        <v>6215</v>
      </c>
      <c r="F2571" s="34" t="s">
        <v>6216</v>
      </c>
      <c r="G2571" s="34">
        <v>60395.0</v>
      </c>
      <c r="H2571" s="34" t="s">
        <v>6217</v>
      </c>
      <c r="I2571" s="34" t="s">
        <v>18</v>
      </c>
      <c r="J2571" s="34" t="s">
        <v>13</v>
      </c>
      <c r="K2571" s="9"/>
      <c r="L2571" s="45">
        <v>84.8</v>
      </c>
      <c r="M2571" s="45">
        <v>84.8</v>
      </c>
    </row>
    <row r="2572">
      <c r="A2572" s="34" t="s">
        <v>70</v>
      </c>
      <c r="B2572" s="34" t="s">
        <v>88</v>
      </c>
      <c r="C2572" s="34">
        <v>60.0</v>
      </c>
      <c r="D2572" s="34" t="s">
        <v>1127</v>
      </c>
      <c r="E2572" s="34" t="s">
        <v>6218</v>
      </c>
      <c r="F2572" s="34" t="s">
        <v>3672</v>
      </c>
      <c r="G2572" s="34">
        <v>60395.0</v>
      </c>
      <c r="H2572" s="34" t="s">
        <v>6217</v>
      </c>
      <c r="I2572" s="34" t="s">
        <v>18</v>
      </c>
      <c r="J2572" s="34" t="s">
        <v>15</v>
      </c>
      <c r="K2572" s="45">
        <v>103.5</v>
      </c>
      <c r="L2572" s="9"/>
      <c r="M2572" s="45">
        <v>103.5</v>
      </c>
    </row>
    <row r="2573">
      <c r="A2573" s="34" t="s">
        <v>70</v>
      </c>
      <c r="B2573" s="34" t="s">
        <v>88</v>
      </c>
      <c r="C2573" s="34">
        <v>60.0</v>
      </c>
      <c r="D2573" s="34" t="s">
        <v>1127</v>
      </c>
      <c r="E2573" s="34" t="s">
        <v>6219</v>
      </c>
      <c r="F2573" s="34" t="s">
        <v>6220</v>
      </c>
      <c r="G2573" s="34">
        <v>60159.0</v>
      </c>
      <c r="H2573" s="34" t="s">
        <v>1136</v>
      </c>
      <c r="I2573" s="34" t="s">
        <v>17</v>
      </c>
      <c r="J2573" s="34" t="s">
        <v>13</v>
      </c>
      <c r="K2573" s="9"/>
      <c r="L2573" s="45">
        <v>98.0</v>
      </c>
      <c r="M2573" s="45">
        <v>98.0</v>
      </c>
    </row>
    <row r="2574">
      <c r="A2574" s="34" t="s">
        <v>70</v>
      </c>
      <c r="B2574" s="34" t="s">
        <v>269</v>
      </c>
      <c r="C2574" s="34">
        <v>61.0</v>
      </c>
      <c r="D2574" s="34" t="s">
        <v>1153</v>
      </c>
      <c r="E2574" s="34" t="s">
        <v>6221</v>
      </c>
      <c r="F2574" s="34" t="s">
        <v>6222</v>
      </c>
      <c r="G2574" s="34">
        <v>61001.0</v>
      </c>
      <c r="H2574" s="34" t="s">
        <v>6223</v>
      </c>
      <c r="I2574" s="34" t="s">
        <v>18</v>
      </c>
      <c r="J2574" s="34" t="s">
        <v>15</v>
      </c>
      <c r="K2574" s="45">
        <v>114.4</v>
      </c>
      <c r="L2574" s="9"/>
      <c r="M2574" s="45">
        <v>114.4</v>
      </c>
    </row>
    <row r="2575">
      <c r="A2575" s="34" t="s">
        <v>70</v>
      </c>
      <c r="B2575" s="34" t="s">
        <v>269</v>
      </c>
      <c r="C2575" s="34">
        <v>61.0</v>
      </c>
      <c r="D2575" s="34" t="s">
        <v>1153</v>
      </c>
      <c r="E2575" s="34" t="s">
        <v>6224</v>
      </c>
      <c r="F2575" s="34" t="s">
        <v>6225</v>
      </c>
      <c r="G2575" s="34">
        <v>61001.0</v>
      </c>
      <c r="H2575" s="34" t="s">
        <v>6223</v>
      </c>
      <c r="I2575" s="34" t="s">
        <v>18</v>
      </c>
      <c r="J2575" s="34" t="s">
        <v>13</v>
      </c>
      <c r="K2575" s="9"/>
      <c r="L2575" s="45">
        <v>82.6</v>
      </c>
      <c r="M2575" s="45">
        <v>82.6</v>
      </c>
    </row>
    <row r="2576">
      <c r="A2576" s="34" t="s">
        <v>70</v>
      </c>
      <c r="B2576" s="34" t="s">
        <v>269</v>
      </c>
      <c r="C2576" s="34">
        <v>61.0</v>
      </c>
      <c r="D2576" s="34" t="s">
        <v>1153</v>
      </c>
      <c r="E2576" s="34" t="s">
        <v>6226</v>
      </c>
      <c r="F2576" s="34" t="s">
        <v>6227</v>
      </c>
      <c r="G2576" s="34">
        <v>61214.0</v>
      </c>
      <c r="H2576" s="34" t="s">
        <v>6228</v>
      </c>
      <c r="I2576" s="34" t="s">
        <v>18</v>
      </c>
      <c r="J2576" s="34" t="s">
        <v>14</v>
      </c>
      <c r="K2576" s="45">
        <v>105.6</v>
      </c>
      <c r="L2576" s="45">
        <v>84.2</v>
      </c>
      <c r="M2576" s="45">
        <v>99.9</v>
      </c>
    </row>
    <row r="2577">
      <c r="A2577" s="34" t="s">
        <v>70</v>
      </c>
      <c r="B2577" s="34" t="s">
        <v>269</v>
      </c>
      <c r="C2577" s="34">
        <v>61.0</v>
      </c>
      <c r="D2577" s="34" t="s">
        <v>1153</v>
      </c>
      <c r="E2577" s="34" t="s">
        <v>6229</v>
      </c>
      <c r="F2577" s="34" t="s">
        <v>6230</v>
      </c>
      <c r="G2577" s="34">
        <v>61293.0</v>
      </c>
      <c r="H2577" s="34" t="s">
        <v>6231</v>
      </c>
      <c r="I2577" s="34" t="s">
        <v>17</v>
      </c>
      <c r="J2577" s="34" t="s">
        <v>15</v>
      </c>
      <c r="K2577" s="45">
        <v>115.5</v>
      </c>
      <c r="L2577" s="9"/>
      <c r="M2577" s="45">
        <v>115.5</v>
      </c>
    </row>
    <row r="2578">
      <c r="A2578" s="34" t="s">
        <v>70</v>
      </c>
      <c r="B2578" s="34" t="s">
        <v>269</v>
      </c>
      <c r="C2578" s="34">
        <v>61.0</v>
      </c>
      <c r="D2578" s="34" t="s">
        <v>1153</v>
      </c>
      <c r="E2578" s="34" t="s">
        <v>6232</v>
      </c>
      <c r="F2578" s="34" t="s">
        <v>6233</v>
      </c>
      <c r="G2578" s="34">
        <v>61464.0</v>
      </c>
      <c r="H2578" s="34" t="s">
        <v>6234</v>
      </c>
      <c r="I2578" s="34" t="s">
        <v>17</v>
      </c>
      <c r="J2578" s="34" t="s">
        <v>15</v>
      </c>
      <c r="K2578" s="45">
        <v>103.0</v>
      </c>
      <c r="L2578" s="9"/>
      <c r="M2578" s="45">
        <v>103.0</v>
      </c>
    </row>
    <row r="2579">
      <c r="A2579" s="34" t="s">
        <v>70</v>
      </c>
      <c r="B2579" s="34" t="s">
        <v>46</v>
      </c>
      <c r="C2579" s="34">
        <v>62.0</v>
      </c>
      <c r="D2579" s="34" t="s">
        <v>1165</v>
      </c>
      <c r="E2579" s="34" t="s">
        <v>6235</v>
      </c>
      <c r="F2579" s="34" t="s">
        <v>2443</v>
      </c>
      <c r="G2579" s="34">
        <v>62119.0</v>
      </c>
      <c r="H2579" s="34" t="s">
        <v>3022</v>
      </c>
      <c r="I2579" s="34" t="s">
        <v>18</v>
      </c>
      <c r="J2579" s="34" t="s">
        <v>15</v>
      </c>
      <c r="K2579" s="45">
        <v>105.0</v>
      </c>
      <c r="L2579" s="9"/>
      <c r="M2579" s="45">
        <v>105.0</v>
      </c>
    </row>
    <row r="2580">
      <c r="A2580" s="34" t="s">
        <v>70</v>
      </c>
      <c r="B2580" s="34" t="s">
        <v>46</v>
      </c>
      <c r="C2580" s="34">
        <v>62.0</v>
      </c>
      <c r="D2580" s="34" t="s">
        <v>1165</v>
      </c>
      <c r="E2580" s="34" t="s">
        <v>6236</v>
      </c>
      <c r="F2580" s="34" t="s">
        <v>6237</v>
      </c>
      <c r="G2580" s="34">
        <v>62119.0</v>
      </c>
      <c r="H2580" s="34" t="s">
        <v>3022</v>
      </c>
      <c r="I2580" s="34" t="s">
        <v>18</v>
      </c>
      <c r="J2580" s="34" t="s">
        <v>13</v>
      </c>
      <c r="K2580" s="9"/>
      <c r="L2580" s="45">
        <v>75.3</v>
      </c>
      <c r="M2580" s="45">
        <v>75.3</v>
      </c>
    </row>
    <row r="2581">
      <c r="A2581" s="34" t="s">
        <v>70</v>
      </c>
      <c r="B2581" s="34" t="s">
        <v>46</v>
      </c>
      <c r="C2581" s="34">
        <v>62.0</v>
      </c>
      <c r="D2581" s="34" t="s">
        <v>1165</v>
      </c>
      <c r="E2581" s="34" t="s">
        <v>6238</v>
      </c>
      <c r="F2581" s="34" t="s">
        <v>6239</v>
      </c>
      <c r="G2581" s="34">
        <v>62427.0</v>
      </c>
      <c r="H2581" s="34" t="s">
        <v>1171</v>
      </c>
      <c r="I2581" s="34" t="s">
        <v>18</v>
      </c>
      <c r="J2581" s="34" t="s">
        <v>15</v>
      </c>
      <c r="K2581" s="45">
        <v>97.2</v>
      </c>
      <c r="L2581" s="9"/>
      <c r="M2581" s="45">
        <v>97.2</v>
      </c>
    </row>
    <row r="2582">
      <c r="A2582" s="34" t="s">
        <v>70</v>
      </c>
      <c r="B2582" s="34" t="s">
        <v>46</v>
      </c>
      <c r="C2582" s="34">
        <v>62.0</v>
      </c>
      <c r="D2582" s="34" t="s">
        <v>1165</v>
      </c>
      <c r="E2582" s="34" t="s">
        <v>6240</v>
      </c>
      <c r="F2582" s="34" t="s">
        <v>6241</v>
      </c>
      <c r="G2582" s="34">
        <v>62498.0</v>
      </c>
      <c r="H2582" s="34" t="s">
        <v>1188</v>
      </c>
      <c r="I2582" s="34" t="s">
        <v>18</v>
      </c>
      <c r="J2582" s="34" t="s">
        <v>15</v>
      </c>
      <c r="K2582" s="45">
        <v>82.4</v>
      </c>
      <c r="L2582" s="9"/>
      <c r="M2582" s="45">
        <v>82.4</v>
      </c>
    </row>
    <row r="2583">
      <c r="A2583" s="34" t="s">
        <v>70</v>
      </c>
      <c r="B2583" s="34" t="s">
        <v>46</v>
      </c>
      <c r="C2583" s="34">
        <v>62.0</v>
      </c>
      <c r="D2583" s="34" t="s">
        <v>1165</v>
      </c>
      <c r="E2583" s="34" t="s">
        <v>6242</v>
      </c>
      <c r="F2583" s="34" t="s">
        <v>6243</v>
      </c>
      <c r="G2583" s="34">
        <v>62560.0</v>
      </c>
      <c r="H2583" s="34" t="s">
        <v>6244</v>
      </c>
      <c r="I2583" s="34" t="s">
        <v>18</v>
      </c>
      <c r="J2583" s="34" t="s">
        <v>13</v>
      </c>
      <c r="K2583" s="9"/>
      <c r="L2583" s="45">
        <v>74.0</v>
      </c>
      <c r="M2583" s="45">
        <v>74.0</v>
      </c>
    </row>
    <row r="2584">
      <c r="A2584" s="34" t="s">
        <v>70</v>
      </c>
      <c r="B2584" s="34" t="s">
        <v>46</v>
      </c>
      <c r="C2584" s="34">
        <v>62.0</v>
      </c>
      <c r="D2584" s="34" t="s">
        <v>1165</v>
      </c>
      <c r="E2584" s="34" t="s">
        <v>6245</v>
      </c>
      <c r="F2584" s="34" t="s">
        <v>6246</v>
      </c>
      <c r="G2584" s="34">
        <v>62588.0</v>
      </c>
      <c r="H2584" s="34" t="s">
        <v>1855</v>
      </c>
      <c r="I2584" s="34" t="s">
        <v>18</v>
      </c>
      <c r="J2584" s="34" t="s">
        <v>14</v>
      </c>
      <c r="K2584" s="45">
        <v>109.7</v>
      </c>
      <c r="L2584" s="45">
        <v>83.6</v>
      </c>
      <c r="M2584" s="45">
        <v>105.6</v>
      </c>
    </row>
    <row r="2585">
      <c r="A2585" s="34" t="s">
        <v>70</v>
      </c>
      <c r="B2585" s="34" t="s">
        <v>46</v>
      </c>
      <c r="C2585" s="34">
        <v>62.0</v>
      </c>
      <c r="D2585" s="34" t="s">
        <v>1165</v>
      </c>
      <c r="E2585" s="34" t="s">
        <v>6247</v>
      </c>
      <c r="F2585" s="34" t="s">
        <v>6248</v>
      </c>
      <c r="G2585" s="34">
        <v>62637.0</v>
      </c>
      <c r="H2585" s="34" t="s">
        <v>6249</v>
      </c>
      <c r="I2585" s="34" t="s">
        <v>18</v>
      </c>
      <c r="J2585" s="34" t="s">
        <v>13</v>
      </c>
      <c r="K2585" s="9"/>
      <c r="L2585" s="45">
        <v>71.0</v>
      </c>
      <c r="M2585" s="45">
        <v>71.0</v>
      </c>
    </row>
    <row r="2586">
      <c r="A2586" s="34" t="s">
        <v>70</v>
      </c>
      <c r="B2586" s="34" t="s">
        <v>46</v>
      </c>
      <c r="C2586" s="34">
        <v>62.0</v>
      </c>
      <c r="D2586" s="34" t="s">
        <v>1165</v>
      </c>
      <c r="E2586" s="34" t="s">
        <v>6250</v>
      </c>
      <c r="F2586" s="34" t="s">
        <v>6251</v>
      </c>
      <c r="G2586" s="34">
        <v>62765.0</v>
      </c>
      <c r="H2586" s="34" t="s">
        <v>1177</v>
      </c>
      <c r="I2586" s="34" t="s">
        <v>18</v>
      </c>
      <c r="J2586" s="34" t="s">
        <v>13</v>
      </c>
      <c r="K2586" s="9"/>
      <c r="L2586" s="45">
        <v>76.1</v>
      </c>
      <c r="M2586" s="45">
        <v>76.1</v>
      </c>
    </row>
    <row r="2587">
      <c r="A2587" s="34" t="s">
        <v>70</v>
      </c>
      <c r="B2587" s="34" t="s">
        <v>46</v>
      </c>
      <c r="C2587" s="34">
        <v>62.0</v>
      </c>
      <c r="D2587" s="34" t="s">
        <v>1165</v>
      </c>
      <c r="E2587" s="34" t="s">
        <v>6252</v>
      </c>
      <c r="F2587" s="34" t="s">
        <v>363</v>
      </c>
      <c r="G2587" s="34">
        <v>62193.0</v>
      </c>
      <c r="H2587" s="34" t="s">
        <v>3025</v>
      </c>
      <c r="I2587" s="34" t="s">
        <v>17</v>
      </c>
      <c r="J2587" s="34" t="s">
        <v>15</v>
      </c>
      <c r="K2587" s="45">
        <v>122.9</v>
      </c>
      <c r="L2587" s="9"/>
      <c r="M2587" s="45">
        <v>122.9</v>
      </c>
    </row>
    <row r="2588">
      <c r="A2588" s="34" t="s">
        <v>70</v>
      </c>
      <c r="B2588" s="34" t="s">
        <v>46</v>
      </c>
      <c r="C2588" s="34">
        <v>62.0</v>
      </c>
      <c r="D2588" s="34" t="s">
        <v>1165</v>
      </c>
      <c r="E2588" s="34" t="s">
        <v>6253</v>
      </c>
      <c r="F2588" s="34" t="s">
        <v>6254</v>
      </c>
      <c r="G2588" s="34">
        <v>62397.0</v>
      </c>
      <c r="H2588" s="34" t="s">
        <v>6255</v>
      </c>
      <c r="I2588" s="34" t="s">
        <v>17</v>
      </c>
      <c r="J2588" s="34" t="s">
        <v>14</v>
      </c>
      <c r="K2588" s="45">
        <v>95.0</v>
      </c>
      <c r="L2588" s="45">
        <v>78.6</v>
      </c>
      <c r="M2588" s="45">
        <v>80.8</v>
      </c>
    </row>
    <row r="2589">
      <c r="A2589" s="34" t="s">
        <v>70</v>
      </c>
      <c r="B2589" s="34" t="s">
        <v>46</v>
      </c>
      <c r="C2589" s="34">
        <v>62.0</v>
      </c>
      <c r="D2589" s="34" t="s">
        <v>1165</v>
      </c>
      <c r="E2589" s="34" t="s">
        <v>6256</v>
      </c>
      <c r="F2589" s="34" t="s">
        <v>6257</v>
      </c>
      <c r="G2589" s="34">
        <v>62318.0</v>
      </c>
      <c r="H2589" s="34" t="s">
        <v>3036</v>
      </c>
      <c r="I2589" s="34" t="s">
        <v>17</v>
      </c>
      <c r="J2589" s="34" t="s">
        <v>13</v>
      </c>
      <c r="K2589" s="9"/>
      <c r="L2589" s="45">
        <v>87.8</v>
      </c>
      <c r="M2589" s="45">
        <v>87.8</v>
      </c>
    </row>
    <row r="2590">
      <c r="A2590" s="34" t="s">
        <v>70</v>
      </c>
      <c r="B2590" s="34" t="s">
        <v>46</v>
      </c>
      <c r="C2590" s="34">
        <v>62.0</v>
      </c>
      <c r="D2590" s="34" t="s">
        <v>1165</v>
      </c>
      <c r="E2590" s="34" t="s">
        <v>6258</v>
      </c>
      <c r="F2590" s="34" t="s">
        <v>918</v>
      </c>
      <c r="G2590" s="34">
        <v>62364.0</v>
      </c>
      <c r="H2590" s="34" t="s">
        <v>6259</v>
      </c>
      <c r="I2590" s="34" t="s">
        <v>17</v>
      </c>
      <c r="J2590" s="34" t="s">
        <v>13</v>
      </c>
      <c r="K2590" s="9"/>
      <c r="L2590" s="45">
        <v>92.3</v>
      </c>
      <c r="M2590" s="45">
        <v>92.3</v>
      </c>
    </row>
    <row r="2591">
      <c r="A2591" s="34" t="s">
        <v>70</v>
      </c>
      <c r="B2591" s="34" t="s">
        <v>46</v>
      </c>
      <c r="C2591" s="34">
        <v>62.0</v>
      </c>
      <c r="D2591" s="34" t="s">
        <v>1165</v>
      </c>
      <c r="E2591" s="34" t="s">
        <v>6260</v>
      </c>
      <c r="F2591" s="34" t="s">
        <v>6261</v>
      </c>
      <c r="G2591" s="34">
        <v>62758.0</v>
      </c>
      <c r="H2591" s="34" t="s">
        <v>4757</v>
      </c>
      <c r="I2591" s="34" t="s">
        <v>17</v>
      </c>
      <c r="J2591" s="34" t="s">
        <v>14</v>
      </c>
      <c r="K2591" s="45">
        <v>109.9</v>
      </c>
      <c r="L2591" s="45">
        <v>92.5</v>
      </c>
      <c r="M2591" s="45">
        <v>104.1</v>
      </c>
    </row>
    <row r="2592">
      <c r="A2592" s="34" t="s">
        <v>70</v>
      </c>
      <c r="B2592" s="34" t="s">
        <v>46</v>
      </c>
      <c r="C2592" s="34">
        <v>62.0</v>
      </c>
      <c r="D2592" s="34" t="s">
        <v>1165</v>
      </c>
      <c r="E2592" s="34" t="s">
        <v>6262</v>
      </c>
      <c r="F2592" s="34" t="s">
        <v>6263</v>
      </c>
      <c r="G2592" s="34">
        <v>62826.0</v>
      </c>
      <c r="H2592" s="34" t="s">
        <v>6264</v>
      </c>
      <c r="I2592" s="34" t="s">
        <v>18</v>
      </c>
      <c r="J2592" s="34" t="s">
        <v>14</v>
      </c>
      <c r="K2592" s="45">
        <v>120.1</v>
      </c>
      <c r="L2592" s="45">
        <v>109.1</v>
      </c>
      <c r="M2592" s="45">
        <v>114.0</v>
      </c>
    </row>
    <row r="2593">
      <c r="A2593" s="34" t="s">
        <v>70</v>
      </c>
      <c r="B2593" s="34" t="s">
        <v>46</v>
      </c>
      <c r="C2593" s="34">
        <v>62.0</v>
      </c>
      <c r="D2593" s="34" t="s">
        <v>1165</v>
      </c>
      <c r="E2593" s="34" t="s">
        <v>6265</v>
      </c>
      <c r="F2593" s="34" t="s">
        <v>6266</v>
      </c>
      <c r="G2593" s="34">
        <v>62160.0</v>
      </c>
      <c r="H2593" s="34" t="s">
        <v>3055</v>
      </c>
      <c r="I2593" s="34" t="s">
        <v>18</v>
      </c>
      <c r="J2593" s="34" t="s">
        <v>15</v>
      </c>
      <c r="K2593" s="45">
        <v>103.0</v>
      </c>
      <c r="L2593" s="9"/>
      <c r="M2593" s="45">
        <v>103.0</v>
      </c>
    </row>
    <row r="2594">
      <c r="A2594" s="34" t="s">
        <v>70</v>
      </c>
      <c r="B2594" s="34" t="s">
        <v>46</v>
      </c>
      <c r="C2594" s="34">
        <v>62.0</v>
      </c>
      <c r="D2594" s="34" t="s">
        <v>1165</v>
      </c>
      <c r="E2594" s="34" t="s">
        <v>6267</v>
      </c>
      <c r="F2594" s="34" t="s">
        <v>6268</v>
      </c>
      <c r="G2594" s="34">
        <v>62126.0</v>
      </c>
      <c r="H2594" s="34" t="s">
        <v>6269</v>
      </c>
      <c r="I2594" s="34" t="s">
        <v>18</v>
      </c>
      <c r="J2594" s="34" t="s">
        <v>14</v>
      </c>
      <c r="K2594" s="45">
        <v>97.2</v>
      </c>
      <c r="L2594" s="45">
        <v>78.7</v>
      </c>
      <c r="M2594" s="45">
        <v>91.7</v>
      </c>
    </row>
    <row r="2595">
      <c r="A2595" s="34" t="s">
        <v>70</v>
      </c>
      <c r="B2595" s="34" t="s">
        <v>46</v>
      </c>
      <c r="C2595" s="34">
        <v>62.0</v>
      </c>
      <c r="D2595" s="34" t="s">
        <v>1165</v>
      </c>
      <c r="E2595" s="34" t="s">
        <v>6270</v>
      </c>
      <c r="F2595" s="34" t="s">
        <v>4518</v>
      </c>
      <c r="G2595" s="34">
        <v>62895.0</v>
      </c>
      <c r="H2595" s="34" t="s">
        <v>3052</v>
      </c>
      <c r="I2595" s="34" t="s">
        <v>18</v>
      </c>
      <c r="J2595" s="34" t="s">
        <v>15</v>
      </c>
      <c r="K2595" s="45">
        <v>109.4</v>
      </c>
      <c r="L2595" s="9"/>
      <c r="M2595" s="45">
        <v>109.4</v>
      </c>
    </row>
    <row r="2596">
      <c r="A2596" s="34" t="s">
        <v>70</v>
      </c>
      <c r="B2596" s="34" t="s">
        <v>116</v>
      </c>
      <c r="C2596" s="34">
        <v>63.0</v>
      </c>
      <c r="D2596" s="34" t="s">
        <v>1196</v>
      </c>
      <c r="E2596" s="34" t="s">
        <v>6271</v>
      </c>
      <c r="F2596" s="34" t="s">
        <v>6272</v>
      </c>
      <c r="G2596" s="34">
        <v>63430.0</v>
      </c>
      <c r="H2596" s="34" t="s">
        <v>1205</v>
      </c>
      <c r="I2596" s="34" t="s">
        <v>18</v>
      </c>
      <c r="J2596" s="34" t="s">
        <v>15</v>
      </c>
      <c r="K2596" s="45">
        <v>111.8</v>
      </c>
      <c r="L2596" s="9"/>
      <c r="M2596" s="45">
        <v>111.8</v>
      </c>
    </row>
    <row r="2597">
      <c r="A2597" s="34" t="s">
        <v>70</v>
      </c>
      <c r="B2597" s="34" t="s">
        <v>116</v>
      </c>
      <c r="C2597" s="34">
        <v>63.0</v>
      </c>
      <c r="D2597" s="34" t="s">
        <v>1196</v>
      </c>
      <c r="E2597" s="34" t="s">
        <v>6273</v>
      </c>
      <c r="F2597" s="34" t="s">
        <v>6274</v>
      </c>
      <c r="G2597" s="34">
        <v>63178.0</v>
      </c>
      <c r="H2597" s="34" t="s">
        <v>4766</v>
      </c>
      <c r="I2597" s="34" t="s">
        <v>17</v>
      </c>
      <c r="J2597" s="34" t="s">
        <v>15</v>
      </c>
      <c r="K2597" s="45">
        <v>112.7</v>
      </c>
      <c r="L2597" s="9"/>
      <c r="M2597" s="45">
        <v>112.7</v>
      </c>
    </row>
    <row r="2598">
      <c r="A2598" s="34" t="s">
        <v>70</v>
      </c>
      <c r="B2598" s="34" t="s">
        <v>116</v>
      </c>
      <c r="C2598" s="34">
        <v>63.0</v>
      </c>
      <c r="D2598" s="34" t="s">
        <v>1196</v>
      </c>
      <c r="E2598" s="34" t="s">
        <v>6275</v>
      </c>
      <c r="F2598" s="34" t="s">
        <v>6276</v>
      </c>
      <c r="G2598" s="34">
        <v>63113.0</v>
      </c>
      <c r="H2598" s="34" t="s">
        <v>1199</v>
      </c>
      <c r="I2598" s="34" t="s">
        <v>17</v>
      </c>
      <c r="J2598" s="34" t="s">
        <v>15</v>
      </c>
      <c r="K2598" s="45">
        <v>132.7</v>
      </c>
      <c r="L2598" s="9"/>
      <c r="M2598" s="45">
        <v>132.7</v>
      </c>
    </row>
    <row r="2599">
      <c r="A2599" s="34" t="s">
        <v>70</v>
      </c>
      <c r="B2599" s="34" t="s">
        <v>116</v>
      </c>
      <c r="C2599" s="34">
        <v>63.0</v>
      </c>
      <c r="D2599" s="34" t="s">
        <v>1196</v>
      </c>
      <c r="E2599" s="34" t="s">
        <v>6277</v>
      </c>
      <c r="F2599" s="34" t="s">
        <v>6278</v>
      </c>
      <c r="G2599" s="34">
        <v>63284.0</v>
      </c>
      <c r="H2599" s="34" t="s">
        <v>6279</v>
      </c>
      <c r="I2599" s="34" t="s">
        <v>18</v>
      </c>
      <c r="J2599" s="34" t="s">
        <v>13</v>
      </c>
      <c r="K2599" s="9"/>
      <c r="L2599" s="45">
        <v>85.9</v>
      </c>
      <c r="M2599" s="45">
        <v>85.9</v>
      </c>
    </row>
    <row r="2600">
      <c r="A2600" s="34" t="s">
        <v>70</v>
      </c>
      <c r="B2600" s="34" t="s">
        <v>377</v>
      </c>
      <c r="C2600" s="34">
        <v>64.0</v>
      </c>
      <c r="D2600" s="34" t="s">
        <v>1210</v>
      </c>
      <c r="E2600" s="34" t="s">
        <v>6280</v>
      </c>
      <c r="F2600" s="34" t="s">
        <v>6281</v>
      </c>
      <c r="G2600" s="34">
        <v>64102.0</v>
      </c>
      <c r="H2600" s="34" t="s">
        <v>1235</v>
      </c>
      <c r="I2600" s="34" t="s">
        <v>18</v>
      </c>
      <c r="J2600" s="34" t="s">
        <v>13</v>
      </c>
      <c r="K2600" s="9"/>
      <c r="L2600" s="45">
        <v>91.4</v>
      </c>
      <c r="M2600" s="45">
        <v>91.4</v>
      </c>
    </row>
    <row r="2601">
      <c r="A2601" s="34" t="s">
        <v>70</v>
      </c>
      <c r="B2601" s="34" t="s">
        <v>377</v>
      </c>
      <c r="C2601" s="34">
        <v>64.0</v>
      </c>
      <c r="D2601" s="34" t="s">
        <v>1210</v>
      </c>
      <c r="E2601" s="34" t="s">
        <v>6282</v>
      </c>
      <c r="F2601" s="34" t="s">
        <v>6283</v>
      </c>
      <c r="G2601" s="34">
        <v>64237.0</v>
      </c>
      <c r="H2601" s="34" t="s">
        <v>6284</v>
      </c>
      <c r="I2601" s="34" t="s">
        <v>18</v>
      </c>
      <c r="J2601" s="34" t="s">
        <v>13</v>
      </c>
      <c r="K2601" s="9"/>
      <c r="L2601" s="45">
        <v>84.1</v>
      </c>
      <c r="M2601" s="45">
        <v>84.1</v>
      </c>
    </row>
    <row r="2602">
      <c r="A2602" s="34" t="s">
        <v>70</v>
      </c>
      <c r="B2602" s="34" t="s">
        <v>377</v>
      </c>
      <c r="C2602" s="34">
        <v>64.0</v>
      </c>
      <c r="D2602" s="34" t="s">
        <v>1210</v>
      </c>
      <c r="E2602" s="34" t="s">
        <v>6285</v>
      </c>
      <c r="F2602" s="34" t="s">
        <v>6286</v>
      </c>
      <c r="G2602" s="34">
        <v>64410.0</v>
      </c>
      <c r="H2602" s="34" t="s">
        <v>1232</v>
      </c>
      <c r="I2602" s="34" t="s">
        <v>18</v>
      </c>
      <c r="J2602" s="34" t="s">
        <v>15</v>
      </c>
      <c r="K2602" s="45">
        <v>113.4</v>
      </c>
      <c r="L2602" s="9"/>
      <c r="M2602" s="45">
        <v>113.4</v>
      </c>
    </row>
    <row r="2603">
      <c r="A2603" s="34" t="s">
        <v>70</v>
      </c>
      <c r="B2603" s="34" t="s">
        <v>377</v>
      </c>
      <c r="C2603" s="34">
        <v>64.0</v>
      </c>
      <c r="D2603" s="34" t="s">
        <v>1210</v>
      </c>
      <c r="E2603" s="34" t="s">
        <v>6287</v>
      </c>
      <c r="F2603" s="34" t="s">
        <v>6288</v>
      </c>
      <c r="G2603" s="34">
        <v>64445.0</v>
      </c>
      <c r="H2603" s="34" t="s">
        <v>1225</v>
      </c>
      <c r="I2603" s="34" t="s">
        <v>18</v>
      </c>
      <c r="J2603" s="34" t="s">
        <v>15</v>
      </c>
      <c r="K2603" s="45">
        <v>127.6</v>
      </c>
      <c r="L2603" s="9"/>
      <c r="M2603" s="45">
        <v>127.6</v>
      </c>
    </row>
    <row r="2604">
      <c r="A2604" s="34" t="s">
        <v>70</v>
      </c>
      <c r="B2604" s="34" t="s">
        <v>377</v>
      </c>
      <c r="C2604" s="34">
        <v>64.0</v>
      </c>
      <c r="D2604" s="34" t="s">
        <v>1210</v>
      </c>
      <c r="E2604" s="34" t="s">
        <v>6289</v>
      </c>
      <c r="F2604" s="34" t="s">
        <v>6290</v>
      </c>
      <c r="G2604" s="34">
        <v>64445.0</v>
      </c>
      <c r="H2604" s="34" t="s">
        <v>1225</v>
      </c>
      <c r="I2604" s="34" t="s">
        <v>18</v>
      </c>
      <c r="J2604" s="34" t="s">
        <v>13</v>
      </c>
      <c r="K2604" s="9"/>
      <c r="L2604" s="45">
        <v>88.4</v>
      </c>
      <c r="M2604" s="45">
        <v>88.4</v>
      </c>
    </row>
    <row r="2605">
      <c r="A2605" s="34" t="s">
        <v>70</v>
      </c>
      <c r="B2605" s="34" t="s">
        <v>377</v>
      </c>
      <c r="C2605" s="34">
        <v>64.0</v>
      </c>
      <c r="D2605" s="34" t="s">
        <v>1210</v>
      </c>
      <c r="E2605" s="34" t="s">
        <v>6291</v>
      </c>
      <c r="F2605" s="34" t="s">
        <v>6292</v>
      </c>
      <c r="G2605" s="34">
        <v>64445.0</v>
      </c>
      <c r="H2605" s="34" t="s">
        <v>1225</v>
      </c>
      <c r="I2605" s="34" t="s">
        <v>17</v>
      </c>
      <c r="J2605" s="34" t="s">
        <v>13</v>
      </c>
      <c r="K2605" s="9"/>
      <c r="L2605" s="45">
        <v>92.1</v>
      </c>
      <c r="M2605" s="45">
        <v>92.1</v>
      </c>
    </row>
    <row r="2606">
      <c r="A2606" s="34" t="s">
        <v>70</v>
      </c>
      <c r="B2606" s="34" t="s">
        <v>377</v>
      </c>
      <c r="C2606" s="34">
        <v>64.0</v>
      </c>
      <c r="D2606" s="34" t="s">
        <v>1210</v>
      </c>
      <c r="E2606" s="34" t="s">
        <v>6293</v>
      </c>
      <c r="F2606" s="34" t="s">
        <v>6294</v>
      </c>
      <c r="G2606" s="34">
        <v>64547.0</v>
      </c>
      <c r="H2606" s="34" t="s">
        <v>3117</v>
      </c>
      <c r="I2606" s="34" t="s">
        <v>17</v>
      </c>
      <c r="J2606" s="34" t="s">
        <v>13</v>
      </c>
      <c r="K2606" s="9"/>
      <c r="L2606" s="45">
        <v>89.0</v>
      </c>
      <c r="M2606" s="45">
        <v>89.0</v>
      </c>
    </row>
    <row r="2607">
      <c r="A2607" s="34" t="s">
        <v>70</v>
      </c>
      <c r="B2607" s="34" t="s">
        <v>377</v>
      </c>
      <c r="C2607" s="34">
        <v>64.0</v>
      </c>
      <c r="D2607" s="34" t="s">
        <v>1210</v>
      </c>
      <c r="E2607" s="34" t="s">
        <v>6295</v>
      </c>
      <c r="F2607" s="34" t="s">
        <v>6296</v>
      </c>
      <c r="G2607" s="34">
        <v>64485.0</v>
      </c>
      <c r="H2607" s="34" t="s">
        <v>6297</v>
      </c>
      <c r="I2607" s="34" t="s">
        <v>18</v>
      </c>
      <c r="J2607" s="34" t="s">
        <v>14</v>
      </c>
      <c r="K2607" s="45">
        <v>116.6</v>
      </c>
      <c r="L2607" s="45">
        <v>100.0</v>
      </c>
      <c r="M2607" s="45">
        <v>112.3</v>
      </c>
    </row>
    <row r="2608">
      <c r="A2608" s="34" t="s">
        <v>70</v>
      </c>
      <c r="B2608" s="34" t="s">
        <v>182</v>
      </c>
      <c r="C2608" s="34">
        <v>65.0</v>
      </c>
      <c r="D2608" s="34" t="s">
        <v>1246</v>
      </c>
      <c r="E2608" s="34" t="s">
        <v>6298</v>
      </c>
      <c r="F2608" s="34" t="s">
        <v>6299</v>
      </c>
      <c r="G2608" s="34">
        <v>65440.0</v>
      </c>
      <c r="H2608" s="34" t="s">
        <v>1252</v>
      </c>
      <c r="I2608" s="34" t="s">
        <v>18</v>
      </c>
      <c r="J2608" s="34" t="s">
        <v>15</v>
      </c>
      <c r="K2608" s="45">
        <v>117.8</v>
      </c>
      <c r="L2608" s="9"/>
      <c r="M2608" s="45">
        <v>117.8</v>
      </c>
    </row>
    <row r="2609">
      <c r="A2609" s="34" t="s">
        <v>70</v>
      </c>
      <c r="B2609" s="34" t="s">
        <v>182</v>
      </c>
      <c r="C2609" s="34">
        <v>65.0</v>
      </c>
      <c r="D2609" s="34" t="s">
        <v>1246</v>
      </c>
      <c r="E2609" s="34" t="s">
        <v>6300</v>
      </c>
      <c r="F2609" s="34" t="s">
        <v>6301</v>
      </c>
      <c r="G2609" s="34">
        <v>65440.0</v>
      </c>
      <c r="H2609" s="34" t="s">
        <v>1252</v>
      </c>
      <c r="I2609" s="34" t="s">
        <v>18</v>
      </c>
      <c r="J2609" s="34" t="s">
        <v>15</v>
      </c>
      <c r="K2609" s="45">
        <v>118.3</v>
      </c>
      <c r="L2609" s="9"/>
      <c r="M2609" s="45">
        <v>118.3</v>
      </c>
    </row>
    <row r="2610">
      <c r="A2610" s="34" t="s">
        <v>70</v>
      </c>
      <c r="B2610" s="34" t="s">
        <v>182</v>
      </c>
      <c r="C2610" s="34">
        <v>65.0</v>
      </c>
      <c r="D2610" s="34" t="s">
        <v>1246</v>
      </c>
      <c r="E2610" s="34" t="s">
        <v>6302</v>
      </c>
      <c r="F2610" s="34" t="s">
        <v>1179</v>
      </c>
      <c r="G2610" s="34">
        <v>65460.0</v>
      </c>
      <c r="H2610" s="34" t="s">
        <v>6303</v>
      </c>
      <c r="I2610" s="34" t="s">
        <v>18</v>
      </c>
      <c r="J2610" s="34" t="s">
        <v>13</v>
      </c>
      <c r="K2610" s="9"/>
      <c r="L2610" s="45">
        <v>92.3</v>
      </c>
      <c r="M2610" s="45">
        <v>92.3</v>
      </c>
    </row>
    <row r="2611">
      <c r="A2611" s="34" t="s">
        <v>70</v>
      </c>
      <c r="B2611" s="34" t="s">
        <v>182</v>
      </c>
      <c r="C2611" s="34">
        <v>65.0</v>
      </c>
      <c r="D2611" s="34" t="s">
        <v>1246</v>
      </c>
      <c r="E2611" s="34" t="s">
        <v>6304</v>
      </c>
      <c r="F2611" s="34" t="s">
        <v>6305</v>
      </c>
      <c r="G2611" s="34">
        <v>65460.0</v>
      </c>
      <c r="H2611" s="34" t="s">
        <v>6303</v>
      </c>
      <c r="I2611" s="34" t="s">
        <v>18</v>
      </c>
      <c r="J2611" s="34" t="s">
        <v>15</v>
      </c>
      <c r="K2611" s="45">
        <v>112.0</v>
      </c>
      <c r="L2611" s="9"/>
      <c r="M2611" s="45">
        <v>112.0</v>
      </c>
    </row>
    <row r="2612">
      <c r="A2612" s="34" t="s">
        <v>70</v>
      </c>
      <c r="B2612" s="34" t="s">
        <v>182</v>
      </c>
      <c r="C2612" s="34">
        <v>65.0</v>
      </c>
      <c r="D2612" s="34" t="s">
        <v>1246</v>
      </c>
      <c r="E2612" s="34" t="s">
        <v>6306</v>
      </c>
      <c r="F2612" s="34" t="s">
        <v>6307</v>
      </c>
      <c r="G2612" s="34">
        <v>65315.0</v>
      </c>
      <c r="H2612" s="34" t="s">
        <v>6308</v>
      </c>
      <c r="I2612" s="34" t="s">
        <v>17</v>
      </c>
      <c r="J2612" s="34" t="s">
        <v>14</v>
      </c>
      <c r="K2612" s="45">
        <v>112.3</v>
      </c>
      <c r="L2612" s="45">
        <v>97.8</v>
      </c>
      <c r="M2612" s="45">
        <v>108.3</v>
      </c>
    </row>
    <row r="2613">
      <c r="A2613" s="34" t="s">
        <v>70</v>
      </c>
      <c r="B2613" s="34" t="s">
        <v>483</v>
      </c>
      <c r="C2613" s="34">
        <v>66.0</v>
      </c>
      <c r="D2613" s="34" t="s">
        <v>1255</v>
      </c>
      <c r="E2613" s="34" t="s">
        <v>6309</v>
      </c>
      <c r="F2613" s="34" t="s">
        <v>3352</v>
      </c>
      <c r="G2613" s="34">
        <v>66136.0</v>
      </c>
      <c r="H2613" s="34" t="s">
        <v>1258</v>
      </c>
      <c r="I2613" s="34" t="s">
        <v>18</v>
      </c>
      <c r="J2613" s="34" t="s">
        <v>14</v>
      </c>
      <c r="K2613" s="45">
        <v>96.8</v>
      </c>
      <c r="L2613" s="45">
        <v>82.0</v>
      </c>
      <c r="M2613" s="45">
        <v>93.4</v>
      </c>
    </row>
    <row r="2614">
      <c r="A2614" s="34" t="s">
        <v>70</v>
      </c>
      <c r="B2614" s="34" t="s">
        <v>483</v>
      </c>
      <c r="C2614" s="34">
        <v>66.0</v>
      </c>
      <c r="D2614" s="34" t="s">
        <v>1255</v>
      </c>
      <c r="E2614" s="34" t="s">
        <v>6310</v>
      </c>
      <c r="F2614" s="34" t="s">
        <v>3018</v>
      </c>
      <c r="G2614" s="34">
        <v>66136.0</v>
      </c>
      <c r="H2614" s="34" t="s">
        <v>1258</v>
      </c>
      <c r="I2614" s="34" t="s">
        <v>18</v>
      </c>
      <c r="J2614" s="34" t="s">
        <v>14</v>
      </c>
      <c r="K2614" s="45">
        <v>111.4</v>
      </c>
      <c r="L2614" s="45">
        <v>83.8</v>
      </c>
      <c r="M2614" s="45">
        <v>100.0</v>
      </c>
    </row>
    <row r="2615">
      <c r="A2615" s="34" t="s">
        <v>70</v>
      </c>
      <c r="B2615" s="34" t="s">
        <v>483</v>
      </c>
      <c r="C2615" s="34">
        <v>66.0</v>
      </c>
      <c r="D2615" s="34" t="s">
        <v>1255</v>
      </c>
      <c r="E2615" s="34" t="s">
        <v>6311</v>
      </c>
      <c r="F2615" s="34" t="s">
        <v>6312</v>
      </c>
      <c r="G2615" s="34">
        <v>66225.0</v>
      </c>
      <c r="H2615" s="34" t="s">
        <v>6313</v>
      </c>
      <c r="I2615" s="34" t="s">
        <v>18</v>
      </c>
      <c r="J2615" s="34" t="s">
        <v>13</v>
      </c>
      <c r="K2615" s="9"/>
      <c r="L2615" s="45">
        <v>83.8</v>
      </c>
      <c r="M2615" s="45">
        <v>83.8</v>
      </c>
    </row>
    <row r="2616">
      <c r="A2616" s="34" t="s">
        <v>70</v>
      </c>
      <c r="B2616" s="34" t="s">
        <v>483</v>
      </c>
      <c r="C2616" s="34">
        <v>66.0</v>
      </c>
      <c r="D2616" s="34" t="s">
        <v>1255</v>
      </c>
      <c r="E2616" s="34" t="s">
        <v>6314</v>
      </c>
      <c r="F2616" s="34" t="s">
        <v>6315</v>
      </c>
      <c r="G2616" s="34">
        <v>66124.0</v>
      </c>
      <c r="H2616" s="34" t="s">
        <v>6316</v>
      </c>
      <c r="I2616" s="34" t="s">
        <v>18</v>
      </c>
      <c r="J2616" s="34" t="s">
        <v>14</v>
      </c>
      <c r="K2616" s="45">
        <v>121.5</v>
      </c>
      <c r="L2616" s="45">
        <v>91.3</v>
      </c>
      <c r="M2616" s="45">
        <v>118.6</v>
      </c>
    </row>
    <row r="2617">
      <c r="A2617" s="34" t="s">
        <v>70</v>
      </c>
      <c r="B2617" s="34" t="s">
        <v>483</v>
      </c>
      <c r="C2617" s="34">
        <v>66.0</v>
      </c>
      <c r="D2617" s="34" t="s">
        <v>1255</v>
      </c>
      <c r="E2617" s="34" t="s">
        <v>6317</v>
      </c>
      <c r="F2617" s="34" t="s">
        <v>6318</v>
      </c>
      <c r="G2617" s="34">
        <v>66136.0</v>
      </c>
      <c r="H2617" s="34" t="s">
        <v>1258</v>
      </c>
      <c r="I2617" s="34" t="s">
        <v>17</v>
      </c>
      <c r="J2617" s="34" t="s">
        <v>15</v>
      </c>
      <c r="K2617" s="45">
        <v>124.6</v>
      </c>
      <c r="L2617" s="9"/>
      <c r="M2617" s="45">
        <v>124.6</v>
      </c>
    </row>
    <row r="2618">
      <c r="A2618" s="34" t="s">
        <v>70</v>
      </c>
      <c r="B2618" s="34" t="s">
        <v>1259</v>
      </c>
      <c r="C2618" s="34">
        <v>67.0</v>
      </c>
      <c r="D2618" s="34" t="s">
        <v>1260</v>
      </c>
      <c r="E2618" s="34" t="s">
        <v>6319</v>
      </c>
      <c r="F2618" s="34" t="s">
        <v>6320</v>
      </c>
      <c r="G2618" s="34">
        <v>67180.0</v>
      </c>
      <c r="H2618" s="34" t="s">
        <v>3148</v>
      </c>
      <c r="I2618" s="34" t="s">
        <v>18</v>
      </c>
      <c r="J2618" s="34" t="s">
        <v>13</v>
      </c>
      <c r="K2618" s="9"/>
      <c r="L2618" s="45">
        <v>86.3</v>
      </c>
      <c r="M2618" s="45">
        <v>86.3</v>
      </c>
    </row>
    <row r="2619">
      <c r="A2619" s="34" t="s">
        <v>70</v>
      </c>
      <c r="B2619" s="34" t="s">
        <v>1259</v>
      </c>
      <c r="C2619" s="34">
        <v>67.0</v>
      </c>
      <c r="D2619" s="34" t="s">
        <v>1260</v>
      </c>
      <c r="E2619" s="34" t="s">
        <v>6321</v>
      </c>
      <c r="F2619" s="34" t="s">
        <v>6322</v>
      </c>
      <c r="G2619" s="34">
        <v>67300.0</v>
      </c>
      <c r="H2619" s="34" t="s">
        <v>3163</v>
      </c>
      <c r="I2619" s="34" t="s">
        <v>18</v>
      </c>
      <c r="J2619" s="34" t="s">
        <v>15</v>
      </c>
      <c r="K2619" s="45">
        <v>121.3</v>
      </c>
      <c r="L2619" s="9"/>
      <c r="M2619" s="45">
        <v>121.3</v>
      </c>
    </row>
    <row r="2620">
      <c r="A2620" s="34" t="s">
        <v>70</v>
      </c>
      <c r="B2620" s="34" t="s">
        <v>1259</v>
      </c>
      <c r="C2620" s="34">
        <v>67.0</v>
      </c>
      <c r="D2620" s="34" t="s">
        <v>1260</v>
      </c>
      <c r="E2620" s="34" t="s">
        <v>6323</v>
      </c>
      <c r="F2620" s="34" t="s">
        <v>6324</v>
      </c>
      <c r="G2620" s="34">
        <v>67437.0</v>
      </c>
      <c r="H2620" s="34" t="s">
        <v>3157</v>
      </c>
      <c r="I2620" s="34" t="s">
        <v>18</v>
      </c>
      <c r="J2620" s="34" t="s">
        <v>13</v>
      </c>
      <c r="K2620" s="9"/>
      <c r="L2620" s="45">
        <v>85.3</v>
      </c>
      <c r="M2620" s="45">
        <v>85.3</v>
      </c>
    </row>
    <row r="2621">
      <c r="A2621" s="34" t="s">
        <v>70</v>
      </c>
      <c r="B2621" s="34" t="s">
        <v>1259</v>
      </c>
      <c r="C2621" s="34">
        <v>67.0</v>
      </c>
      <c r="D2621" s="34" t="s">
        <v>1260</v>
      </c>
      <c r="E2621" s="34" t="s">
        <v>6325</v>
      </c>
      <c r="F2621" s="34" t="s">
        <v>5711</v>
      </c>
      <c r="G2621" s="34">
        <v>67447.0</v>
      </c>
      <c r="H2621" s="34" t="s">
        <v>3160</v>
      </c>
      <c r="I2621" s="34" t="s">
        <v>18</v>
      </c>
      <c r="J2621" s="34" t="s">
        <v>13</v>
      </c>
      <c r="K2621" s="9"/>
      <c r="L2621" s="45">
        <v>74.9</v>
      </c>
      <c r="M2621" s="45">
        <v>74.9</v>
      </c>
    </row>
    <row r="2622">
      <c r="A2622" s="34" t="s">
        <v>70</v>
      </c>
      <c r="B2622" s="34" t="s">
        <v>1259</v>
      </c>
      <c r="C2622" s="34">
        <v>67.0</v>
      </c>
      <c r="D2622" s="34" t="s">
        <v>1260</v>
      </c>
      <c r="E2622" s="34" t="s">
        <v>6326</v>
      </c>
      <c r="F2622" s="34" t="s">
        <v>6327</v>
      </c>
      <c r="G2622" s="34">
        <v>67448.0</v>
      </c>
      <c r="H2622" s="34" t="s">
        <v>6328</v>
      </c>
      <c r="I2622" s="34" t="s">
        <v>18</v>
      </c>
      <c r="J2622" s="34" t="s">
        <v>13</v>
      </c>
      <c r="K2622" s="9"/>
      <c r="L2622" s="45">
        <v>80.3</v>
      </c>
      <c r="M2622" s="45">
        <v>80.3</v>
      </c>
    </row>
    <row r="2623">
      <c r="A2623" s="34" t="s">
        <v>70</v>
      </c>
      <c r="B2623" s="34" t="s">
        <v>1259</v>
      </c>
      <c r="C2623" s="34">
        <v>67.0</v>
      </c>
      <c r="D2623" s="34" t="s">
        <v>1260</v>
      </c>
      <c r="E2623" s="34" t="s">
        <v>6329</v>
      </c>
      <c r="F2623" s="34" t="s">
        <v>6330</v>
      </c>
      <c r="G2623" s="34">
        <v>67462.0</v>
      </c>
      <c r="H2623" s="34" t="s">
        <v>4836</v>
      </c>
      <c r="I2623" s="34" t="s">
        <v>18</v>
      </c>
      <c r="J2623" s="34" t="s">
        <v>15</v>
      </c>
      <c r="K2623" s="45">
        <v>122.3</v>
      </c>
      <c r="L2623" s="9"/>
      <c r="M2623" s="45">
        <v>122.3</v>
      </c>
    </row>
    <row r="2624">
      <c r="A2624" s="34" t="s">
        <v>70</v>
      </c>
      <c r="B2624" s="34" t="s">
        <v>1259</v>
      </c>
      <c r="C2624" s="34">
        <v>67.0</v>
      </c>
      <c r="D2624" s="34" t="s">
        <v>1260</v>
      </c>
      <c r="E2624" s="34" t="s">
        <v>6331</v>
      </c>
      <c r="F2624" s="34" t="s">
        <v>4395</v>
      </c>
      <c r="G2624" s="34">
        <v>67482.0</v>
      </c>
      <c r="H2624" s="34" t="s">
        <v>1259</v>
      </c>
      <c r="I2624" s="34" t="s">
        <v>18</v>
      </c>
      <c r="J2624" s="34" t="s">
        <v>15</v>
      </c>
      <c r="K2624" s="45">
        <v>100.3</v>
      </c>
      <c r="L2624" s="9"/>
      <c r="M2624" s="45">
        <v>100.3</v>
      </c>
    </row>
    <row r="2625">
      <c r="A2625" s="34" t="s">
        <v>70</v>
      </c>
      <c r="B2625" s="34" t="s">
        <v>1259</v>
      </c>
      <c r="C2625" s="34">
        <v>67.0</v>
      </c>
      <c r="D2625" s="34" t="s">
        <v>1260</v>
      </c>
      <c r="E2625" s="34" t="s">
        <v>6332</v>
      </c>
      <c r="F2625" s="34" t="s">
        <v>6333</v>
      </c>
      <c r="G2625" s="34">
        <v>67482.0</v>
      </c>
      <c r="H2625" s="34" t="s">
        <v>1259</v>
      </c>
      <c r="I2625" s="34" t="s">
        <v>18</v>
      </c>
      <c r="J2625" s="34" t="s">
        <v>15</v>
      </c>
      <c r="K2625" s="45">
        <v>132.7</v>
      </c>
      <c r="L2625" s="9"/>
      <c r="M2625" s="45">
        <v>132.7</v>
      </c>
    </row>
    <row r="2626">
      <c r="A2626" s="34" t="s">
        <v>70</v>
      </c>
      <c r="B2626" s="34" t="s">
        <v>1259</v>
      </c>
      <c r="C2626" s="34">
        <v>67.0</v>
      </c>
      <c r="D2626" s="34" t="s">
        <v>1260</v>
      </c>
      <c r="E2626" s="34" t="s">
        <v>6334</v>
      </c>
      <c r="F2626" s="34" t="s">
        <v>6335</v>
      </c>
      <c r="G2626" s="34">
        <v>67482.0</v>
      </c>
      <c r="H2626" s="34" t="s">
        <v>1259</v>
      </c>
      <c r="I2626" s="34" t="s">
        <v>18</v>
      </c>
      <c r="J2626" s="34" t="s">
        <v>15</v>
      </c>
      <c r="K2626" s="45">
        <v>120.8</v>
      </c>
      <c r="L2626" s="9"/>
      <c r="M2626" s="45">
        <v>120.8</v>
      </c>
    </row>
    <row r="2627">
      <c r="A2627" s="34" t="s">
        <v>70</v>
      </c>
      <c r="B2627" s="34" t="s">
        <v>1259</v>
      </c>
      <c r="C2627" s="34">
        <v>67.0</v>
      </c>
      <c r="D2627" s="34" t="s">
        <v>1260</v>
      </c>
      <c r="E2627" s="34" t="s">
        <v>6336</v>
      </c>
      <c r="F2627" s="34" t="s">
        <v>6337</v>
      </c>
      <c r="G2627" s="34">
        <v>67482.0</v>
      </c>
      <c r="H2627" s="34" t="s">
        <v>1259</v>
      </c>
      <c r="I2627" s="34" t="s">
        <v>18</v>
      </c>
      <c r="J2627" s="34" t="s">
        <v>15</v>
      </c>
      <c r="K2627" s="45">
        <v>127.0</v>
      </c>
      <c r="L2627" s="9"/>
      <c r="M2627" s="45">
        <v>127.0</v>
      </c>
    </row>
    <row r="2628">
      <c r="A2628" s="34" t="s">
        <v>70</v>
      </c>
      <c r="B2628" s="34" t="s">
        <v>1259</v>
      </c>
      <c r="C2628" s="34">
        <v>67.0</v>
      </c>
      <c r="D2628" s="34" t="s">
        <v>1260</v>
      </c>
      <c r="E2628" s="34" t="s">
        <v>6338</v>
      </c>
      <c r="F2628" s="34" t="s">
        <v>6160</v>
      </c>
      <c r="G2628" s="34">
        <v>67482.0</v>
      </c>
      <c r="H2628" s="34" t="s">
        <v>1259</v>
      </c>
      <c r="I2628" s="34" t="s">
        <v>18</v>
      </c>
      <c r="J2628" s="34" t="s">
        <v>15</v>
      </c>
      <c r="K2628" s="45">
        <v>100.8</v>
      </c>
      <c r="L2628" s="9"/>
      <c r="M2628" s="45">
        <v>100.8</v>
      </c>
    </row>
    <row r="2629">
      <c r="A2629" s="34" t="s">
        <v>70</v>
      </c>
      <c r="B2629" s="34" t="s">
        <v>1259</v>
      </c>
      <c r="C2629" s="34">
        <v>67.0</v>
      </c>
      <c r="D2629" s="34" t="s">
        <v>1260</v>
      </c>
      <c r="E2629" s="34" t="s">
        <v>6339</v>
      </c>
      <c r="F2629" s="34" t="s">
        <v>3689</v>
      </c>
      <c r="G2629" s="34">
        <v>67482.0</v>
      </c>
      <c r="H2629" s="34" t="s">
        <v>1259</v>
      </c>
      <c r="I2629" s="34" t="s">
        <v>18</v>
      </c>
      <c r="J2629" s="34" t="s">
        <v>14</v>
      </c>
      <c r="K2629" s="45">
        <v>103.3</v>
      </c>
      <c r="L2629" s="45">
        <v>85.4</v>
      </c>
      <c r="M2629" s="45">
        <v>100.5</v>
      </c>
    </row>
    <row r="2630">
      <c r="A2630" s="34" t="s">
        <v>70</v>
      </c>
      <c r="B2630" s="34" t="s">
        <v>1259</v>
      </c>
      <c r="C2630" s="34">
        <v>67.0</v>
      </c>
      <c r="D2630" s="34" t="s">
        <v>1260</v>
      </c>
      <c r="E2630" s="34" t="s">
        <v>6340</v>
      </c>
      <c r="F2630" s="34" t="s">
        <v>6341</v>
      </c>
      <c r="G2630" s="34">
        <v>67482.0</v>
      </c>
      <c r="H2630" s="34" t="s">
        <v>1259</v>
      </c>
      <c r="I2630" s="34" t="s">
        <v>18</v>
      </c>
      <c r="J2630" s="34" t="s">
        <v>14</v>
      </c>
      <c r="K2630" s="45">
        <v>108.0</v>
      </c>
      <c r="L2630" s="45">
        <v>79.6</v>
      </c>
      <c r="M2630" s="45">
        <v>94.5</v>
      </c>
    </row>
    <row r="2631">
      <c r="A2631" s="34" t="s">
        <v>70</v>
      </c>
      <c r="B2631" s="34" t="s">
        <v>1259</v>
      </c>
      <c r="C2631" s="34">
        <v>67.0</v>
      </c>
      <c r="D2631" s="34" t="s">
        <v>1260</v>
      </c>
      <c r="E2631" s="34" t="s">
        <v>6342</v>
      </c>
      <c r="F2631" s="34" t="s">
        <v>6343</v>
      </c>
      <c r="G2631" s="34">
        <v>67447.0</v>
      </c>
      <c r="H2631" s="34" t="s">
        <v>3160</v>
      </c>
      <c r="I2631" s="34" t="s">
        <v>18</v>
      </c>
      <c r="J2631" s="34" t="s">
        <v>13</v>
      </c>
      <c r="K2631" s="9"/>
      <c r="L2631" s="45">
        <v>78.6</v>
      </c>
      <c r="M2631" s="45">
        <v>78.6</v>
      </c>
    </row>
    <row r="2632">
      <c r="A2632" s="34" t="s">
        <v>70</v>
      </c>
      <c r="B2632" s="34" t="s">
        <v>1259</v>
      </c>
      <c r="C2632" s="34">
        <v>67.0</v>
      </c>
      <c r="D2632" s="34" t="s">
        <v>1260</v>
      </c>
      <c r="E2632" s="34" t="s">
        <v>6344</v>
      </c>
      <c r="F2632" s="34" t="s">
        <v>6345</v>
      </c>
      <c r="G2632" s="34">
        <v>67180.0</v>
      </c>
      <c r="H2632" s="34" t="s">
        <v>3148</v>
      </c>
      <c r="I2632" s="34" t="s">
        <v>17</v>
      </c>
      <c r="J2632" s="34" t="s">
        <v>15</v>
      </c>
      <c r="K2632" s="45">
        <v>121.5</v>
      </c>
      <c r="L2632" s="9"/>
      <c r="M2632" s="45">
        <v>121.5</v>
      </c>
    </row>
    <row r="2633">
      <c r="A2633" s="34" t="s">
        <v>70</v>
      </c>
      <c r="B2633" s="34" t="s">
        <v>1259</v>
      </c>
      <c r="C2633" s="34">
        <v>67.0</v>
      </c>
      <c r="D2633" s="34" t="s">
        <v>1260</v>
      </c>
      <c r="E2633" s="34" t="s">
        <v>6346</v>
      </c>
      <c r="F2633" s="34" t="s">
        <v>6347</v>
      </c>
      <c r="G2633" s="34">
        <v>67511.0</v>
      </c>
      <c r="H2633" s="34" t="s">
        <v>6348</v>
      </c>
      <c r="I2633" s="34" t="s">
        <v>17</v>
      </c>
      <c r="J2633" s="34" t="s">
        <v>15</v>
      </c>
      <c r="K2633" s="45">
        <v>123.9</v>
      </c>
      <c r="L2633" s="9"/>
      <c r="M2633" s="45">
        <v>123.9</v>
      </c>
    </row>
    <row r="2634">
      <c r="A2634" s="34" t="s">
        <v>70</v>
      </c>
      <c r="B2634" s="34" t="s">
        <v>1259</v>
      </c>
      <c r="C2634" s="34">
        <v>67.0</v>
      </c>
      <c r="D2634" s="34" t="s">
        <v>1260</v>
      </c>
      <c r="E2634" s="34" t="s">
        <v>6349</v>
      </c>
      <c r="F2634" s="34" t="s">
        <v>6350</v>
      </c>
      <c r="G2634" s="34">
        <v>67482.0</v>
      </c>
      <c r="H2634" s="34" t="s">
        <v>1259</v>
      </c>
      <c r="I2634" s="34" t="s">
        <v>17</v>
      </c>
      <c r="J2634" s="34" t="s">
        <v>15</v>
      </c>
      <c r="K2634" s="45">
        <v>120.0</v>
      </c>
      <c r="L2634" s="9"/>
      <c r="M2634" s="45">
        <v>120.0</v>
      </c>
    </row>
    <row r="2635">
      <c r="A2635" s="34" t="s">
        <v>70</v>
      </c>
      <c r="B2635" s="34" t="s">
        <v>1259</v>
      </c>
      <c r="C2635" s="34">
        <v>67.0</v>
      </c>
      <c r="D2635" s="34" t="s">
        <v>1260</v>
      </c>
      <c r="E2635" s="34" t="s">
        <v>6351</v>
      </c>
      <c r="F2635" s="34" t="s">
        <v>6352</v>
      </c>
      <c r="G2635" s="34">
        <v>67434.0</v>
      </c>
      <c r="H2635" s="34" t="s">
        <v>6353</v>
      </c>
      <c r="I2635" s="34" t="s">
        <v>18</v>
      </c>
      <c r="J2635" s="34" t="s">
        <v>14</v>
      </c>
      <c r="K2635" s="45">
        <v>107.2</v>
      </c>
      <c r="L2635" s="45">
        <v>83.2</v>
      </c>
      <c r="M2635" s="45">
        <v>99.3</v>
      </c>
    </row>
    <row r="2636">
      <c r="A2636" s="34" t="s">
        <v>70</v>
      </c>
      <c r="B2636" s="34" t="s">
        <v>1259</v>
      </c>
      <c r="C2636" s="34">
        <v>67.0</v>
      </c>
      <c r="D2636" s="34" t="s">
        <v>1260</v>
      </c>
      <c r="E2636" s="34" t="s">
        <v>6354</v>
      </c>
      <c r="F2636" s="34" t="s">
        <v>6355</v>
      </c>
      <c r="G2636" s="34">
        <v>67218.0</v>
      </c>
      <c r="H2636" s="34" t="s">
        <v>1275</v>
      </c>
      <c r="I2636" s="34" t="s">
        <v>18</v>
      </c>
      <c r="J2636" s="34" t="s">
        <v>13</v>
      </c>
      <c r="K2636" s="9"/>
      <c r="L2636" s="45">
        <v>103.1</v>
      </c>
      <c r="M2636" s="45">
        <v>103.1</v>
      </c>
    </row>
    <row r="2637">
      <c r="A2637" s="34" t="s">
        <v>70</v>
      </c>
      <c r="B2637" s="34" t="s">
        <v>1259</v>
      </c>
      <c r="C2637" s="34">
        <v>68.0</v>
      </c>
      <c r="D2637" s="34" t="s">
        <v>1281</v>
      </c>
      <c r="E2637" s="34" t="s">
        <v>6356</v>
      </c>
      <c r="F2637" s="34" t="s">
        <v>6357</v>
      </c>
      <c r="G2637" s="34">
        <v>68112.0</v>
      </c>
      <c r="H2637" s="34" t="s">
        <v>4852</v>
      </c>
      <c r="I2637" s="34" t="s">
        <v>18</v>
      </c>
      <c r="J2637" s="34" t="s">
        <v>15</v>
      </c>
      <c r="K2637" s="45">
        <v>117.3</v>
      </c>
      <c r="L2637" s="9"/>
      <c r="M2637" s="45">
        <v>117.3</v>
      </c>
    </row>
    <row r="2638">
      <c r="A2638" s="34" t="s">
        <v>70</v>
      </c>
      <c r="B2638" s="34" t="s">
        <v>1259</v>
      </c>
      <c r="C2638" s="34">
        <v>68.0</v>
      </c>
      <c r="D2638" s="34" t="s">
        <v>1281</v>
      </c>
      <c r="E2638" s="34" t="s">
        <v>6358</v>
      </c>
      <c r="F2638" s="34" t="s">
        <v>6359</v>
      </c>
      <c r="G2638" s="34">
        <v>68112.0</v>
      </c>
      <c r="H2638" s="34" t="s">
        <v>4852</v>
      </c>
      <c r="I2638" s="34" t="s">
        <v>18</v>
      </c>
      <c r="J2638" s="34" t="s">
        <v>14</v>
      </c>
      <c r="K2638" s="45">
        <v>120.5</v>
      </c>
      <c r="L2638" s="45">
        <v>93.5</v>
      </c>
      <c r="M2638" s="45">
        <v>115.9</v>
      </c>
    </row>
    <row r="2639">
      <c r="A2639" s="34" t="s">
        <v>70</v>
      </c>
      <c r="B2639" s="34" t="s">
        <v>1259</v>
      </c>
      <c r="C2639" s="34">
        <v>68.0</v>
      </c>
      <c r="D2639" s="34" t="s">
        <v>1281</v>
      </c>
      <c r="E2639" s="34" t="s">
        <v>6360</v>
      </c>
      <c r="F2639" s="34" t="s">
        <v>6361</v>
      </c>
      <c r="G2639" s="34">
        <v>68224.0</v>
      </c>
      <c r="H2639" s="34" t="s">
        <v>1292</v>
      </c>
      <c r="I2639" s="34" t="s">
        <v>18</v>
      </c>
      <c r="J2639" s="34" t="s">
        <v>15</v>
      </c>
      <c r="K2639" s="45">
        <v>103.0</v>
      </c>
      <c r="L2639" s="9"/>
      <c r="M2639" s="45">
        <v>103.0</v>
      </c>
    </row>
    <row r="2640">
      <c r="A2640" s="34" t="s">
        <v>70</v>
      </c>
      <c r="B2640" s="34" t="s">
        <v>1259</v>
      </c>
      <c r="C2640" s="34">
        <v>68.0</v>
      </c>
      <c r="D2640" s="34" t="s">
        <v>1281</v>
      </c>
      <c r="E2640" s="34" t="s">
        <v>6362</v>
      </c>
      <c r="F2640" s="34" t="s">
        <v>6363</v>
      </c>
      <c r="G2640" s="34">
        <v>68224.0</v>
      </c>
      <c r="H2640" s="34" t="s">
        <v>1292</v>
      </c>
      <c r="I2640" s="34" t="s">
        <v>18</v>
      </c>
      <c r="J2640" s="34" t="s">
        <v>14</v>
      </c>
      <c r="K2640" s="45">
        <v>98.8</v>
      </c>
      <c r="L2640" s="45">
        <v>98.2</v>
      </c>
      <c r="M2640" s="45">
        <v>98.8</v>
      </c>
    </row>
    <row r="2641">
      <c r="A2641" s="34" t="s">
        <v>70</v>
      </c>
      <c r="B2641" s="34" t="s">
        <v>1259</v>
      </c>
      <c r="C2641" s="34">
        <v>68.0</v>
      </c>
      <c r="D2641" s="34" t="s">
        <v>1281</v>
      </c>
      <c r="E2641" s="34" t="s">
        <v>6364</v>
      </c>
      <c r="F2641" s="34" t="s">
        <v>3797</v>
      </c>
      <c r="G2641" s="34">
        <v>68224.0</v>
      </c>
      <c r="H2641" s="34" t="s">
        <v>1292</v>
      </c>
      <c r="I2641" s="34" t="s">
        <v>17</v>
      </c>
      <c r="J2641" s="34" t="s">
        <v>13</v>
      </c>
      <c r="K2641" s="9"/>
      <c r="L2641" s="45">
        <v>88.8</v>
      </c>
      <c r="M2641" s="45">
        <v>88.8</v>
      </c>
    </row>
    <row r="2642">
      <c r="A2642" s="34" t="s">
        <v>70</v>
      </c>
      <c r="B2642" s="34" t="s">
        <v>1259</v>
      </c>
      <c r="C2642" s="34">
        <v>68.0</v>
      </c>
      <c r="D2642" s="34" t="s">
        <v>1281</v>
      </c>
      <c r="E2642" s="34" t="s">
        <v>6365</v>
      </c>
      <c r="F2642" s="34" t="s">
        <v>6366</v>
      </c>
      <c r="G2642" s="34">
        <v>68376.0</v>
      </c>
      <c r="H2642" s="34" t="s">
        <v>4855</v>
      </c>
      <c r="I2642" s="34" t="s">
        <v>17</v>
      </c>
      <c r="J2642" s="34" t="s">
        <v>13</v>
      </c>
      <c r="K2642" s="9"/>
      <c r="L2642" s="45">
        <v>87.1</v>
      </c>
      <c r="M2642" s="45">
        <v>87.1</v>
      </c>
    </row>
    <row r="2643">
      <c r="A2643" s="34" t="s">
        <v>70</v>
      </c>
      <c r="B2643" s="34" t="s">
        <v>1259</v>
      </c>
      <c r="C2643" s="34">
        <v>68.0</v>
      </c>
      <c r="D2643" s="34" t="s">
        <v>1281</v>
      </c>
      <c r="E2643" s="34" t="s">
        <v>6367</v>
      </c>
      <c r="F2643" s="34" t="s">
        <v>6368</v>
      </c>
      <c r="G2643" s="34">
        <v>68258.0</v>
      </c>
      <c r="H2643" s="34" t="s">
        <v>6369</v>
      </c>
      <c r="I2643" s="34" t="s">
        <v>18</v>
      </c>
      <c r="J2643" s="34" t="s">
        <v>13</v>
      </c>
      <c r="K2643" s="9"/>
      <c r="L2643" s="45">
        <v>91.3</v>
      </c>
      <c r="M2643" s="45">
        <v>91.3</v>
      </c>
    </row>
    <row r="2644">
      <c r="A2644" s="34" t="s">
        <v>70</v>
      </c>
      <c r="B2644" s="34" t="s">
        <v>1259</v>
      </c>
      <c r="C2644" s="34">
        <v>68.0</v>
      </c>
      <c r="D2644" s="34" t="s">
        <v>1281</v>
      </c>
      <c r="E2644" s="34" t="s">
        <v>6370</v>
      </c>
      <c r="F2644" s="34" t="s">
        <v>6371</v>
      </c>
      <c r="G2644" s="34">
        <v>68155.0</v>
      </c>
      <c r="H2644" s="34" t="s">
        <v>6372</v>
      </c>
      <c r="I2644" s="34" t="s">
        <v>18</v>
      </c>
      <c r="J2644" s="34" t="s">
        <v>14</v>
      </c>
      <c r="K2644" s="45">
        <v>105.3</v>
      </c>
      <c r="L2644" s="45">
        <v>80.2</v>
      </c>
      <c r="M2644" s="45">
        <v>88.6</v>
      </c>
    </row>
    <row r="2645">
      <c r="A2645" s="34" t="s">
        <v>70</v>
      </c>
      <c r="B2645" s="34" t="s">
        <v>1259</v>
      </c>
      <c r="C2645" s="34">
        <v>68.0</v>
      </c>
      <c r="D2645" s="34" t="s">
        <v>1281</v>
      </c>
      <c r="E2645" s="34" t="s">
        <v>6373</v>
      </c>
      <c r="F2645" s="34" t="s">
        <v>6374</v>
      </c>
      <c r="G2645" s="34">
        <v>68066.0</v>
      </c>
      <c r="H2645" s="34" t="s">
        <v>1287</v>
      </c>
      <c r="I2645" s="34" t="s">
        <v>18</v>
      </c>
      <c r="J2645" s="34" t="s">
        <v>14</v>
      </c>
      <c r="K2645" s="45">
        <v>94.5</v>
      </c>
      <c r="L2645" s="45">
        <v>79.8</v>
      </c>
      <c r="M2645" s="45">
        <v>81.4</v>
      </c>
    </row>
    <row r="2646">
      <c r="A2646" s="34" t="s">
        <v>70</v>
      </c>
      <c r="B2646" s="34" t="s">
        <v>71</v>
      </c>
      <c r="C2646" s="34">
        <v>69.0</v>
      </c>
      <c r="D2646" s="34" t="s">
        <v>1316</v>
      </c>
      <c r="E2646" s="34" t="s">
        <v>6375</v>
      </c>
      <c r="F2646" s="34" t="s">
        <v>6376</v>
      </c>
      <c r="G2646" s="34">
        <v>69266.0</v>
      </c>
      <c r="H2646" s="34" t="s">
        <v>1337</v>
      </c>
      <c r="I2646" s="34" t="s">
        <v>18</v>
      </c>
      <c r="J2646" s="34" t="s">
        <v>13</v>
      </c>
      <c r="K2646" s="9"/>
      <c r="L2646" s="45">
        <v>73.3</v>
      </c>
      <c r="M2646" s="45">
        <v>73.3</v>
      </c>
    </row>
    <row r="2647">
      <c r="A2647" s="34" t="s">
        <v>70</v>
      </c>
      <c r="B2647" s="34" t="s">
        <v>71</v>
      </c>
      <c r="C2647" s="34">
        <v>69.0</v>
      </c>
      <c r="D2647" s="34" t="s">
        <v>1316</v>
      </c>
      <c r="E2647" s="34" t="s">
        <v>6377</v>
      </c>
      <c r="F2647" s="34" t="s">
        <v>6378</v>
      </c>
      <c r="G2647" s="34">
        <v>69388.0</v>
      </c>
      <c r="H2647" s="34" t="s">
        <v>1328</v>
      </c>
      <c r="I2647" s="34" t="s">
        <v>18</v>
      </c>
      <c r="J2647" s="34" t="s">
        <v>13</v>
      </c>
      <c r="K2647" s="9"/>
      <c r="L2647" s="45">
        <v>93.4</v>
      </c>
      <c r="M2647" s="45">
        <v>93.4</v>
      </c>
    </row>
    <row r="2648">
      <c r="A2648" s="34" t="s">
        <v>70</v>
      </c>
      <c r="B2648" s="34" t="s">
        <v>71</v>
      </c>
      <c r="C2648" s="34">
        <v>69.0</v>
      </c>
      <c r="D2648" s="34" t="s">
        <v>1316</v>
      </c>
      <c r="E2648" s="34" t="s">
        <v>6379</v>
      </c>
      <c r="F2648" s="34" t="s">
        <v>3392</v>
      </c>
      <c r="G2648" s="34">
        <v>69259.0</v>
      </c>
      <c r="H2648" s="34" t="s">
        <v>3194</v>
      </c>
      <c r="I2648" s="34" t="s">
        <v>18</v>
      </c>
      <c r="J2648" s="34" t="s">
        <v>15</v>
      </c>
      <c r="K2648" s="45">
        <v>89.2</v>
      </c>
      <c r="L2648" s="9"/>
      <c r="M2648" s="45">
        <v>89.2</v>
      </c>
    </row>
    <row r="2649">
      <c r="A2649" s="34" t="s">
        <v>70</v>
      </c>
      <c r="B2649" s="34" t="s">
        <v>71</v>
      </c>
      <c r="C2649" s="34">
        <v>69.0</v>
      </c>
      <c r="D2649" s="34" t="s">
        <v>1316</v>
      </c>
      <c r="E2649" s="34" t="s">
        <v>6380</v>
      </c>
      <c r="F2649" s="34" t="s">
        <v>6381</v>
      </c>
      <c r="G2649" s="34">
        <v>69142.0</v>
      </c>
      <c r="H2649" s="34" t="s">
        <v>6382</v>
      </c>
      <c r="I2649" s="34" t="s">
        <v>17</v>
      </c>
      <c r="J2649" s="34" t="s">
        <v>15</v>
      </c>
      <c r="K2649" s="45">
        <v>127.3</v>
      </c>
      <c r="L2649" s="9"/>
      <c r="M2649" s="45">
        <v>127.3</v>
      </c>
    </row>
    <row r="2650">
      <c r="A2650" s="34" t="s">
        <v>70</v>
      </c>
      <c r="B2650" s="34" t="s">
        <v>71</v>
      </c>
      <c r="C2650" s="34">
        <v>69.0</v>
      </c>
      <c r="D2650" s="34" t="s">
        <v>1316</v>
      </c>
      <c r="E2650" s="34" t="s">
        <v>6383</v>
      </c>
      <c r="F2650" s="34" t="s">
        <v>6384</v>
      </c>
      <c r="G2650" s="34">
        <v>69149.0</v>
      </c>
      <c r="H2650" s="34" t="s">
        <v>1345</v>
      </c>
      <c r="I2650" s="34" t="s">
        <v>17</v>
      </c>
      <c r="J2650" s="34" t="s">
        <v>15</v>
      </c>
      <c r="K2650" s="45">
        <v>113.8</v>
      </c>
      <c r="L2650" s="9"/>
      <c r="M2650" s="45">
        <v>113.8</v>
      </c>
    </row>
    <row r="2651">
      <c r="A2651" s="34" t="s">
        <v>70</v>
      </c>
      <c r="B2651" s="34" t="s">
        <v>71</v>
      </c>
      <c r="C2651" s="34">
        <v>69.0</v>
      </c>
      <c r="D2651" s="34" t="s">
        <v>1316</v>
      </c>
      <c r="E2651" s="34" t="s">
        <v>6385</v>
      </c>
      <c r="F2651" s="34" t="s">
        <v>6386</v>
      </c>
      <c r="G2651" s="34">
        <v>69381.0</v>
      </c>
      <c r="H2651" s="34" t="s">
        <v>1334</v>
      </c>
      <c r="I2651" s="34" t="s">
        <v>17</v>
      </c>
      <c r="J2651" s="34" t="s">
        <v>15</v>
      </c>
      <c r="K2651" s="45">
        <v>145.3</v>
      </c>
      <c r="L2651" s="9"/>
      <c r="M2651" s="45">
        <v>145.3</v>
      </c>
    </row>
    <row r="2652">
      <c r="A2652" s="34" t="s">
        <v>70</v>
      </c>
      <c r="B2652" s="34" t="s">
        <v>71</v>
      </c>
      <c r="C2652" s="34">
        <v>69.0</v>
      </c>
      <c r="D2652" s="34" t="s">
        <v>1316</v>
      </c>
      <c r="E2652" s="34" t="s">
        <v>6387</v>
      </c>
      <c r="F2652" s="34" t="s">
        <v>6388</v>
      </c>
      <c r="G2652" s="34">
        <v>69382.0</v>
      </c>
      <c r="H2652" s="34" t="s">
        <v>1350</v>
      </c>
      <c r="I2652" s="34" t="s">
        <v>17</v>
      </c>
      <c r="J2652" s="34" t="s">
        <v>15</v>
      </c>
      <c r="K2652" s="45">
        <v>135.5</v>
      </c>
      <c r="L2652" s="9"/>
      <c r="M2652" s="45">
        <v>135.5</v>
      </c>
    </row>
    <row r="2653">
      <c r="A2653" s="34" t="s">
        <v>70</v>
      </c>
      <c r="B2653" s="34" t="s">
        <v>71</v>
      </c>
      <c r="C2653" s="34">
        <v>69.0</v>
      </c>
      <c r="D2653" s="34" t="s">
        <v>1316</v>
      </c>
      <c r="E2653" s="34" t="s">
        <v>6389</v>
      </c>
      <c r="F2653" s="34" t="s">
        <v>6390</v>
      </c>
      <c r="G2653" s="34">
        <v>69387.0</v>
      </c>
      <c r="H2653" s="34" t="s">
        <v>1353</v>
      </c>
      <c r="I2653" s="34" t="s">
        <v>17</v>
      </c>
      <c r="J2653" s="34" t="s">
        <v>15</v>
      </c>
      <c r="K2653" s="45">
        <v>125.6</v>
      </c>
      <c r="L2653" s="9"/>
      <c r="M2653" s="45">
        <v>125.6</v>
      </c>
    </row>
    <row r="2654">
      <c r="A2654" s="34" t="s">
        <v>70</v>
      </c>
      <c r="B2654" s="34" t="s">
        <v>71</v>
      </c>
      <c r="C2654" s="34">
        <v>69.0</v>
      </c>
      <c r="D2654" s="34" t="s">
        <v>1316</v>
      </c>
      <c r="E2654" s="34" t="s">
        <v>6391</v>
      </c>
      <c r="F2654" s="34" t="s">
        <v>6392</v>
      </c>
      <c r="G2654" s="34">
        <v>69388.0</v>
      </c>
      <c r="H2654" s="34" t="s">
        <v>1328</v>
      </c>
      <c r="I2654" s="34" t="s">
        <v>17</v>
      </c>
      <c r="J2654" s="34" t="s">
        <v>15</v>
      </c>
      <c r="K2654" s="45">
        <v>132.3</v>
      </c>
      <c r="L2654" s="9"/>
      <c r="M2654" s="45">
        <v>132.3</v>
      </c>
    </row>
    <row r="2655">
      <c r="A2655" s="34" t="s">
        <v>70</v>
      </c>
      <c r="B2655" s="34" t="s">
        <v>71</v>
      </c>
      <c r="C2655" s="34">
        <v>69.0</v>
      </c>
      <c r="D2655" s="34" t="s">
        <v>1316</v>
      </c>
      <c r="E2655" s="34" t="s">
        <v>6393</v>
      </c>
      <c r="F2655" s="34" t="s">
        <v>6394</v>
      </c>
      <c r="G2655" s="34">
        <v>69381.0</v>
      </c>
      <c r="H2655" s="34" t="s">
        <v>1334</v>
      </c>
      <c r="I2655" s="34" t="s">
        <v>17</v>
      </c>
      <c r="J2655" s="34" t="s">
        <v>15</v>
      </c>
      <c r="K2655" s="45">
        <v>118.5</v>
      </c>
      <c r="L2655" s="9"/>
      <c r="M2655" s="45">
        <v>118.5</v>
      </c>
    </row>
    <row r="2656">
      <c r="A2656" s="34" t="s">
        <v>70</v>
      </c>
      <c r="B2656" s="34" t="s">
        <v>71</v>
      </c>
      <c r="C2656" s="34">
        <v>69.0</v>
      </c>
      <c r="D2656" s="34" t="s">
        <v>1316</v>
      </c>
      <c r="E2656" s="34" t="s">
        <v>6395</v>
      </c>
      <c r="F2656" s="34" t="s">
        <v>6396</v>
      </c>
      <c r="G2656" s="34">
        <v>69202.0</v>
      </c>
      <c r="H2656" s="34" t="s">
        <v>6397</v>
      </c>
      <c r="I2656" s="34" t="s">
        <v>17</v>
      </c>
      <c r="J2656" s="34" t="s">
        <v>13</v>
      </c>
      <c r="K2656" s="9"/>
      <c r="L2656" s="45">
        <v>111.1</v>
      </c>
      <c r="M2656" s="45">
        <v>111.1</v>
      </c>
    </row>
    <row r="2657">
      <c r="A2657" s="34" t="s">
        <v>70</v>
      </c>
      <c r="B2657" s="34" t="s">
        <v>71</v>
      </c>
      <c r="C2657" s="34">
        <v>69.0</v>
      </c>
      <c r="D2657" s="34" t="s">
        <v>1316</v>
      </c>
      <c r="E2657" s="34" t="s">
        <v>6398</v>
      </c>
      <c r="F2657" s="34" t="s">
        <v>6399</v>
      </c>
      <c r="G2657" s="34">
        <v>69238.0</v>
      </c>
      <c r="H2657" s="34" t="s">
        <v>6400</v>
      </c>
      <c r="I2657" s="34" t="s">
        <v>17</v>
      </c>
      <c r="J2657" s="34" t="s">
        <v>15</v>
      </c>
      <c r="K2657" s="45">
        <v>121.8</v>
      </c>
      <c r="L2657" s="9"/>
      <c r="M2657" s="45">
        <v>121.8</v>
      </c>
    </row>
    <row r="2658">
      <c r="A2658" s="34" t="s">
        <v>70</v>
      </c>
      <c r="B2658" s="34" t="s">
        <v>71</v>
      </c>
      <c r="C2658" s="34">
        <v>69.0</v>
      </c>
      <c r="D2658" s="34" t="s">
        <v>1316</v>
      </c>
      <c r="E2658" s="34" t="s">
        <v>6401</v>
      </c>
      <c r="F2658" s="34" t="s">
        <v>6402</v>
      </c>
      <c r="G2658" s="34">
        <v>69259.0</v>
      </c>
      <c r="H2658" s="34" t="s">
        <v>3194</v>
      </c>
      <c r="I2658" s="34" t="s">
        <v>18</v>
      </c>
      <c r="J2658" s="34" t="s">
        <v>13</v>
      </c>
      <c r="K2658" s="9"/>
      <c r="L2658" s="45">
        <v>74.3</v>
      </c>
      <c r="M2658" s="45">
        <v>74.3</v>
      </c>
    </row>
    <row r="2659">
      <c r="A2659" s="34" t="s">
        <v>70</v>
      </c>
      <c r="B2659" s="34" t="s">
        <v>71</v>
      </c>
      <c r="C2659" s="34">
        <v>69.0</v>
      </c>
      <c r="D2659" s="34" t="s">
        <v>1316</v>
      </c>
      <c r="E2659" s="34" t="s">
        <v>6403</v>
      </c>
      <c r="F2659" s="34" t="s">
        <v>6404</v>
      </c>
      <c r="G2659" s="34">
        <v>69256.0</v>
      </c>
      <c r="H2659" s="34" t="s">
        <v>1383</v>
      </c>
      <c r="I2659" s="34" t="s">
        <v>18</v>
      </c>
      <c r="J2659" s="34" t="s">
        <v>13</v>
      </c>
      <c r="K2659" s="9"/>
      <c r="L2659" s="45">
        <v>70.3</v>
      </c>
      <c r="M2659" s="45">
        <v>70.3</v>
      </c>
    </row>
    <row r="2660">
      <c r="A2660" s="34" t="s">
        <v>70</v>
      </c>
      <c r="B2660" s="34" t="s">
        <v>71</v>
      </c>
      <c r="C2660" s="34">
        <v>69.0</v>
      </c>
      <c r="D2660" s="34" t="s">
        <v>1316</v>
      </c>
      <c r="E2660" s="34" t="s">
        <v>6405</v>
      </c>
      <c r="F2660" s="34" t="s">
        <v>6406</v>
      </c>
      <c r="G2660" s="34">
        <v>69081.0</v>
      </c>
      <c r="H2660" s="34" t="s">
        <v>6407</v>
      </c>
      <c r="I2660" s="34" t="s">
        <v>18</v>
      </c>
      <c r="J2660" s="34" t="s">
        <v>13</v>
      </c>
      <c r="K2660" s="9"/>
      <c r="L2660" s="45">
        <v>76.9</v>
      </c>
      <c r="M2660" s="45">
        <v>76.9</v>
      </c>
    </row>
    <row r="2661">
      <c r="A2661" s="34" t="s">
        <v>70</v>
      </c>
      <c r="B2661" s="34" t="s">
        <v>71</v>
      </c>
      <c r="C2661" s="34">
        <v>69.0</v>
      </c>
      <c r="D2661" s="34" t="s">
        <v>1316</v>
      </c>
      <c r="E2661" s="34" t="s">
        <v>6408</v>
      </c>
      <c r="F2661" s="34" t="s">
        <v>6409</v>
      </c>
      <c r="G2661" s="34">
        <v>69387.0</v>
      </c>
      <c r="H2661" s="34" t="s">
        <v>1353</v>
      </c>
      <c r="I2661" s="34" t="s">
        <v>17</v>
      </c>
      <c r="J2661" s="34" t="s">
        <v>13</v>
      </c>
      <c r="K2661" s="9"/>
      <c r="L2661" s="45">
        <v>93.0</v>
      </c>
      <c r="M2661" s="45">
        <v>93.0</v>
      </c>
    </row>
    <row r="2662">
      <c r="A2662" s="34" t="s">
        <v>70</v>
      </c>
      <c r="B2662" s="34" t="s">
        <v>71</v>
      </c>
      <c r="C2662" s="34">
        <v>69.0</v>
      </c>
      <c r="D2662" s="34" t="s">
        <v>1316</v>
      </c>
      <c r="E2662" s="34" t="s">
        <v>6410</v>
      </c>
      <c r="F2662" s="34" t="s">
        <v>1526</v>
      </c>
      <c r="G2662" s="34">
        <v>69264.0</v>
      </c>
      <c r="H2662" s="34" t="s">
        <v>1356</v>
      </c>
      <c r="I2662" s="34" t="s">
        <v>17</v>
      </c>
      <c r="J2662" s="34" t="s">
        <v>13</v>
      </c>
      <c r="K2662" s="9"/>
      <c r="L2662" s="45">
        <v>97.5</v>
      </c>
      <c r="M2662" s="45">
        <v>97.5</v>
      </c>
    </row>
    <row r="2663">
      <c r="A2663" s="34" t="s">
        <v>70</v>
      </c>
      <c r="B2663" s="34" t="s">
        <v>71</v>
      </c>
      <c r="C2663" s="34">
        <v>69.0</v>
      </c>
      <c r="D2663" s="34" t="s">
        <v>1316</v>
      </c>
      <c r="E2663" s="34" t="s">
        <v>6411</v>
      </c>
      <c r="F2663" s="34" t="s">
        <v>3672</v>
      </c>
      <c r="G2663" s="34">
        <v>69290.0</v>
      </c>
      <c r="H2663" s="34" t="s">
        <v>3217</v>
      </c>
      <c r="I2663" s="34" t="s">
        <v>18</v>
      </c>
      <c r="J2663" s="34" t="s">
        <v>15</v>
      </c>
      <c r="K2663" s="45">
        <v>102.8</v>
      </c>
      <c r="L2663" s="9"/>
      <c r="M2663" s="45">
        <v>102.8</v>
      </c>
    </row>
    <row r="2664">
      <c r="A2664" s="34" t="s">
        <v>70</v>
      </c>
      <c r="B2664" s="34" t="s">
        <v>393</v>
      </c>
      <c r="C2664" s="34">
        <v>70.0</v>
      </c>
      <c r="D2664" s="34" t="s">
        <v>1386</v>
      </c>
      <c r="E2664" s="34" t="s">
        <v>6412</v>
      </c>
      <c r="F2664" s="34" t="s">
        <v>6413</v>
      </c>
      <c r="G2664" s="34">
        <v>70550.0</v>
      </c>
      <c r="H2664" s="34" t="s">
        <v>1389</v>
      </c>
      <c r="I2664" s="34" t="s">
        <v>18</v>
      </c>
      <c r="J2664" s="34" t="s">
        <v>13</v>
      </c>
      <c r="K2664" s="9"/>
      <c r="L2664" s="45">
        <v>86.2</v>
      </c>
      <c r="M2664" s="45">
        <v>86.2</v>
      </c>
    </row>
    <row r="2665">
      <c r="A2665" s="34" t="s">
        <v>70</v>
      </c>
      <c r="B2665" s="34" t="s">
        <v>393</v>
      </c>
      <c r="C2665" s="34">
        <v>70.0</v>
      </c>
      <c r="D2665" s="34" t="s">
        <v>1386</v>
      </c>
      <c r="E2665" s="34" t="s">
        <v>6414</v>
      </c>
      <c r="F2665" s="34" t="s">
        <v>6415</v>
      </c>
      <c r="G2665" s="34">
        <v>70311.0</v>
      </c>
      <c r="H2665" s="34" t="s">
        <v>6416</v>
      </c>
      <c r="I2665" s="34" t="s">
        <v>18</v>
      </c>
      <c r="J2665" s="34" t="s">
        <v>14</v>
      </c>
      <c r="K2665" s="45">
        <v>105.7</v>
      </c>
      <c r="L2665" s="45">
        <v>79.7</v>
      </c>
      <c r="M2665" s="45">
        <v>96.2</v>
      </c>
    </row>
    <row r="2666">
      <c r="A2666" s="34" t="s">
        <v>70</v>
      </c>
      <c r="B2666" s="34" t="s">
        <v>333</v>
      </c>
      <c r="C2666" s="34">
        <v>71.0</v>
      </c>
      <c r="D2666" s="34" t="s">
        <v>1390</v>
      </c>
      <c r="E2666" s="34" t="s">
        <v>6417</v>
      </c>
      <c r="F2666" s="34" t="s">
        <v>6418</v>
      </c>
      <c r="G2666" s="34">
        <v>71076.0</v>
      </c>
      <c r="H2666" s="34" t="s">
        <v>3254</v>
      </c>
      <c r="I2666" s="34" t="s">
        <v>18</v>
      </c>
      <c r="J2666" s="34" t="s">
        <v>14</v>
      </c>
      <c r="K2666" s="45">
        <v>127.5</v>
      </c>
      <c r="L2666" s="45">
        <v>135.7</v>
      </c>
      <c r="M2666" s="45">
        <v>127.6</v>
      </c>
    </row>
    <row r="2667">
      <c r="A2667" s="34" t="s">
        <v>70</v>
      </c>
      <c r="B2667" s="34" t="s">
        <v>333</v>
      </c>
      <c r="C2667" s="34">
        <v>71.0</v>
      </c>
      <c r="D2667" s="34" t="s">
        <v>1390</v>
      </c>
      <c r="E2667" s="34" t="s">
        <v>6419</v>
      </c>
      <c r="F2667" s="34" t="s">
        <v>6420</v>
      </c>
      <c r="G2667" s="34">
        <v>71076.0</v>
      </c>
      <c r="H2667" s="34" t="s">
        <v>3254</v>
      </c>
      <c r="I2667" s="34" t="s">
        <v>18</v>
      </c>
      <c r="J2667" s="34" t="s">
        <v>14</v>
      </c>
      <c r="K2667" s="45">
        <v>116.0</v>
      </c>
      <c r="L2667" s="45">
        <v>92.3</v>
      </c>
      <c r="M2667" s="45">
        <v>108.9</v>
      </c>
    </row>
    <row r="2668">
      <c r="A2668" s="34" t="s">
        <v>70</v>
      </c>
      <c r="B2668" s="34" t="s">
        <v>333</v>
      </c>
      <c r="C2668" s="34">
        <v>71.0</v>
      </c>
      <c r="D2668" s="34" t="s">
        <v>1390</v>
      </c>
      <c r="E2668" s="34" t="s">
        <v>6421</v>
      </c>
      <c r="F2668" s="34" t="s">
        <v>6422</v>
      </c>
      <c r="G2668" s="34">
        <v>71137.0</v>
      </c>
      <c r="H2668" s="34" t="s">
        <v>6423</v>
      </c>
      <c r="I2668" s="34" t="s">
        <v>18</v>
      </c>
      <c r="J2668" s="34" t="s">
        <v>15</v>
      </c>
      <c r="K2668" s="45">
        <v>123.7</v>
      </c>
      <c r="L2668" s="9"/>
      <c r="M2668" s="45">
        <v>123.7</v>
      </c>
    </row>
    <row r="2669">
      <c r="A2669" s="34" t="s">
        <v>70</v>
      </c>
      <c r="B2669" s="34" t="s">
        <v>333</v>
      </c>
      <c r="C2669" s="34">
        <v>71.0</v>
      </c>
      <c r="D2669" s="34" t="s">
        <v>1390</v>
      </c>
      <c r="E2669" s="34" t="s">
        <v>6424</v>
      </c>
      <c r="F2669" s="34" t="s">
        <v>6425</v>
      </c>
      <c r="G2669" s="34">
        <v>71270.0</v>
      </c>
      <c r="H2669" s="34" t="s">
        <v>3251</v>
      </c>
      <c r="I2669" s="34" t="s">
        <v>18</v>
      </c>
      <c r="J2669" s="34" t="s">
        <v>13</v>
      </c>
      <c r="K2669" s="9"/>
      <c r="L2669" s="45">
        <v>80.7</v>
      </c>
      <c r="M2669" s="45">
        <v>80.7</v>
      </c>
    </row>
    <row r="2670">
      <c r="A2670" s="34" t="s">
        <v>70</v>
      </c>
      <c r="B2670" s="34" t="s">
        <v>333</v>
      </c>
      <c r="C2670" s="34">
        <v>71.0</v>
      </c>
      <c r="D2670" s="34" t="s">
        <v>1390</v>
      </c>
      <c r="E2670" s="34" t="s">
        <v>6426</v>
      </c>
      <c r="F2670" s="34" t="s">
        <v>6427</v>
      </c>
      <c r="G2670" s="34">
        <v>71040.0</v>
      </c>
      <c r="H2670" s="34" t="s">
        <v>6428</v>
      </c>
      <c r="I2670" s="34" t="s">
        <v>18</v>
      </c>
      <c r="J2670" s="34" t="s">
        <v>13</v>
      </c>
      <c r="K2670" s="9"/>
      <c r="L2670" s="45">
        <v>80.1</v>
      </c>
      <c r="M2670" s="45">
        <v>80.1</v>
      </c>
    </row>
    <row r="2671">
      <c r="A2671" s="34" t="s">
        <v>70</v>
      </c>
      <c r="B2671" s="34" t="s">
        <v>333</v>
      </c>
      <c r="C2671" s="34">
        <v>71.0</v>
      </c>
      <c r="D2671" s="34" t="s">
        <v>1390</v>
      </c>
      <c r="E2671" s="34" t="s">
        <v>6429</v>
      </c>
      <c r="F2671" s="34" t="s">
        <v>6430</v>
      </c>
      <c r="G2671" s="34">
        <v>71076.0</v>
      </c>
      <c r="H2671" s="34" t="s">
        <v>3254</v>
      </c>
      <c r="I2671" s="34" t="s">
        <v>18</v>
      </c>
      <c r="J2671" s="34" t="s">
        <v>14</v>
      </c>
      <c r="K2671" s="45">
        <v>105.0</v>
      </c>
      <c r="L2671" s="45">
        <v>64.2</v>
      </c>
      <c r="M2671" s="45">
        <v>104.2</v>
      </c>
    </row>
    <row r="2672">
      <c r="A2672" s="34" t="s">
        <v>70</v>
      </c>
      <c r="B2672" s="34" t="s">
        <v>333</v>
      </c>
      <c r="C2672" s="34">
        <v>71.0</v>
      </c>
      <c r="D2672" s="34" t="s">
        <v>1390</v>
      </c>
      <c r="E2672" s="34" t="s">
        <v>6431</v>
      </c>
      <c r="F2672" s="34" t="s">
        <v>6432</v>
      </c>
      <c r="G2672" s="34">
        <v>71076.0</v>
      </c>
      <c r="H2672" s="34" t="s">
        <v>3254</v>
      </c>
      <c r="I2672" s="34" t="s">
        <v>17</v>
      </c>
      <c r="J2672" s="34" t="s">
        <v>14</v>
      </c>
      <c r="K2672" s="45">
        <v>118.7</v>
      </c>
      <c r="L2672" s="45">
        <v>91.1</v>
      </c>
      <c r="M2672" s="45">
        <v>102.3</v>
      </c>
    </row>
    <row r="2673">
      <c r="A2673" s="34" t="s">
        <v>70</v>
      </c>
      <c r="B2673" s="34" t="s">
        <v>779</v>
      </c>
      <c r="C2673" s="34">
        <v>72.0</v>
      </c>
      <c r="D2673" s="34" t="s">
        <v>1397</v>
      </c>
      <c r="E2673" s="34" t="s">
        <v>6433</v>
      </c>
      <c r="F2673" s="34" t="s">
        <v>6434</v>
      </c>
      <c r="G2673" s="34">
        <v>72071.0</v>
      </c>
      <c r="H2673" s="34" t="s">
        <v>3259</v>
      </c>
      <c r="I2673" s="34" t="s">
        <v>18</v>
      </c>
      <c r="J2673" s="34" t="s">
        <v>15</v>
      </c>
      <c r="K2673" s="45">
        <v>109.1</v>
      </c>
      <c r="L2673" s="9"/>
      <c r="M2673" s="45">
        <v>109.1</v>
      </c>
    </row>
    <row r="2674">
      <c r="A2674" s="34" t="s">
        <v>70</v>
      </c>
      <c r="B2674" s="34" t="s">
        <v>779</v>
      </c>
      <c r="C2674" s="34">
        <v>72.0</v>
      </c>
      <c r="D2674" s="34" t="s">
        <v>1397</v>
      </c>
      <c r="E2674" s="34" t="s">
        <v>6435</v>
      </c>
      <c r="F2674" s="34" t="s">
        <v>6436</v>
      </c>
      <c r="G2674" s="34">
        <v>72181.0</v>
      </c>
      <c r="H2674" s="34" t="s">
        <v>1403</v>
      </c>
      <c r="I2674" s="34" t="s">
        <v>17</v>
      </c>
      <c r="J2674" s="34" t="s">
        <v>14</v>
      </c>
      <c r="K2674" s="45">
        <v>106.1</v>
      </c>
      <c r="L2674" s="45">
        <v>97.9</v>
      </c>
      <c r="M2674" s="45">
        <v>98.4</v>
      </c>
    </row>
    <row r="2675">
      <c r="A2675" s="34" t="s">
        <v>70</v>
      </c>
      <c r="B2675" s="34" t="s">
        <v>779</v>
      </c>
      <c r="C2675" s="34">
        <v>72.0</v>
      </c>
      <c r="D2675" s="34" t="s">
        <v>1397</v>
      </c>
      <c r="E2675" s="34" t="s">
        <v>6437</v>
      </c>
      <c r="F2675" s="34" t="s">
        <v>2443</v>
      </c>
      <c r="G2675" s="34">
        <v>72003.0</v>
      </c>
      <c r="H2675" s="34" t="s">
        <v>6438</v>
      </c>
      <c r="I2675" s="34" t="s">
        <v>18</v>
      </c>
      <c r="J2675" s="34" t="s">
        <v>15</v>
      </c>
      <c r="K2675" s="45">
        <v>112.4</v>
      </c>
      <c r="L2675" s="9"/>
      <c r="M2675" s="45">
        <v>112.4</v>
      </c>
    </row>
    <row r="2676">
      <c r="A2676" s="34" t="s">
        <v>70</v>
      </c>
      <c r="B2676" s="34" t="s">
        <v>779</v>
      </c>
      <c r="C2676" s="34">
        <v>72.0</v>
      </c>
      <c r="D2676" s="34" t="s">
        <v>1397</v>
      </c>
      <c r="E2676" s="34" t="s">
        <v>6439</v>
      </c>
      <c r="F2676" s="34" t="s">
        <v>6440</v>
      </c>
      <c r="G2676" s="34">
        <v>72132.0</v>
      </c>
      <c r="H2676" s="34" t="s">
        <v>6441</v>
      </c>
      <c r="I2676" s="34" t="s">
        <v>17</v>
      </c>
      <c r="J2676" s="34" t="s">
        <v>15</v>
      </c>
      <c r="K2676" s="45">
        <v>110.7</v>
      </c>
      <c r="L2676" s="9"/>
      <c r="M2676" s="45">
        <v>110.7</v>
      </c>
    </row>
    <row r="2677">
      <c r="A2677" s="34" t="s">
        <v>70</v>
      </c>
      <c r="B2677" s="34" t="s">
        <v>161</v>
      </c>
      <c r="C2677" s="34">
        <v>73.0</v>
      </c>
      <c r="D2677" s="34" t="s">
        <v>1404</v>
      </c>
      <c r="E2677" s="34" t="s">
        <v>6442</v>
      </c>
      <c r="F2677" s="34" t="s">
        <v>6443</v>
      </c>
      <c r="G2677" s="34">
        <v>73248.0</v>
      </c>
      <c r="H2677" s="34" t="s">
        <v>6444</v>
      </c>
      <c r="I2677" s="34" t="s">
        <v>18</v>
      </c>
      <c r="J2677" s="34" t="s">
        <v>14</v>
      </c>
      <c r="K2677" s="45">
        <v>110.2</v>
      </c>
      <c r="L2677" s="45">
        <v>91.8</v>
      </c>
      <c r="M2677" s="45">
        <v>104.4</v>
      </c>
    </row>
    <row r="2678">
      <c r="A2678" s="34" t="s">
        <v>70</v>
      </c>
      <c r="B2678" s="34" t="s">
        <v>161</v>
      </c>
      <c r="C2678" s="34">
        <v>73.0</v>
      </c>
      <c r="D2678" s="34" t="s">
        <v>1404</v>
      </c>
      <c r="E2678" s="34" t="s">
        <v>6445</v>
      </c>
      <c r="F2678" s="34" t="s">
        <v>210</v>
      </c>
      <c r="G2678" s="34">
        <v>73011.0</v>
      </c>
      <c r="H2678" s="34" t="s">
        <v>3285</v>
      </c>
      <c r="I2678" s="34" t="s">
        <v>17</v>
      </c>
      <c r="J2678" s="34" t="s">
        <v>15</v>
      </c>
      <c r="K2678" s="45">
        <v>105.3</v>
      </c>
      <c r="L2678" s="9"/>
      <c r="M2678" s="45">
        <v>105.3</v>
      </c>
    </row>
    <row r="2679">
      <c r="A2679" s="34" t="s">
        <v>70</v>
      </c>
      <c r="B2679" s="34" t="s">
        <v>161</v>
      </c>
      <c r="C2679" s="34">
        <v>73.0</v>
      </c>
      <c r="D2679" s="34" t="s">
        <v>1404</v>
      </c>
      <c r="E2679" s="34" t="s">
        <v>6446</v>
      </c>
      <c r="F2679" s="34" t="s">
        <v>6447</v>
      </c>
      <c r="G2679" s="34">
        <v>73065.0</v>
      </c>
      <c r="H2679" s="34" t="s">
        <v>1410</v>
      </c>
      <c r="I2679" s="34" t="s">
        <v>17</v>
      </c>
      <c r="J2679" s="34" t="s">
        <v>15</v>
      </c>
      <c r="K2679" s="45">
        <v>133.0</v>
      </c>
      <c r="L2679" s="9"/>
      <c r="M2679" s="45">
        <v>133.0</v>
      </c>
    </row>
    <row r="2680">
      <c r="A2680" s="34" t="s">
        <v>70</v>
      </c>
      <c r="B2680" s="34" t="s">
        <v>161</v>
      </c>
      <c r="C2680" s="34">
        <v>73.0</v>
      </c>
      <c r="D2680" s="34" t="s">
        <v>1404</v>
      </c>
      <c r="E2680" s="34" t="s">
        <v>6448</v>
      </c>
      <c r="F2680" s="34" t="s">
        <v>595</v>
      </c>
      <c r="G2680" s="34">
        <v>73011.0</v>
      </c>
      <c r="H2680" s="34" t="s">
        <v>3285</v>
      </c>
      <c r="I2680" s="34" t="s">
        <v>17</v>
      </c>
      <c r="J2680" s="34" t="s">
        <v>13</v>
      </c>
      <c r="K2680" s="9"/>
      <c r="L2680" s="45">
        <v>86.3</v>
      </c>
      <c r="M2680" s="45">
        <v>86.3</v>
      </c>
    </row>
    <row r="2681">
      <c r="A2681" s="34" t="s">
        <v>70</v>
      </c>
      <c r="B2681" s="34" t="s">
        <v>161</v>
      </c>
      <c r="C2681" s="34">
        <v>73.0</v>
      </c>
      <c r="D2681" s="34" t="s">
        <v>1404</v>
      </c>
      <c r="E2681" s="34" t="s">
        <v>6449</v>
      </c>
      <c r="F2681" s="34" t="s">
        <v>6450</v>
      </c>
      <c r="G2681" s="34">
        <v>73008.0</v>
      </c>
      <c r="H2681" s="34" t="s">
        <v>1413</v>
      </c>
      <c r="I2681" s="34" t="s">
        <v>17</v>
      </c>
      <c r="J2681" s="34" t="s">
        <v>15</v>
      </c>
      <c r="K2681" s="45">
        <v>104.8</v>
      </c>
      <c r="L2681" s="9"/>
      <c r="M2681" s="45">
        <v>104.8</v>
      </c>
    </row>
    <row r="2682">
      <c r="A2682" s="34" t="s">
        <v>70</v>
      </c>
      <c r="B2682" s="34" t="s">
        <v>161</v>
      </c>
      <c r="C2682" s="34">
        <v>74.0</v>
      </c>
      <c r="D2682" s="34" t="s">
        <v>1419</v>
      </c>
      <c r="E2682" s="34" t="s">
        <v>6451</v>
      </c>
      <c r="F2682" s="34" t="s">
        <v>6452</v>
      </c>
      <c r="G2682" s="34">
        <v>74010.0</v>
      </c>
      <c r="H2682" s="34" t="s">
        <v>1440</v>
      </c>
      <c r="I2682" s="34" t="s">
        <v>18</v>
      </c>
      <c r="J2682" s="34" t="s">
        <v>15</v>
      </c>
      <c r="K2682" s="45">
        <v>131.7</v>
      </c>
      <c r="L2682" s="9"/>
      <c r="M2682" s="45">
        <v>131.7</v>
      </c>
    </row>
    <row r="2683">
      <c r="A2683" s="34" t="s">
        <v>70</v>
      </c>
      <c r="B2683" s="34" t="s">
        <v>161</v>
      </c>
      <c r="C2683" s="34">
        <v>74.0</v>
      </c>
      <c r="D2683" s="34" t="s">
        <v>1419</v>
      </c>
      <c r="E2683" s="34" t="s">
        <v>6453</v>
      </c>
      <c r="F2683" s="34" t="s">
        <v>6454</v>
      </c>
      <c r="G2683" s="34">
        <v>74081.0</v>
      </c>
      <c r="H2683" s="34" t="s">
        <v>6455</v>
      </c>
      <c r="I2683" s="34" t="s">
        <v>18</v>
      </c>
      <c r="J2683" s="34" t="s">
        <v>14</v>
      </c>
      <c r="K2683" s="45">
        <v>102.5</v>
      </c>
      <c r="L2683" s="45">
        <v>83.0</v>
      </c>
      <c r="M2683" s="45">
        <v>99.5</v>
      </c>
    </row>
    <row r="2684">
      <c r="A2684" s="34" t="s">
        <v>70</v>
      </c>
      <c r="B2684" s="34" t="s">
        <v>161</v>
      </c>
      <c r="C2684" s="34">
        <v>74.0</v>
      </c>
      <c r="D2684" s="34" t="s">
        <v>1419</v>
      </c>
      <c r="E2684" s="34" t="s">
        <v>6456</v>
      </c>
      <c r="F2684" s="34" t="s">
        <v>6457</v>
      </c>
      <c r="G2684" s="34">
        <v>74243.0</v>
      </c>
      <c r="H2684" s="34" t="s">
        <v>1431</v>
      </c>
      <c r="I2684" s="34" t="s">
        <v>18</v>
      </c>
      <c r="J2684" s="34" t="s">
        <v>15</v>
      </c>
      <c r="K2684" s="45">
        <v>118.9</v>
      </c>
      <c r="L2684" s="9"/>
      <c r="M2684" s="45">
        <v>118.9</v>
      </c>
    </row>
    <row r="2685">
      <c r="A2685" s="34" t="s">
        <v>70</v>
      </c>
      <c r="B2685" s="34" t="s">
        <v>161</v>
      </c>
      <c r="C2685" s="34">
        <v>74.0</v>
      </c>
      <c r="D2685" s="34" t="s">
        <v>1419</v>
      </c>
      <c r="E2685" s="34" t="s">
        <v>6458</v>
      </c>
      <c r="F2685" s="34" t="s">
        <v>6459</v>
      </c>
      <c r="G2685" s="34">
        <v>74281.0</v>
      </c>
      <c r="H2685" s="34" t="s">
        <v>1428</v>
      </c>
      <c r="I2685" s="34" t="s">
        <v>18</v>
      </c>
      <c r="J2685" s="34" t="s">
        <v>14</v>
      </c>
      <c r="K2685" s="45">
        <v>119.6</v>
      </c>
      <c r="L2685" s="45">
        <v>108.5</v>
      </c>
      <c r="M2685" s="45">
        <v>116.3</v>
      </c>
    </row>
    <row r="2686">
      <c r="A2686" s="34" t="s">
        <v>70</v>
      </c>
      <c r="B2686" s="34" t="s">
        <v>161</v>
      </c>
      <c r="C2686" s="34">
        <v>74.0</v>
      </c>
      <c r="D2686" s="34" t="s">
        <v>1419</v>
      </c>
      <c r="E2686" s="34" t="s">
        <v>6460</v>
      </c>
      <c r="F2686" s="34" t="s">
        <v>5098</v>
      </c>
      <c r="G2686" s="34">
        <v>74224.0</v>
      </c>
      <c r="H2686" s="34" t="s">
        <v>4945</v>
      </c>
      <c r="I2686" s="34" t="s">
        <v>17</v>
      </c>
      <c r="J2686" s="34" t="s">
        <v>15</v>
      </c>
      <c r="K2686" s="45">
        <v>125.5</v>
      </c>
      <c r="L2686" s="9"/>
      <c r="M2686" s="45">
        <v>125.5</v>
      </c>
    </row>
    <row r="2687">
      <c r="A2687" s="34" t="s">
        <v>70</v>
      </c>
      <c r="B2687" s="34" t="s">
        <v>161</v>
      </c>
      <c r="C2687" s="34">
        <v>74.0</v>
      </c>
      <c r="D2687" s="34" t="s">
        <v>1419</v>
      </c>
      <c r="E2687" s="34" t="s">
        <v>6461</v>
      </c>
      <c r="F2687" s="34" t="s">
        <v>80</v>
      </c>
      <c r="G2687" s="34">
        <v>74256.0</v>
      </c>
      <c r="H2687" s="34" t="s">
        <v>6462</v>
      </c>
      <c r="I2687" s="34" t="s">
        <v>17</v>
      </c>
      <c r="J2687" s="34" t="s">
        <v>15</v>
      </c>
      <c r="K2687" s="45">
        <v>114.8</v>
      </c>
      <c r="L2687" s="9"/>
      <c r="M2687" s="45">
        <v>114.8</v>
      </c>
    </row>
    <row r="2688">
      <c r="A2688" s="34" t="s">
        <v>70</v>
      </c>
      <c r="B2688" s="34" t="s">
        <v>161</v>
      </c>
      <c r="C2688" s="34">
        <v>74.0</v>
      </c>
      <c r="D2688" s="34" t="s">
        <v>1419</v>
      </c>
      <c r="E2688" s="34" t="s">
        <v>6463</v>
      </c>
      <c r="F2688" s="34" t="s">
        <v>6464</v>
      </c>
      <c r="G2688" s="34">
        <v>74081.0</v>
      </c>
      <c r="H2688" s="34" t="s">
        <v>6455</v>
      </c>
      <c r="I2688" s="34" t="s">
        <v>17</v>
      </c>
      <c r="J2688" s="34" t="s">
        <v>14</v>
      </c>
      <c r="K2688" s="45">
        <v>113.8</v>
      </c>
      <c r="L2688" s="45">
        <v>86.7</v>
      </c>
      <c r="M2688" s="45">
        <v>101.2</v>
      </c>
    </row>
    <row r="2689">
      <c r="A2689" s="34" t="s">
        <v>70</v>
      </c>
      <c r="B2689" s="34" t="s">
        <v>161</v>
      </c>
      <c r="C2689" s="34">
        <v>74.0</v>
      </c>
      <c r="D2689" s="34" t="s">
        <v>1419</v>
      </c>
      <c r="E2689" s="34" t="s">
        <v>6465</v>
      </c>
      <c r="F2689" s="34" t="s">
        <v>6466</v>
      </c>
      <c r="G2689" s="34">
        <v>74256.0</v>
      </c>
      <c r="H2689" s="34" t="s">
        <v>6462</v>
      </c>
      <c r="I2689" s="34" t="s">
        <v>17</v>
      </c>
      <c r="J2689" s="34" t="s">
        <v>13</v>
      </c>
      <c r="K2689" s="9"/>
      <c r="L2689" s="45">
        <v>97.2</v>
      </c>
      <c r="M2689" s="45">
        <v>97.2</v>
      </c>
    </row>
    <row r="2690">
      <c r="A2690" s="34" t="s">
        <v>70</v>
      </c>
      <c r="B2690" s="34" t="s">
        <v>161</v>
      </c>
      <c r="C2690" s="34">
        <v>74.0</v>
      </c>
      <c r="D2690" s="34" t="s">
        <v>1419</v>
      </c>
      <c r="E2690" s="34" t="s">
        <v>6467</v>
      </c>
      <c r="F2690" s="34" t="s">
        <v>595</v>
      </c>
      <c r="G2690" s="34">
        <v>74281.0</v>
      </c>
      <c r="H2690" s="34" t="s">
        <v>1428</v>
      </c>
      <c r="I2690" s="34" t="s">
        <v>17</v>
      </c>
      <c r="J2690" s="34" t="s">
        <v>13</v>
      </c>
      <c r="K2690" s="9"/>
      <c r="L2690" s="45">
        <v>92.2</v>
      </c>
      <c r="M2690" s="45">
        <v>92.2</v>
      </c>
    </row>
    <row r="2691">
      <c r="A2691" s="34" t="s">
        <v>70</v>
      </c>
      <c r="B2691" s="34" t="s">
        <v>161</v>
      </c>
      <c r="C2691" s="34">
        <v>74.0</v>
      </c>
      <c r="D2691" s="34" t="s">
        <v>1419</v>
      </c>
      <c r="E2691" s="34" t="s">
        <v>6468</v>
      </c>
      <c r="F2691" s="34" t="s">
        <v>6469</v>
      </c>
      <c r="G2691" s="34">
        <v>74225.0</v>
      </c>
      <c r="H2691" s="34" t="s">
        <v>3301</v>
      </c>
      <c r="I2691" s="34" t="s">
        <v>17</v>
      </c>
      <c r="J2691" s="34" t="s">
        <v>14</v>
      </c>
      <c r="K2691" s="45">
        <v>115.9</v>
      </c>
      <c r="L2691" s="45">
        <v>103.9</v>
      </c>
      <c r="M2691" s="45">
        <v>113.2</v>
      </c>
    </row>
    <row r="2692">
      <c r="A2692" s="34" t="s">
        <v>70</v>
      </c>
      <c r="B2692" s="34" t="s">
        <v>1441</v>
      </c>
      <c r="C2692" s="34">
        <v>75.0</v>
      </c>
      <c r="D2692" s="34" t="s">
        <v>1441</v>
      </c>
      <c r="E2692" s="34" t="s">
        <v>6470</v>
      </c>
      <c r="F2692" s="34" t="s">
        <v>6471</v>
      </c>
      <c r="G2692" s="34">
        <v>75111.0</v>
      </c>
      <c r="H2692" s="34" t="s">
        <v>3362</v>
      </c>
      <c r="I2692" s="34" t="s">
        <v>18</v>
      </c>
      <c r="J2692" s="34" t="s">
        <v>14</v>
      </c>
      <c r="K2692" s="45">
        <v>105.3</v>
      </c>
      <c r="L2692" s="45">
        <v>90.5</v>
      </c>
      <c r="M2692" s="45">
        <v>93.9</v>
      </c>
    </row>
    <row r="2693">
      <c r="A2693" s="34" t="s">
        <v>70</v>
      </c>
      <c r="B2693" s="34" t="s">
        <v>1441</v>
      </c>
      <c r="C2693" s="34">
        <v>75.0</v>
      </c>
      <c r="D2693" s="34" t="s">
        <v>1441</v>
      </c>
      <c r="E2693" s="34" t="s">
        <v>6472</v>
      </c>
      <c r="F2693" s="34" t="s">
        <v>6473</v>
      </c>
      <c r="G2693" s="34">
        <v>75116.0</v>
      </c>
      <c r="H2693" s="34" t="s">
        <v>1466</v>
      </c>
      <c r="I2693" s="34" t="s">
        <v>18</v>
      </c>
      <c r="J2693" s="34" t="s">
        <v>13</v>
      </c>
      <c r="K2693" s="9"/>
      <c r="L2693" s="45">
        <v>82.7</v>
      </c>
      <c r="M2693" s="45">
        <v>82.7</v>
      </c>
    </row>
    <row r="2694">
      <c r="A2694" s="34" t="s">
        <v>70</v>
      </c>
      <c r="B2694" s="34" t="s">
        <v>1441</v>
      </c>
      <c r="C2694" s="34">
        <v>75.0</v>
      </c>
      <c r="D2694" s="34" t="s">
        <v>1441</v>
      </c>
      <c r="E2694" s="34" t="s">
        <v>6474</v>
      </c>
      <c r="F2694" s="34" t="s">
        <v>6475</v>
      </c>
      <c r="G2694" s="34">
        <v>75103.0</v>
      </c>
      <c r="H2694" s="34" t="s">
        <v>1474</v>
      </c>
      <c r="I2694" s="34" t="s">
        <v>18</v>
      </c>
      <c r="J2694" s="34" t="s">
        <v>15</v>
      </c>
      <c r="K2694" s="45">
        <v>138.3</v>
      </c>
      <c r="L2694" s="9"/>
      <c r="M2694" s="45">
        <v>138.3</v>
      </c>
    </row>
    <row r="2695">
      <c r="A2695" s="34" t="s">
        <v>70</v>
      </c>
      <c r="B2695" s="34" t="s">
        <v>1441</v>
      </c>
      <c r="C2695" s="34">
        <v>75.0</v>
      </c>
      <c r="D2695" s="34" t="s">
        <v>1441</v>
      </c>
      <c r="E2695" s="34" t="s">
        <v>6476</v>
      </c>
      <c r="F2695" s="34" t="s">
        <v>6477</v>
      </c>
      <c r="G2695" s="34">
        <v>75105.0</v>
      </c>
      <c r="H2695" s="34" t="s">
        <v>1444</v>
      </c>
      <c r="I2695" s="34" t="s">
        <v>18</v>
      </c>
      <c r="J2695" s="34" t="s">
        <v>15</v>
      </c>
      <c r="K2695" s="45">
        <v>137.1</v>
      </c>
      <c r="L2695" s="9"/>
      <c r="M2695" s="45">
        <v>137.1</v>
      </c>
    </row>
    <row r="2696">
      <c r="A2696" s="34" t="s">
        <v>70</v>
      </c>
      <c r="B2696" s="34" t="s">
        <v>1441</v>
      </c>
      <c r="C2696" s="34">
        <v>75.0</v>
      </c>
      <c r="D2696" s="34" t="s">
        <v>1441</v>
      </c>
      <c r="E2696" s="34" t="s">
        <v>6478</v>
      </c>
      <c r="F2696" s="34" t="s">
        <v>6479</v>
      </c>
      <c r="G2696" s="34">
        <v>75113.0</v>
      </c>
      <c r="H2696" s="34" t="s">
        <v>1477</v>
      </c>
      <c r="I2696" s="34" t="s">
        <v>18</v>
      </c>
      <c r="J2696" s="34" t="s">
        <v>15</v>
      </c>
      <c r="K2696" s="45">
        <v>129.1</v>
      </c>
      <c r="L2696" s="9"/>
      <c r="M2696" s="45">
        <v>129.1</v>
      </c>
    </row>
    <row r="2697">
      <c r="A2697" s="34" t="s">
        <v>70</v>
      </c>
      <c r="B2697" s="34" t="s">
        <v>1441</v>
      </c>
      <c r="C2697" s="34">
        <v>75.0</v>
      </c>
      <c r="D2697" s="34" t="s">
        <v>1441</v>
      </c>
      <c r="E2697" s="34" t="s">
        <v>6480</v>
      </c>
      <c r="F2697" s="34" t="s">
        <v>6481</v>
      </c>
      <c r="G2697" s="34">
        <v>75113.0</v>
      </c>
      <c r="H2697" s="34" t="s">
        <v>1477</v>
      </c>
      <c r="I2697" s="34" t="s">
        <v>18</v>
      </c>
      <c r="J2697" s="34" t="s">
        <v>15</v>
      </c>
      <c r="K2697" s="45">
        <v>127.4</v>
      </c>
      <c r="L2697" s="9"/>
      <c r="M2697" s="45">
        <v>127.4</v>
      </c>
    </row>
    <row r="2698">
      <c r="A2698" s="34" t="s">
        <v>70</v>
      </c>
      <c r="B2698" s="34" t="s">
        <v>1441</v>
      </c>
      <c r="C2698" s="34">
        <v>75.0</v>
      </c>
      <c r="D2698" s="34" t="s">
        <v>1441</v>
      </c>
      <c r="E2698" s="34" t="s">
        <v>6482</v>
      </c>
      <c r="F2698" s="34" t="s">
        <v>6483</v>
      </c>
      <c r="G2698" s="34">
        <v>75114.0</v>
      </c>
      <c r="H2698" s="34" t="s">
        <v>3331</v>
      </c>
      <c r="I2698" s="34" t="s">
        <v>18</v>
      </c>
      <c r="J2698" s="34" t="s">
        <v>14</v>
      </c>
      <c r="K2698" s="45">
        <v>96.7</v>
      </c>
      <c r="L2698" s="45">
        <v>81.7</v>
      </c>
      <c r="M2698" s="45">
        <v>87.5</v>
      </c>
    </row>
    <row r="2699">
      <c r="A2699" s="34" t="s">
        <v>70</v>
      </c>
      <c r="B2699" s="34" t="s">
        <v>1441</v>
      </c>
      <c r="C2699" s="34">
        <v>75.0</v>
      </c>
      <c r="D2699" s="34" t="s">
        <v>1441</v>
      </c>
      <c r="E2699" s="34" t="s">
        <v>6484</v>
      </c>
      <c r="F2699" s="34" t="s">
        <v>6485</v>
      </c>
      <c r="G2699" s="34">
        <v>75116.0</v>
      </c>
      <c r="H2699" s="34" t="s">
        <v>1466</v>
      </c>
      <c r="I2699" s="34" t="s">
        <v>18</v>
      </c>
      <c r="J2699" s="34" t="s">
        <v>15</v>
      </c>
      <c r="K2699" s="45">
        <v>139.4</v>
      </c>
      <c r="L2699" s="9"/>
      <c r="M2699" s="45">
        <v>139.4</v>
      </c>
    </row>
    <row r="2700">
      <c r="A2700" s="34" t="s">
        <v>70</v>
      </c>
      <c r="B2700" s="34" t="s">
        <v>1441</v>
      </c>
      <c r="C2700" s="34">
        <v>75.0</v>
      </c>
      <c r="D2700" s="34" t="s">
        <v>1441</v>
      </c>
      <c r="E2700" s="34" t="s">
        <v>6486</v>
      </c>
      <c r="F2700" s="34" t="s">
        <v>6487</v>
      </c>
      <c r="G2700" s="34">
        <v>75116.0</v>
      </c>
      <c r="H2700" s="34" t="s">
        <v>1466</v>
      </c>
      <c r="I2700" s="34" t="s">
        <v>18</v>
      </c>
      <c r="J2700" s="34" t="s">
        <v>15</v>
      </c>
      <c r="K2700" s="45">
        <v>124.8</v>
      </c>
      <c r="L2700" s="9"/>
      <c r="M2700" s="45">
        <v>124.8</v>
      </c>
    </row>
    <row r="2701">
      <c r="A2701" s="34" t="s">
        <v>70</v>
      </c>
      <c r="B2701" s="34" t="s">
        <v>1441</v>
      </c>
      <c r="C2701" s="34">
        <v>75.0</v>
      </c>
      <c r="D2701" s="34" t="s">
        <v>1441</v>
      </c>
      <c r="E2701" s="34" t="s">
        <v>6488</v>
      </c>
      <c r="F2701" s="34" t="s">
        <v>6489</v>
      </c>
      <c r="G2701" s="34">
        <v>75118.0</v>
      </c>
      <c r="H2701" s="34" t="s">
        <v>1463</v>
      </c>
      <c r="I2701" s="34" t="s">
        <v>18</v>
      </c>
      <c r="J2701" s="34" t="s">
        <v>15</v>
      </c>
      <c r="K2701" s="45">
        <v>134.1</v>
      </c>
      <c r="L2701" s="9"/>
      <c r="M2701" s="45">
        <v>134.1</v>
      </c>
    </row>
    <row r="2702">
      <c r="A2702" s="34" t="s">
        <v>70</v>
      </c>
      <c r="B2702" s="34" t="s">
        <v>1441</v>
      </c>
      <c r="C2702" s="34">
        <v>75.0</v>
      </c>
      <c r="D2702" s="34" t="s">
        <v>1441</v>
      </c>
      <c r="E2702" s="34" t="s">
        <v>6490</v>
      </c>
      <c r="F2702" s="34" t="s">
        <v>6491</v>
      </c>
      <c r="G2702" s="34">
        <v>75110.0</v>
      </c>
      <c r="H2702" s="34" t="s">
        <v>1460</v>
      </c>
      <c r="I2702" s="34" t="s">
        <v>18</v>
      </c>
      <c r="J2702" s="34" t="s">
        <v>13</v>
      </c>
      <c r="K2702" s="9"/>
      <c r="L2702" s="45">
        <v>88.0</v>
      </c>
      <c r="M2702" s="45">
        <v>88.0</v>
      </c>
    </row>
    <row r="2703">
      <c r="A2703" s="34" t="s">
        <v>70</v>
      </c>
      <c r="B2703" s="34" t="s">
        <v>1441</v>
      </c>
      <c r="C2703" s="34">
        <v>75.0</v>
      </c>
      <c r="D2703" s="34" t="s">
        <v>1441</v>
      </c>
      <c r="E2703" s="34" t="s">
        <v>6492</v>
      </c>
      <c r="F2703" s="34" t="s">
        <v>6493</v>
      </c>
      <c r="G2703" s="34">
        <v>75113.0</v>
      </c>
      <c r="H2703" s="34" t="s">
        <v>1477</v>
      </c>
      <c r="I2703" s="34" t="s">
        <v>18</v>
      </c>
      <c r="J2703" s="34" t="s">
        <v>13</v>
      </c>
      <c r="K2703" s="9"/>
      <c r="L2703" s="45">
        <v>86.8</v>
      </c>
      <c r="M2703" s="45">
        <v>86.8</v>
      </c>
    </row>
    <row r="2704">
      <c r="A2704" s="34" t="s">
        <v>70</v>
      </c>
      <c r="B2704" s="34" t="s">
        <v>1441</v>
      </c>
      <c r="C2704" s="34">
        <v>75.0</v>
      </c>
      <c r="D2704" s="34" t="s">
        <v>1441</v>
      </c>
      <c r="E2704" s="34" t="s">
        <v>6494</v>
      </c>
      <c r="F2704" s="34" t="s">
        <v>6495</v>
      </c>
      <c r="G2704" s="34">
        <v>75115.0</v>
      </c>
      <c r="H2704" s="34" t="s">
        <v>1501</v>
      </c>
      <c r="I2704" s="34" t="s">
        <v>18</v>
      </c>
      <c r="J2704" s="34" t="s">
        <v>13</v>
      </c>
      <c r="K2704" s="9"/>
      <c r="L2704" s="45">
        <v>78.6</v>
      </c>
      <c r="M2704" s="45">
        <v>78.6</v>
      </c>
    </row>
    <row r="2705">
      <c r="A2705" s="34" t="s">
        <v>70</v>
      </c>
      <c r="B2705" s="34" t="s">
        <v>1441</v>
      </c>
      <c r="C2705" s="34">
        <v>75.0</v>
      </c>
      <c r="D2705" s="34" t="s">
        <v>1441</v>
      </c>
      <c r="E2705" s="34" t="s">
        <v>6496</v>
      </c>
      <c r="F2705" s="34" t="s">
        <v>6497</v>
      </c>
      <c r="G2705" s="34">
        <v>75120.0</v>
      </c>
      <c r="H2705" s="34" t="s">
        <v>1488</v>
      </c>
      <c r="I2705" s="34" t="s">
        <v>18</v>
      </c>
      <c r="J2705" s="34" t="s">
        <v>13</v>
      </c>
      <c r="K2705" s="9"/>
      <c r="L2705" s="45">
        <v>81.6</v>
      </c>
      <c r="M2705" s="45">
        <v>81.6</v>
      </c>
    </row>
    <row r="2706">
      <c r="A2706" s="34" t="s">
        <v>70</v>
      </c>
      <c r="B2706" s="34" t="s">
        <v>1441</v>
      </c>
      <c r="C2706" s="34">
        <v>75.0</v>
      </c>
      <c r="D2706" s="34" t="s">
        <v>1441</v>
      </c>
      <c r="E2706" s="34" t="s">
        <v>6498</v>
      </c>
      <c r="F2706" s="34" t="s">
        <v>6499</v>
      </c>
      <c r="G2706" s="34">
        <v>75118.0</v>
      </c>
      <c r="H2706" s="34" t="s">
        <v>1463</v>
      </c>
      <c r="I2706" s="34" t="s">
        <v>18</v>
      </c>
      <c r="J2706" s="34" t="s">
        <v>13</v>
      </c>
      <c r="K2706" s="9"/>
      <c r="L2706" s="45">
        <v>81.0</v>
      </c>
      <c r="M2706" s="45">
        <v>81.0</v>
      </c>
    </row>
    <row r="2707">
      <c r="A2707" s="34" t="s">
        <v>70</v>
      </c>
      <c r="B2707" s="34" t="s">
        <v>1441</v>
      </c>
      <c r="C2707" s="34">
        <v>75.0</v>
      </c>
      <c r="D2707" s="34" t="s">
        <v>1441</v>
      </c>
      <c r="E2707" s="34" t="s">
        <v>6500</v>
      </c>
      <c r="F2707" s="34" t="s">
        <v>6501</v>
      </c>
      <c r="G2707" s="34">
        <v>75119.0</v>
      </c>
      <c r="H2707" s="34" t="s">
        <v>1471</v>
      </c>
      <c r="I2707" s="34" t="s">
        <v>18</v>
      </c>
      <c r="J2707" s="34" t="s">
        <v>13</v>
      </c>
      <c r="K2707" s="9"/>
      <c r="L2707" s="45">
        <v>74.4</v>
      </c>
      <c r="M2707" s="45">
        <v>74.4</v>
      </c>
    </row>
    <row r="2708">
      <c r="A2708" s="34" t="s">
        <v>70</v>
      </c>
      <c r="B2708" s="34" t="s">
        <v>1441</v>
      </c>
      <c r="C2708" s="34">
        <v>75.0</v>
      </c>
      <c r="D2708" s="34" t="s">
        <v>1441</v>
      </c>
      <c r="E2708" s="34" t="s">
        <v>6502</v>
      </c>
      <c r="F2708" s="34" t="s">
        <v>6503</v>
      </c>
      <c r="G2708" s="34">
        <v>75114.0</v>
      </c>
      <c r="H2708" s="34" t="s">
        <v>3331</v>
      </c>
      <c r="I2708" s="34" t="s">
        <v>18</v>
      </c>
      <c r="J2708" s="34" t="s">
        <v>13</v>
      </c>
      <c r="K2708" s="9"/>
      <c r="L2708" s="45">
        <v>78.1</v>
      </c>
      <c r="M2708" s="45">
        <v>78.1</v>
      </c>
    </row>
    <row r="2709">
      <c r="A2709" s="34" t="s">
        <v>70</v>
      </c>
      <c r="B2709" s="34" t="s">
        <v>1441</v>
      </c>
      <c r="C2709" s="34">
        <v>75.0</v>
      </c>
      <c r="D2709" s="34" t="s">
        <v>1441</v>
      </c>
      <c r="E2709" s="34" t="s">
        <v>6504</v>
      </c>
      <c r="F2709" s="34" t="s">
        <v>6505</v>
      </c>
      <c r="G2709" s="34">
        <v>75117.0</v>
      </c>
      <c r="H2709" s="34" t="s">
        <v>1469</v>
      </c>
      <c r="I2709" s="34" t="s">
        <v>18</v>
      </c>
      <c r="J2709" s="34" t="s">
        <v>13</v>
      </c>
      <c r="K2709" s="9"/>
      <c r="L2709" s="45">
        <v>77.3</v>
      </c>
      <c r="M2709" s="45">
        <v>77.3</v>
      </c>
    </row>
    <row r="2710">
      <c r="A2710" s="34" t="s">
        <v>70</v>
      </c>
      <c r="B2710" s="34" t="s">
        <v>1441</v>
      </c>
      <c r="C2710" s="34">
        <v>75.0</v>
      </c>
      <c r="D2710" s="34" t="s">
        <v>1441</v>
      </c>
      <c r="E2710" s="34" t="s">
        <v>6506</v>
      </c>
      <c r="F2710" s="34" t="s">
        <v>6507</v>
      </c>
      <c r="G2710" s="34">
        <v>75108.0</v>
      </c>
      <c r="H2710" s="34" t="s">
        <v>1452</v>
      </c>
      <c r="I2710" s="34" t="s">
        <v>17</v>
      </c>
      <c r="J2710" s="34" t="s">
        <v>15</v>
      </c>
      <c r="K2710" s="45">
        <v>153.0</v>
      </c>
      <c r="L2710" s="9"/>
      <c r="M2710" s="45">
        <v>153.0</v>
      </c>
    </row>
    <row r="2711">
      <c r="A2711" s="34" t="s">
        <v>70</v>
      </c>
      <c r="B2711" s="34" t="s">
        <v>1441</v>
      </c>
      <c r="C2711" s="34">
        <v>75.0</v>
      </c>
      <c r="D2711" s="34" t="s">
        <v>1441</v>
      </c>
      <c r="E2711" s="34" t="s">
        <v>6508</v>
      </c>
      <c r="F2711" s="34" t="s">
        <v>6509</v>
      </c>
      <c r="G2711" s="34">
        <v>75116.0</v>
      </c>
      <c r="H2711" s="34" t="s">
        <v>1466</v>
      </c>
      <c r="I2711" s="34" t="s">
        <v>17</v>
      </c>
      <c r="J2711" s="34" t="s">
        <v>15</v>
      </c>
      <c r="K2711" s="45">
        <v>145.2</v>
      </c>
      <c r="L2711" s="9"/>
      <c r="M2711" s="45">
        <v>145.2</v>
      </c>
    </row>
    <row r="2712">
      <c r="A2712" s="34" t="s">
        <v>70</v>
      </c>
      <c r="B2712" s="34" t="s">
        <v>1441</v>
      </c>
      <c r="C2712" s="34">
        <v>75.0</v>
      </c>
      <c r="D2712" s="34" t="s">
        <v>1441</v>
      </c>
      <c r="E2712" s="34" t="s">
        <v>6510</v>
      </c>
      <c r="F2712" s="34" t="s">
        <v>6511</v>
      </c>
      <c r="G2712" s="34">
        <v>75116.0</v>
      </c>
      <c r="H2712" s="34" t="s">
        <v>1466</v>
      </c>
      <c r="I2712" s="34" t="s">
        <v>17</v>
      </c>
      <c r="J2712" s="34" t="s">
        <v>15</v>
      </c>
      <c r="K2712" s="45">
        <v>151.9</v>
      </c>
      <c r="L2712" s="9"/>
      <c r="M2712" s="45">
        <v>151.9</v>
      </c>
    </row>
    <row r="2713">
      <c r="A2713" s="34" t="s">
        <v>70</v>
      </c>
      <c r="B2713" s="34" t="s">
        <v>1441</v>
      </c>
      <c r="C2713" s="34">
        <v>75.0</v>
      </c>
      <c r="D2713" s="34" t="s">
        <v>1441</v>
      </c>
      <c r="E2713" s="34" t="s">
        <v>6512</v>
      </c>
      <c r="F2713" s="34" t="s">
        <v>6513</v>
      </c>
      <c r="G2713" s="34">
        <v>75117.0</v>
      </c>
      <c r="H2713" s="34" t="s">
        <v>1469</v>
      </c>
      <c r="I2713" s="34" t="s">
        <v>17</v>
      </c>
      <c r="J2713" s="34" t="s">
        <v>15</v>
      </c>
      <c r="K2713" s="45">
        <v>139.8</v>
      </c>
      <c r="L2713" s="9"/>
      <c r="M2713" s="45">
        <v>139.8</v>
      </c>
    </row>
    <row r="2714">
      <c r="A2714" s="34" t="s">
        <v>70</v>
      </c>
      <c r="B2714" s="34" t="s">
        <v>1441</v>
      </c>
      <c r="C2714" s="34">
        <v>75.0</v>
      </c>
      <c r="D2714" s="34" t="s">
        <v>1441</v>
      </c>
      <c r="E2714" s="34" t="s">
        <v>6514</v>
      </c>
      <c r="F2714" s="34" t="s">
        <v>6515</v>
      </c>
      <c r="G2714" s="34">
        <v>75113.0</v>
      </c>
      <c r="H2714" s="34" t="s">
        <v>1477</v>
      </c>
      <c r="I2714" s="34" t="s">
        <v>17</v>
      </c>
      <c r="J2714" s="34" t="s">
        <v>14</v>
      </c>
      <c r="K2714" s="45">
        <v>122.5</v>
      </c>
      <c r="L2714" s="45">
        <v>106.6</v>
      </c>
      <c r="M2714" s="45">
        <v>118.3</v>
      </c>
    </row>
    <row r="2715">
      <c r="A2715" s="34" t="s">
        <v>70</v>
      </c>
      <c r="B2715" s="34" t="s">
        <v>1441</v>
      </c>
      <c r="C2715" s="34">
        <v>75.0</v>
      </c>
      <c r="D2715" s="34" t="s">
        <v>1441</v>
      </c>
      <c r="E2715" s="34" t="s">
        <v>6516</v>
      </c>
      <c r="F2715" s="34" t="s">
        <v>6517</v>
      </c>
      <c r="G2715" s="34">
        <v>75117.0</v>
      </c>
      <c r="H2715" s="34" t="s">
        <v>1469</v>
      </c>
      <c r="I2715" s="34" t="s">
        <v>17</v>
      </c>
      <c r="J2715" s="34" t="s">
        <v>15</v>
      </c>
      <c r="K2715" s="45">
        <v>148.6</v>
      </c>
      <c r="L2715" s="9"/>
      <c r="M2715" s="45">
        <v>148.6</v>
      </c>
    </row>
    <row r="2716">
      <c r="A2716" s="34" t="s">
        <v>70</v>
      </c>
      <c r="B2716" s="34" t="s">
        <v>1441</v>
      </c>
      <c r="C2716" s="34">
        <v>75.0</v>
      </c>
      <c r="D2716" s="34" t="s">
        <v>1441</v>
      </c>
      <c r="E2716" s="34" t="s">
        <v>6518</v>
      </c>
      <c r="F2716" s="34" t="s">
        <v>6519</v>
      </c>
      <c r="G2716" s="34">
        <v>75115.0</v>
      </c>
      <c r="H2716" s="34" t="s">
        <v>1501</v>
      </c>
      <c r="I2716" s="34" t="s">
        <v>18</v>
      </c>
      <c r="J2716" s="34" t="s">
        <v>14</v>
      </c>
      <c r="K2716" s="45">
        <v>101.1</v>
      </c>
      <c r="L2716" s="45">
        <v>94.7</v>
      </c>
      <c r="M2716" s="45">
        <v>96.4</v>
      </c>
    </row>
    <row r="2717">
      <c r="A2717" s="34" t="s">
        <v>70</v>
      </c>
      <c r="B2717" s="34" t="s">
        <v>1441</v>
      </c>
      <c r="C2717" s="34">
        <v>75.0</v>
      </c>
      <c r="D2717" s="34" t="s">
        <v>1441</v>
      </c>
      <c r="E2717" s="34" t="s">
        <v>6520</v>
      </c>
      <c r="F2717" s="34" t="s">
        <v>6521</v>
      </c>
      <c r="G2717" s="34">
        <v>75114.0</v>
      </c>
      <c r="H2717" s="34" t="s">
        <v>3331</v>
      </c>
      <c r="I2717" s="34" t="s">
        <v>18</v>
      </c>
      <c r="J2717" s="34" t="s">
        <v>14</v>
      </c>
      <c r="K2717" s="45">
        <v>127.8</v>
      </c>
      <c r="L2717" s="45">
        <v>95.2</v>
      </c>
      <c r="M2717" s="45">
        <v>104.2</v>
      </c>
    </row>
    <row r="2718">
      <c r="A2718" s="34" t="s">
        <v>70</v>
      </c>
      <c r="B2718" s="34" t="s">
        <v>1441</v>
      </c>
      <c r="C2718" s="34">
        <v>75.0</v>
      </c>
      <c r="D2718" s="34" t="s">
        <v>1441</v>
      </c>
      <c r="E2718" s="34" t="s">
        <v>6522</v>
      </c>
      <c r="F2718" s="34" t="s">
        <v>6523</v>
      </c>
      <c r="G2718" s="34">
        <v>75116.0</v>
      </c>
      <c r="H2718" s="34" t="s">
        <v>1466</v>
      </c>
      <c r="I2718" s="34" t="s">
        <v>17</v>
      </c>
      <c r="J2718" s="34" t="s">
        <v>15</v>
      </c>
      <c r="K2718" s="45">
        <v>139.0</v>
      </c>
      <c r="L2718" s="9"/>
      <c r="M2718" s="45">
        <v>139.0</v>
      </c>
    </row>
    <row r="2719">
      <c r="A2719" s="34" t="s">
        <v>70</v>
      </c>
      <c r="B2719" s="34" t="s">
        <v>1441</v>
      </c>
      <c r="C2719" s="34">
        <v>75.0</v>
      </c>
      <c r="D2719" s="34" t="s">
        <v>1441</v>
      </c>
      <c r="E2719" s="34" t="s">
        <v>6524</v>
      </c>
      <c r="F2719" s="34" t="s">
        <v>6525</v>
      </c>
      <c r="G2719" s="34">
        <v>75120.0</v>
      </c>
      <c r="H2719" s="34" t="s">
        <v>1488</v>
      </c>
      <c r="I2719" s="34" t="s">
        <v>17</v>
      </c>
      <c r="J2719" s="34" t="s">
        <v>15</v>
      </c>
      <c r="K2719" s="45">
        <v>113.4</v>
      </c>
      <c r="L2719" s="9"/>
      <c r="M2719" s="45">
        <v>113.4</v>
      </c>
    </row>
    <row r="2720">
      <c r="A2720" s="34" t="s">
        <v>70</v>
      </c>
      <c r="B2720" s="34" t="s">
        <v>1441</v>
      </c>
      <c r="C2720" s="34">
        <v>75.0</v>
      </c>
      <c r="D2720" s="34" t="s">
        <v>1441</v>
      </c>
      <c r="E2720" s="34" t="s">
        <v>6526</v>
      </c>
      <c r="F2720" s="34" t="s">
        <v>6527</v>
      </c>
      <c r="G2720" s="34">
        <v>75120.0</v>
      </c>
      <c r="H2720" s="34" t="s">
        <v>1488</v>
      </c>
      <c r="I2720" s="34" t="s">
        <v>17</v>
      </c>
      <c r="J2720" s="34" t="s">
        <v>15</v>
      </c>
      <c r="K2720" s="45">
        <v>128.4</v>
      </c>
      <c r="L2720" s="9"/>
      <c r="M2720" s="45">
        <v>128.4</v>
      </c>
    </row>
    <row r="2721">
      <c r="A2721" s="34" t="s">
        <v>70</v>
      </c>
      <c r="B2721" s="34" t="s">
        <v>269</v>
      </c>
      <c r="C2721" s="34">
        <v>76.0</v>
      </c>
      <c r="D2721" s="34" t="s">
        <v>1506</v>
      </c>
      <c r="E2721" s="34" t="s">
        <v>6528</v>
      </c>
      <c r="F2721" s="34" t="s">
        <v>6529</v>
      </c>
      <c r="G2721" s="34">
        <v>76057.0</v>
      </c>
      <c r="H2721" s="34" t="s">
        <v>6530</v>
      </c>
      <c r="I2721" s="34" t="s">
        <v>18</v>
      </c>
      <c r="J2721" s="34" t="s">
        <v>15</v>
      </c>
      <c r="K2721" s="45">
        <v>115.1</v>
      </c>
      <c r="L2721" s="9"/>
      <c r="M2721" s="45">
        <v>115.1</v>
      </c>
    </row>
    <row r="2722">
      <c r="A2722" s="34" t="s">
        <v>70</v>
      </c>
      <c r="B2722" s="34" t="s">
        <v>269</v>
      </c>
      <c r="C2722" s="34">
        <v>76.0</v>
      </c>
      <c r="D2722" s="34" t="s">
        <v>1506</v>
      </c>
      <c r="E2722" s="34" t="s">
        <v>6531</v>
      </c>
      <c r="F2722" s="34" t="s">
        <v>6532</v>
      </c>
      <c r="G2722" s="34">
        <v>76410.0</v>
      </c>
      <c r="H2722" s="34" t="s">
        <v>6533</v>
      </c>
      <c r="I2722" s="34" t="s">
        <v>18</v>
      </c>
      <c r="J2722" s="34" t="s">
        <v>13</v>
      </c>
      <c r="K2722" s="9"/>
      <c r="L2722" s="45">
        <v>79.7</v>
      </c>
      <c r="M2722" s="45">
        <v>79.7</v>
      </c>
    </row>
    <row r="2723">
      <c r="A2723" s="34" t="s">
        <v>70</v>
      </c>
      <c r="B2723" s="34" t="s">
        <v>269</v>
      </c>
      <c r="C2723" s="34">
        <v>76.0</v>
      </c>
      <c r="D2723" s="34" t="s">
        <v>1506</v>
      </c>
      <c r="E2723" s="34" t="s">
        <v>6534</v>
      </c>
      <c r="F2723" s="34" t="s">
        <v>6535</v>
      </c>
      <c r="G2723" s="34">
        <v>76217.0</v>
      </c>
      <c r="H2723" s="34" t="s">
        <v>1529</v>
      </c>
      <c r="I2723" s="34" t="s">
        <v>18</v>
      </c>
      <c r="J2723" s="34" t="s">
        <v>15</v>
      </c>
      <c r="K2723" s="45">
        <v>110.5</v>
      </c>
      <c r="L2723" s="9"/>
      <c r="M2723" s="45">
        <v>110.5</v>
      </c>
    </row>
    <row r="2724">
      <c r="A2724" s="34" t="s">
        <v>70</v>
      </c>
      <c r="B2724" s="34" t="s">
        <v>269</v>
      </c>
      <c r="C2724" s="34">
        <v>76.0</v>
      </c>
      <c r="D2724" s="34" t="s">
        <v>1506</v>
      </c>
      <c r="E2724" s="34" t="s">
        <v>6536</v>
      </c>
      <c r="F2724" s="34" t="s">
        <v>6537</v>
      </c>
      <c r="G2724" s="34">
        <v>76255.0</v>
      </c>
      <c r="H2724" s="34" t="s">
        <v>6538</v>
      </c>
      <c r="I2724" s="34" t="s">
        <v>18</v>
      </c>
      <c r="J2724" s="34" t="s">
        <v>14</v>
      </c>
      <c r="K2724" s="45">
        <v>111.1</v>
      </c>
      <c r="L2724" s="45">
        <v>77.1</v>
      </c>
      <c r="M2724" s="45">
        <v>107.0</v>
      </c>
    </row>
    <row r="2725">
      <c r="A2725" s="34" t="s">
        <v>70</v>
      </c>
      <c r="B2725" s="34" t="s">
        <v>269</v>
      </c>
      <c r="C2725" s="34">
        <v>76.0</v>
      </c>
      <c r="D2725" s="34" t="s">
        <v>1506</v>
      </c>
      <c r="E2725" s="34" t="s">
        <v>6539</v>
      </c>
      <c r="F2725" s="34" t="s">
        <v>6540</v>
      </c>
      <c r="G2725" s="34">
        <v>76259.0</v>
      </c>
      <c r="H2725" s="34" t="s">
        <v>1512</v>
      </c>
      <c r="I2725" s="34" t="s">
        <v>18</v>
      </c>
      <c r="J2725" s="34" t="s">
        <v>13</v>
      </c>
      <c r="K2725" s="9"/>
      <c r="L2725" s="45">
        <v>84.3</v>
      </c>
      <c r="M2725" s="45">
        <v>84.3</v>
      </c>
    </row>
    <row r="2726">
      <c r="A2726" s="34" t="s">
        <v>70</v>
      </c>
      <c r="B2726" s="34" t="s">
        <v>269</v>
      </c>
      <c r="C2726" s="34">
        <v>76.0</v>
      </c>
      <c r="D2726" s="34" t="s">
        <v>1506</v>
      </c>
      <c r="E2726" s="34" t="s">
        <v>6541</v>
      </c>
      <c r="F2726" s="34" t="s">
        <v>6542</v>
      </c>
      <c r="G2726" s="34">
        <v>76384.0</v>
      </c>
      <c r="H2726" s="34" t="s">
        <v>6543</v>
      </c>
      <c r="I2726" s="34" t="s">
        <v>18</v>
      </c>
      <c r="J2726" s="34" t="s">
        <v>15</v>
      </c>
      <c r="K2726" s="45">
        <v>107.6</v>
      </c>
      <c r="L2726" s="9"/>
      <c r="M2726" s="45">
        <v>107.6</v>
      </c>
    </row>
    <row r="2727">
      <c r="A2727" s="34" t="s">
        <v>70</v>
      </c>
      <c r="B2727" s="34" t="s">
        <v>269</v>
      </c>
      <c r="C2727" s="34">
        <v>76.0</v>
      </c>
      <c r="D2727" s="34" t="s">
        <v>1506</v>
      </c>
      <c r="E2727" s="34" t="s">
        <v>6544</v>
      </c>
      <c r="F2727" s="34" t="s">
        <v>6545</v>
      </c>
      <c r="G2727" s="34">
        <v>76540.0</v>
      </c>
      <c r="H2727" s="34" t="s">
        <v>1534</v>
      </c>
      <c r="I2727" s="34" t="s">
        <v>18</v>
      </c>
      <c r="J2727" s="34" t="s">
        <v>15</v>
      </c>
      <c r="K2727" s="45">
        <v>143.1</v>
      </c>
      <c r="L2727" s="9"/>
      <c r="M2727" s="45">
        <v>143.1</v>
      </c>
    </row>
    <row r="2728">
      <c r="A2728" s="34" t="s">
        <v>70</v>
      </c>
      <c r="B2728" s="34" t="s">
        <v>269</v>
      </c>
      <c r="C2728" s="34">
        <v>76.0</v>
      </c>
      <c r="D2728" s="34" t="s">
        <v>1506</v>
      </c>
      <c r="E2728" s="34" t="s">
        <v>6546</v>
      </c>
      <c r="F2728" s="34" t="s">
        <v>6547</v>
      </c>
      <c r="G2728" s="34">
        <v>76540.0</v>
      </c>
      <c r="H2728" s="34" t="s">
        <v>1534</v>
      </c>
      <c r="I2728" s="34" t="s">
        <v>17</v>
      </c>
      <c r="J2728" s="34" t="s">
        <v>14</v>
      </c>
      <c r="K2728" s="45">
        <v>97.1</v>
      </c>
      <c r="L2728" s="45">
        <v>92.8</v>
      </c>
      <c r="M2728" s="45">
        <v>93.5</v>
      </c>
    </row>
    <row r="2729">
      <c r="A2729" s="34" t="s">
        <v>70</v>
      </c>
      <c r="B2729" s="34" t="s">
        <v>269</v>
      </c>
      <c r="C2729" s="34">
        <v>76.0</v>
      </c>
      <c r="D2729" s="34" t="s">
        <v>1506</v>
      </c>
      <c r="E2729" s="34" t="s">
        <v>6548</v>
      </c>
      <c r="F2729" s="34" t="s">
        <v>6549</v>
      </c>
      <c r="G2729" s="34">
        <v>76108.0</v>
      </c>
      <c r="H2729" s="34" t="s">
        <v>6550</v>
      </c>
      <c r="I2729" s="34" t="s">
        <v>17</v>
      </c>
      <c r="J2729" s="34" t="s">
        <v>15</v>
      </c>
      <c r="K2729" s="45">
        <v>129.4</v>
      </c>
      <c r="L2729" s="9"/>
      <c r="M2729" s="45">
        <v>129.4</v>
      </c>
    </row>
    <row r="2730">
      <c r="A2730" s="34" t="s">
        <v>70</v>
      </c>
      <c r="B2730" s="34" t="s">
        <v>269</v>
      </c>
      <c r="C2730" s="34">
        <v>76.0</v>
      </c>
      <c r="D2730" s="34" t="s">
        <v>1506</v>
      </c>
      <c r="E2730" s="34" t="s">
        <v>6551</v>
      </c>
      <c r="F2730" s="34" t="s">
        <v>6552</v>
      </c>
      <c r="G2730" s="34">
        <v>76217.0</v>
      </c>
      <c r="H2730" s="34" t="s">
        <v>1529</v>
      </c>
      <c r="I2730" s="34" t="s">
        <v>18</v>
      </c>
      <c r="J2730" s="34" t="s">
        <v>15</v>
      </c>
      <c r="K2730" s="45">
        <v>108.8</v>
      </c>
      <c r="L2730" s="9"/>
      <c r="M2730" s="45">
        <v>108.8</v>
      </c>
    </row>
    <row r="2731">
      <c r="A2731" s="34" t="s">
        <v>70</v>
      </c>
      <c r="B2731" s="34" t="s">
        <v>269</v>
      </c>
      <c r="C2731" s="34">
        <v>76.0</v>
      </c>
      <c r="D2731" s="34" t="s">
        <v>1506</v>
      </c>
      <c r="E2731" s="34" t="s">
        <v>6553</v>
      </c>
      <c r="F2731" s="34" t="s">
        <v>6554</v>
      </c>
      <c r="G2731" s="34">
        <v>76462.0</v>
      </c>
      <c r="H2731" s="34" t="s">
        <v>6555</v>
      </c>
      <c r="I2731" s="34" t="s">
        <v>18</v>
      </c>
      <c r="J2731" s="34" t="s">
        <v>14</v>
      </c>
      <c r="K2731" s="45">
        <v>103.0</v>
      </c>
      <c r="L2731" s="45">
        <v>78.4</v>
      </c>
      <c r="M2731" s="45">
        <v>95.4</v>
      </c>
    </row>
    <row r="2732">
      <c r="A2732" s="34" t="s">
        <v>70</v>
      </c>
      <c r="B2732" s="34" t="s">
        <v>269</v>
      </c>
      <c r="C2732" s="34">
        <v>76.0</v>
      </c>
      <c r="D2732" s="34" t="s">
        <v>1506</v>
      </c>
      <c r="E2732" s="34" t="s">
        <v>6556</v>
      </c>
      <c r="F2732" s="34" t="s">
        <v>6557</v>
      </c>
      <c r="G2732" s="34">
        <v>76351.0</v>
      </c>
      <c r="H2732" s="34" t="s">
        <v>1515</v>
      </c>
      <c r="I2732" s="34" t="s">
        <v>18</v>
      </c>
      <c r="J2732" s="34" t="s">
        <v>14</v>
      </c>
      <c r="K2732" s="45">
        <v>87.9</v>
      </c>
      <c r="L2732" s="45">
        <v>70.8</v>
      </c>
      <c r="M2732" s="45">
        <v>77.1</v>
      </c>
    </row>
    <row r="2733">
      <c r="A2733" s="34" t="s">
        <v>70</v>
      </c>
      <c r="B2733" s="34" t="s">
        <v>269</v>
      </c>
      <c r="C2733" s="34">
        <v>76.0</v>
      </c>
      <c r="D2733" s="34" t="s">
        <v>1506</v>
      </c>
      <c r="E2733" s="34" t="s">
        <v>6558</v>
      </c>
      <c r="F2733" s="34" t="s">
        <v>6559</v>
      </c>
      <c r="G2733" s="34">
        <v>76157.0</v>
      </c>
      <c r="H2733" s="34" t="s">
        <v>6560</v>
      </c>
      <c r="I2733" s="34" t="s">
        <v>18</v>
      </c>
      <c r="J2733" s="34" t="s">
        <v>14</v>
      </c>
      <c r="K2733" s="45">
        <v>117.0</v>
      </c>
      <c r="L2733" s="45">
        <v>95.4</v>
      </c>
      <c r="M2733" s="45">
        <v>97.8</v>
      </c>
    </row>
    <row r="2734">
      <c r="A2734" s="34" t="s">
        <v>70</v>
      </c>
      <c r="B2734" s="34" t="s">
        <v>1545</v>
      </c>
      <c r="C2734" s="34">
        <v>77.0</v>
      </c>
      <c r="D2734" s="34" t="s">
        <v>1546</v>
      </c>
      <c r="E2734" s="34" t="s">
        <v>6561</v>
      </c>
      <c r="F2734" s="34" t="s">
        <v>6562</v>
      </c>
      <c r="G2734" s="34">
        <v>77014.0</v>
      </c>
      <c r="H2734" s="34" t="s">
        <v>6563</v>
      </c>
      <c r="I2734" s="34" t="s">
        <v>18</v>
      </c>
      <c r="J2734" s="34" t="s">
        <v>14</v>
      </c>
      <c r="K2734" s="45">
        <v>114.0</v>
      </c>
      <c r="L2734" s="45">
        <v>89.7</v>
      </c>
      <c r="M2734" s="45">
        <v>104.5</v>
      </c>
    </row>
    <row r="2735">
      <c r="A2735" s="34" t="s">
        <v>70</v>
      </c>
      <c r="B2735" s="34" t="s">
        <v>1545</v>
      </c>
      <c r="C2735" s="34">
        <v>77.0</v>
      </c>
      <c r="D2735" s="34" t="s">
        <v>1546</v>
      </c>
      <c r="E2735" s="34" t="s">
        <v>6564</v>
      </c>
      <c r="F2735" s="34" t="s">
        <v>6565</v>
      </c>
      <c r="G2735" s="34">
        <v>77379.0</v>
      </c>
      <c r="H2735" s="34" t="s">
        <v>5045</v>
      </c>
      <c r="I2735" s="34" t="s">
        <v>18</v>
      </c>
      <c r="J2735" s="34" t="s">
        <v>14</v>
      </c>
      <c r="K2735" s="45">
        <v>100.2</v>
      </c>
      <c r="L2735" s="45">
        <v>81.5</v>
      </c>
      <c r="M2735" s="45">
        <v>97.0</v>
      </c>
    </row>
    <row r="2736">
      <c r="A2736" s="34" t="s">
        <v>70</v>
      </c>
      <c r="B2736" s="34" t="s">
        <v>1545</v>
      </c>
      <c r="C2736" s="34">
        <v>77.0</v>
      </c>
      <c r="D2736" s="34" t="s">
        <v>1546</v>
      </c>
      <c r="E2736" s="34" t="s">
        <v>6566</v>
      </c>
      <c r="F2736" s="34" t="s">
        <v>6567</v>
      </c>
      <c r="G2736" s="34">
        <v>77464.0</v>
      </c>
      <c r="H2736" s="34" t="s">
        <v>6568</v>
      </c>
      <c r="I2736" s="34" t="s">
        <v>18</v>
      </c>
      <c r="J2736" s="34" t="s">
        <v>14</v>
      </c>
      <c r="K2736" s="45">
        <v>57.0</v>
      </c>
      <c r="L2736" s="45">
        <v>86.5</v>
      </c>
      <c r="M2736" s="45">
        <v>86.5</v>
      </c>
    </row>
    <row r="2737">
      <c r="A2737" s="34" t="s">
        <v>70</v>
      </c>
      <c r="B2737" s="34" t="s">
        <v>1545</v>
      </c>
      <c r="C2737" s="34">
        <v>77.0</v>
      </c>
      <c r="D2737" s="34" t="s">
        <v>1546</v>
      </c>
      <c r="E2737" s="34" t="s">
        <v>6569</v>
      </c>
      <c r="F2737" s="34" t="s">
        <v>6570</v>
      </c>
      <c r="G2737" s="34">
        <v>77152.0</v>
      </c>
      <c r="H2737" s="34" t="s">
        <v>6571</v>
      </c>
      <c r="I2737" s="34" t="s">
        <v>18</v>
      </c>
      <c r="J2737" s="34" t="s">
        <v>14</v>
      </c>
      <c r="K2737" s="45">
        <v>108.2</v>
      </c>
      <c r="L2737" s="45">
        <v>87.6</v>
      </c>
      <c r="M2737" s="45">
        <v>100.5</v>
      </c>
    </row>
    <row r="2738">
      <c r="A2738" s="34" t="s">
        <v>70</v>
      </c>
      <c r="B2738" s="34" t="s">
        <v>1545</v>
      </c>
      <c r="C2738" s="34">
        <v>77.0</v>
      </c>
      <c r="D2738" s="34" t="s">
        <v>1546</v>
      </c>
      <c r="E2738" s="34" t="s">
        <v>6572</v>
      </c>
      <c r="F2738" s="34" t="s">
        <v>6573</v>
      </c>
      <c r="G2738" s="34">
        <v>77186.0</v>
      </c>
      <c r="H2738" s="34" t="s">
        <v>1555</v>
      </c>
      <c r="I2738" s="34" t="s">
        <v>17</v>
      </c>
      <c r="J2738" s="34" t="s">
        <v>15</v>
      </c>
      <c r="K2738" s="45">
        <v>139.0</v>
      </c>
      <c r="L2738" s="9"/>
      <c r="M2738" s="45">
        <v>139.0</v>
      </c>
    </row>
    <row r="2739">
      <c r="A2739" s="34" t="s">
        <v>70</v>
      </c>
      <c r="B2739" s="34" t="s">
        <v>1545</v>
      </c>
      <c r="C2739" s="34">
        <v>77.0</v>
      </c>
      <c r="D2739" s="34" t="s">
        <v>1546</v>
      </c>
      <c r="E2739" s="34" t="s">
        <v>6574</v>
      </c>
      <c r="F2739" s="34" t="s">
        <v>6575</v>
      </c>
      <c r="G2739" s="34">
        <v>77243.0</v>
      </c>
      <c r="H2739" s="34" t="s">
        <v>6576</v>
      </c>
      <c r="I2739" s="34" t="s">
        <v>17</v>
      </c>
      <c r="J2739" s="34" t="s">
        <v>15</v>
      </c>
      <c r="K2739" s="45">
        <v>131.2</v>
      </c>
      <c r="L2739" s="9"/>
      <c r="M2739" s="45">
        <v>131.2</v>
      </c>
    </row>
    <row r="2740">
      <c r="A2740" s="34" t="s">
        <v>70</v>
      </c>
      <c r="B2740" s="34" t="s">
        <v>1545</v>
      </c>
      <c r="C2740" s="34">
        <v>77.0</v>
      </c>
      <c r="D2740" s="34" t="s">
        <v>1546</v>
      </c>
      <c r="E2740" s="34" t="s">
        <v>6577</v>
      </c>
      <c r="F2740" s="34" t="s">
        <v>6578</v>
      </c>
      <c r="G2740" s="34">
        <v>77288.0</v>
      </c>
      <c r="H2740" s="34" t="s">
        <v>1552</v>
      </c>
      <c r="I2740" s="34" t="s">
        <v>17</v>
      </c>
      <c r="J2740" s="34" t="s">
        <v>14</v>
      </c>
      <c r="K2740" s="45">
        <v>129.2</v>
      </c>
      <c r="L2740" s="45">
        <v>114.5</v>
      </c>
      <c r="M2740" s="45">
        <v>127.1</v>
      </c>
    </row>
    <row r="2741">
      <c r="A2741" s="34" t="s">
        <v>70</v>
      </c>
      <c r="B2741" s="34" t="s">
        <v>1545</v>
      </c>
      <c r="C2741" s="34">
        <v>77.0</v>
      </c>
      <c r="D2741" s="34" t="s">
        <v>1546</v>
      </c>
      <c r="E2741" s="34" t="s">
        <v>6579</v>
      </c>
      <c r="F2741" s="34" t="s">
        <v>6580</v>
      </c>
      <c r="G2741" s="34">
        <v>77284.0</v>
      </c>
      <c r="H2741" s="34" t="s">
        <v>6581</v>
      </c>
      <c r="I2741" s="34" t="s">
        <v>17</v>
      </c>
      <c r="J2741" s="34" t="s">
        <v>15</v>
      </c>
      <c r="K2741" s="45">
        <v>122.1</v>
      </c>
      <c r="L2741" s="9"/>
      <c r="M2741" s="45">
        <v>122.1</v>
      </c>
    </row>
    <row r="2742">
      <c r="A2742" s="34" t="s">
        <v>70</v>
      </c>
      <c r="B2742" s="34" t="s">
        <v>1545</v>
      </c>
      <c r="C2742" s="34">
        <v>77.0</v>
      </c>
      <c r="D2742" s="34" t="s">
        <v>1546</v>
      </c>
      <c r="E2742" s="34" t="s">
        <v>6582</v>
      </c>
      <c r="F2742" s="34" t="s">
        <v>6583</v>
      </c>
      <c r="G2742" s="34">
        <v>77285.0</v>
      </c>
      <c r="H2742" s="34" t="s">
        <v>6584</v>
      </c>
      <c r="I2742" s="34" t="s">
        <v>18</v>
      </c>
      <c r="J2742" s="34" t="s">
        <v>15</v>
      </c>
      <c r="K2742" s="45">
        <v>88.3</v>
      </c>
      <c r="L2742" s="9"/>
      <c r="M2742" s="45">
        <v>88.3</v>
      </c>
    </row>
    <row r="2743">
      <c r="A2743" s="34" t="s">
        <v>70</v>
      </c>
      <c r="B2743" s="34" t="s">
        <v>1545</v>
      </c>
      <c r="C2743" s="34">
        <v>77.0</v>
      </c>
      <c r="D2743" s="34" t="s">
        <v>1546</v>
      </c>
      <c r="E2743" s="34" t="s">
        <v>6585</v>
      </c>
      <c r="F2743" s="34" t="s">
        <v>6586</v>
      </c>
      <c r="G2743" s="34">
        <v>77122.0</v>
      </c>
      <c r="H2743" s="34" t="s">
        <v>6587</v>
      </c>
      <c r="I2743" s="34" t="s">
        <v>18</v>
      </c>
      <c r="J2743" s="34" t="s">
        <v>13</v>
      </c>
      <c r="K2743" s="9"/>
      <c r="L2743" s="45">
        <v>95.8</v>
      </c>
      <c r="M2743" s="45">
        <v>95.8</v>
      </c>
    </row>
    <row r="2744">
      <c r="A2744" s="34" t="s">
        <v>70</v>
      </c>
      <c r="B2744" s="34" t="s">
        <v>1545</v>
      </c>
      <c r="C2744" s="34">
        <v>77.0</v>
      </c>
      <c r="D2744" s="34" t="s">
        <v>1546</v>
      </c>
      <c r="E2744" s="34" t="s">
        <v>6588</v>
      </c>
      <c r="F2744" s="34" t="s">
        <v>5146</v>
      </c>
      <c r="G2744" s="34">
        <v>77445.0</v>
      </c>
      <c r="H2744" s="34" t="s">
        <v>3437</v>
      </c>
      <c r="I2744" s="34" t="s">
        <v>18</v>
      </c>
      <c r="J2744" s="34" t="s">
        <v>15</v>
      </c>
      <c r="K2744" s="45">
        <v>101.7</v>
      </c>
      <c r="L2744" s="9"/>
      <c r="M2744" s="45">
        <v>101.7</v>
      </c>
    </row>
    <row r="2745">
      <c r="A2745" s="34" t="s">
        <v>70</v>
      </c>
      <c r="B2745" s="34" t="s">
        <v>1545</v>
      </c>
      <c r="C2745" s="34">
        <v>77.0</v>
      </c>
      <c r="D2745" s="34" t="s">
        <v>1546</v>
      </c>
      <c r="E2745" s="34" t="s">
        <v>6589</v>
      </c>
      <c r="F2745" s="34" t="s">
        <v>6590</v>
      </c>
      <c r="G2745" s="34">
        <v>77350.0</v>
      </c>
      <c r="H2745" s="34" t="s">
        <v>5055</v>
      </c>
      <c r="I2745" s="34" t="s">
        <v>18</v>
      </c>
      <c r="J2745" s="34" t="s">
        <v>14</v>
      </c>
      <c r="K2745" s="45">
        <v>112.5</v>
      </c>
      <c r="L2745" s="45">
        <v>91.1</v>
      </c>
      <c r="M2745" s="45">
        <v>92.6</v>
      </c>
    </row>
    <row r="2746">
      <c r="A2746" s="34" t="s">
        <v>70</v>
      </c>
      <c r="B2746" s="34" t="s">
        <v>1545</v>
      </c>
      <c r="C2746" s="34">
        <v>77.0</v>
      </c>
      <c r="D2746" s="34" t="s">
        <v>1546</v>
      </c>
      <c r="E2746" s="34" t="s">
        <v>6591</v>
      </c>
      <c r="F2746" s="34" t="s">
        <v>6592</v>
      </c>
      <c r="G2746" s="34">
        <v>77058.0</v>
      </c>
      <c r="H2746" s="34" t="s">
        <v>1572</v>
      </c>
      <c r="I2746" s="34" t="s">
        <v>17</v>
      </c>
      <c r="J2746" s="34" t="s">
        <v>14</v>
      </c>
      <c r="K2746" s="45">
        <v>135.9</v>
      </c>
      <c r="L2746" s="45">
        <v>113.4</v>
      </c>
      <c r="M2746" s="45">
        <v>129.4</v>
      </c>
    </row>
    <row r="2747">
      <c r="A2747" s="34" t="s">
        <v>70</v>
      </c>
      <c r="B2747" s="34" t="s">
        <v>1545</v>
      </c>
      <c r="C2747" s="34">
        <v>77.0</v>
      </c>
      <c r="D2747" s="34" t="s">
        <v>1546</v>
      </c>
      <c r="E2747" s="34" t="s">
        <v>6593</v>
      </c>
      <c r="F2747" s="34" t="s">
        <v>6594</v>
      </c>
      <c r="G2747" s="34">
        <v>77327.0</v>
      </c>
      <c r="H2747" s="34" t="s">
        <v>6595</v>
      </c>
      <c r="I2747" s="34" t="s">
        <v>18</v>
      </c>
      <c r="J2747" s="34" t="s">
        <v>14</v>
      </c>
      <c r="K2747" s="45">
        <v>104.4</v>
      </c>
      <c r="L2747" s="45">
        <v>93.2</v>
      </c>
      <c r="M2747" s="45">
        <v>103.0</v>
      </c>
    </row>
    <row r="2748">
      <c r="A2748" s="34" t="s">
        <v>70</v>
      </c>
      <c r="B2748" s="34" t="s">
        <v>1545</v>
      </c>
      <c r="C2748" s="34">
        <v>77.0</v>
      </c>
      <c r="D2748" s="34" t="s">
        <v>1546</v>
      </c>
      <c r="E2748" s="34" t="s">
        <v>6596</v>
      </c>
      <c r="F2748" s="34" t="s">
        <v>6597</v>
      </c>
      <c r="G2748" s="34">
        <v>77379.0</v>
      </c>
      <c r="H2748" s="34" t="s">
        <v>5045</v>
      </c>
      <c r="I2748" s="34" t="s">
        <v>17</v>
      </c>
      <c r="J2748" s="34" t="s">
        <v>15</v>
      </c>
      <c r="K2748" s="45">
        <v>128.1</v>
      </c>
      <c r="L2748" s="9"/>
      <c r="M2748" s="45">
        <v>128.1</v>
      </c>
    </row>
    <row r="2749">
      <c r="A2749" s="34" t="s">
        <v>70</v>
      </c>
      <c r="B2749" s="34" t="s">
        <v>1545</v>
      </c>
      <c r="C2749" s="34">
        <v>77.0</v>
      </c>
      <c r="D2749" s="34" t="s">
        <v>1546</v>
      </c>
      <c r="E2749" s="34" t="s">
        <v>6598</v>
      </c>
      <c r="F2749" s="34" t="s">
        <v>6599</v>
      </c>
      <c r="G2749" s="34">
        <v>77296.0</v>
      </c>
      <c r="H2749" s="34" t="s">
        <v>6600</v>
      </c>
      <c r="I2749" s="34" t="s">
        <v>18</v>
      </c>
      <c r="J2749" s="34" t="s">
        <v>14</v>
      </c>
      <c r="K2749" s="45">
        <v>106.4</v>
      </c>
      <c r="L2749" s="45">
        <v>90.7</v>
      </c>
      <c r="M2749" s="45">
        <v>104.2</v>
      </c>
    </row>
    <row r="2750">
      <c r="A2750" s="34" t="s">
        <v>70</v>
      </c>
      <c r="B2750" s="34" t="s">
        <v>1545</v>
      </c>
      <c r="C2750" s="34">
        <v>77.0</v>
      </c>
      <c r="D2750" s="34" t="s">
        <v>1546</v>
      </c>
      <c r="E2750" s="34" t="s">
        <v>6601</v>
      </c>
      <c r="F2750" s="34" t="s">
        <v>6602</v>
      </c>
      <c r="G2750" s="34">
        <v>77183.0</v>
      </c>
      <c r="H2750" s="34" t="s">
        <v>3446</v>
      </c>
      <c r="I2750" s="34" t="s">
        <v>18</v>
      </c>
      <c r="J2750" s="34" t="s">
        <v>15</v>
      </c>
      <c r="K2750" s="45">
        <v>106.2</v>
      </c>
      <c r="L2750" s="9"/>
      <c r="M2750" s="45">
        <v>106.2</v>
      </c>
    </row>
    <row r="2751">
      <c r="A2751" s="34" t="s">
        <v>70</v>
      </c>
      <c r="B2751" s="34" t="s">
        <v>1579</v>
      </c>
      <c r="C2751" s="34">
        <v>78.0</v>
      </c>
      <c r="D2751" s="34" t="s">
        <v>1580</v>
      </c>
      <c r="E2751" s="34" t="s">
        <v>6603</v>
      </c>
      <c r="F2751" s="34" t="s">
        <v>6604</v>
      </c>
      <c r="G2751" s="34">
        <v>78646.0</v>
      </c>
      <c r="H2751" s="34" t="s">
        <v>1579</v>
      </c>
      <c r="I2751" s="34" t="s">
        <v>17</v>
      </c>
      <c r="J2751" s="34" t="s">
        <v>13</v>
      </c>
      <c r="K2751" s="9"/>
      <c r="L2751" s="45">
        <v>127.9</v>
      </c>
      <c r="M2751" s="45">
        <v>127.9</v>
      </c>
    </row>
    <row r="2752">
      <c r="A2752" s="34" t="s">
        <v>70</v>
      </c>
      <c r="B2752" s="34" t="s">
        <v>1579</v>
      </c>
      <c r="C2752" s="34">
        <v>78.0</v>
      </c>
      <c r="D2752" s="34" t="s">
        <v>1580</v>
      </c>
      <c r="E2752" s="34" t="s">
        <v>6605</v>
      </c>
      <c r="F2752" s="34" t="s">
        <v>6606</v>
      </c>
      <c r="G2752" s="34">
        <v>78372.0</v>
      </c>
      <c r="H2752" s="34" t="s">
        <v>6607</v>
      </c>
      <c r="I2752" s="34" t="s">
        <v>18</v>
      </c>
      <c r="J2752" s="34" t="s">
        <v>15</v>
      </c>
      <c r="K2752" s="45">
        <v>144.5</v>
      </c>
      <c r="L2752" s="9"/>
      <c r="M2752" s="45">
        <v>144.5</v>
      </c>
    </row>
    <row r="2753">
      <c r="A2753" s="34" t="s">
        <v>70</v>
      </c>
      <c r="B2753" s="34" t="s">
        <v>1579</v>
      </c>
      <c r="C2753" s="34">
        <v>78.0</v>
      </c>
      <c r="D2753" s="34" t="s">
        <v>1580</v>
      </c>
      <c r="E2753" s="34" t="s">
        <v>6608</v>
      </c>
      <c r="F2753" s="34" t="s">
        <v>5305</v>
      </c>
      <c r="G2753" s="34">
        <v>78335.0</v>
      </c>
      <c r="H2753" s="34" t="s">
        <v>6609</v>
      </c>
      <c r="I2753" s="34" t="s">
        <v>18</v>
      </c>
      <c r="J2753" s="34" t="s">
        <v>14</v>
      </c>
      <c r="K2753" s="45">
        <v>110.4</v>
      </c>
      <c r="L2753" s="45">
        <v>84.5</v>
      </c>
      <c r="M2753" s="45">
        <v>103.7</v>
      </c>
    </row>
    <row r="2754">
      <c r="A2754" s="34" t="s">
        <v>70</v>
      </c>
      <c r="B2754" s="34" t="s">
        <v>1579</v>
      </c>
      <c r="C2754" s="34">
        <v>78.0</v>
      </c>
      <c r="D2754" s="34" t="s">
        <v>1580</v>
      </c>
      <c r="E2754" s="34" t="s">
        <v>6610</v>
      </c>
      <c r="F2754" s="34" t="s">
        <v>6611</v>
      </c>
      <c r="G2754" s="34">
        <v>78440.0</v>
      </c>
      <c r="H2754" s="34" t="s">
        <v>3452</v>
      </c>
      <c r="I2754" s="34" t="s">
        <v>18</v>
      </c>
      <c r="J2754" s="34" t="s">
        <v>13</v>
      </c>
      <c r="K2754" s="9"/>
      <c r="L2754" s="45">
        <v>78.6</v>
      </c>
      <c r="M2754" s="45">
        <v>78.6</v>
      </c>
    </row>
    <row r="2755">
      <c r="A2755" s="34" t="s">
        <v>70</v>
      </c>
      <c r="B2755" s="34" t="s">
        <v>1579</v>
      </c>
      <c r="C2755" s="34">
        <v>78.0</v>
      </c>
      <c r="D2755" s="34" t="s">
        <v>1580</v>
      </c>
      <c r="E2755" s="34" t="s">
        <v>6612</v>
      </c>
      <c r="F2755" s="34" t="s">
        <v>6613</v>
      </c>
      <c r="G2755" s="34">
        <v>78551.0</v>
      </c>
      <c r="H2755" s="34" t="s">
        <v>1592</v>
      </c>
      <c r="I2755" s="34" t="s">
        <v>18</v>
      </c>
      <c r="J2755" s="34" t="s">
        <v>15</v>
      </c>
      <c r="K2755" s="45">
        <v>141.3</v>
      </c>
      <c r="L2755" s="9"/>
      <c r="M2755" s="45">
        <v>141.3</v>
      </c>
    </row>
    <row r="2756">
      <c r="A2756" s="34" t="s">
        <v>70</v>
      </c>
      <c r="B2756" s="34" t="s">
        <v>1579</v>
      </c>
      <c r="C2756" s="34">
        <v>78.0</v>
      </c>
      <c r="D2756" s="34" t="s">
        <v>1580</v>
      </c>
      <c r="E2756" s="34" t="s">
        <v>6614</v>
      </c>
      <c r="F2756" s="34" t="s">
        <v>6615</v>
      </c>
      <c r="G2756" s="34">
        <v>78551.0</v>
      </c>
      <c r="H2756" s="34" t="s">
        <v>1592</v>
      </c>
      <c r="I2756" s="34" t="s">
        <v>18</v>
      </c>
      <c r="J2756" s="34" t="s">
        <v>14</v>
      </c>
      <c r="K2756" s="45">
        <v>107.0</v>
      </c>
      <c r="L2756" s="45">
        <v>92.6</v>
      </c>
      <c r="M2756" s="45">
        <v>101.0</v>
      </c>
    </row>
    <row r="2757">
      <c r="A2757" s="34" t="s">
        <v>70</v>
      </c>
      <c r="B2757" s="34" t="s">
        <v>1579</v>
      </c>
      <c r="C2757" s="34">
        <v>78.0</v>
      </c>
      <c r="D2757" s="34" t="s">
        <v>1580</v>
      </c>
      <c r="E2757" s="34" t="s">
        <v>6616</v>
      </c>
      <c r="F2757" s="34" t="s">
        <v>6617</v>
      </c>
      <c r="G2757" s="34">
        <v>78646.0</v>
      </c>
      <c r="H2757" s="34" t="s">
        <v>1579</v>
      </c>
      <c r="I2757" s="34" t="s">
        <v>18</v>
      </c>
      <c r="J2757" s="34" t="s">
        <v>15</v>
      </c>
      <c r="K2757" s="45">
        <v>151.7</v>
      </c>
      <c r="L2757" s="9"/>
      <c r="M2757" s="45">
        <v>151.7</v>
      </c>
    </row>
    <row r="2758">
      <c r="A2758" s="34" t="s">
        <v>70</v>
      </c>
      <c r="B2758" s="34" t="s">
        <v>1579</v>
      </c>
      <c r="C2758" s="34">
        <v>78.0</v>
      </c>
      <c r="D2758" s="34" t="s">
        <v>1580</v>
      </c>
      <c r="E2758" s="34" t="s">
        <v>6618</v>
      </c>
      <c r="F2758" s="34" t="s">
        <v>6619</v>
      </c>
      <c r="G2758" s="34">
        <v>78126.0</v>
      </c>
      <c r="H2758" s="34" t="s">
        <v>1612</v>
      </c>
      <c r="I2758" s="34" t="s">
        <v>18</v>
      </c>
      <c r="J2758" s="34" t="s">
        <v>13</v>
      </c>
      <c r="K2758" s="9"/>
      <c r="L2758" s="45">
        <v>93.8</v>
      </c>
      <c r="M2758" s="45">
        <v>93.8</v>
      </c>
    </row>
    <row r="2759">
      <c r="A2759" s="34" t="s">
        <v>70</v>
      </c>
      <c r="B2759" s="34" t="s">
        <v>1579</v>
      </c>
      <c r="C2759" s="34">
        <v>78.0</v>
      </c>
      <c r="D2759" s="34" t="s">
        <v>1580</v>
      </c>
      <c r="E2759" s="34" t="s">
        <v>6620</v>
      </c>
      <c r="F2759" s="34" t="s">
        <v>1554</v>
      </c>
      <c r="G2759" s="34">
        <v>78158.0</v>
      </c>
      <c r="H2759" s="34" t="s">
        <v>6621</v>
      </c>
      <c r="I2759" s="34" t="s">
        <v>17</v>
      </c>
      <c r="J2759" s="34" t="s">
        <v>15</v>
      </c>
      <c r="K2759" s="45">
        <v>145.7</v>
      </c>
      <c r="L2759" s="9"/>
      <c r="M2759" s="45">
        <v>145.7</v>
      </c>
    </row>
    <row r="2760">
      <c r="A2760" s="34" t="s">
        <v>70</v>
      </c>
      <c r="B2760" s="34" t="s">
        <v>1579</v>
      </c>
      <c r="C2760" s="34">
        <v>78.0</v>
      </c>
      <c r="D2760" s="34" t="s">
        <v>1580</v>
      </c>
      <c r="E2760" s="34" t="s">
        <v>6622</v>
      </c>
      <c r="F2760" s="34" t="s">
        <v>6623</v>
      </c>
      <c r="G2760" s="34">
        <v>78551.0</v>
      </c>
      <c r="H2760" s="34" t="s">
        <v>1592</v>
      </c>
      <c r="I2760" s="34" t="s">
        <v>17</v>
      </c>
      <c r="J2760" s="34" t="s">
        <v>15</v>
      </c>
      <c r="K2760" s="45">
        <v>148.9</v>
      </c>
      <c r="L2760" s="9"/>
      <c r="M2760" s="45">
        <v>148.9</v>
      </c>
    </row>
    <row r="2761">
      <c r="A2761" s="34" t="s">
        <v>70</v>
      </c>
      <c r="B2761" s="34" t="s">
        <v>1579</v>
      </c>
      <c r="C2761" s="34">
        <v>78.0</v>
      </c>
      <c r="D2761" s="34" t="s">
        <v>1580</v>
      </c>
      <c r="E2761" s="34" t="s">
        <v>6624</v>
      </c>
      <c r="F2761" s="34" t="s">
        <v>1617</v>
      </c>
      <c r="G2761" s="34">
        <v>78361.0</v>
      </c>
      <c r="H2761" s="34" t="s">
        <v>3478</v>
      </c>
      <c r="I2761" s="34" t="s">
        <v>17</v>
      </c>
      <c r="J2761" s="34" t="s">
        <v>15</v>
      </c>
      <c r="K2761" s="45">
        <v>140.2</v>
      </c>
      <c r="L2761" s="9"/>
      <c r="M2761" s="45">
        <v>140.2</v>
      </c>
    </row>
    <row r="2762">
      <c r="A2762" s="34" t="s">
        <v>70</v>
      </c>
      <c r="B2762" s="34" t="s">
        <v>1579</v>
      </c>
      <c r="C2762" s="34">
        <v>78.0</v>
      </c>
      <c r="D2762" s="34" t="s">
        <v>1580</v>
      </c>
      <c r="E2762" s="34" t="s">
        <v>6625</v>
      </c>
      <c r="F2762" s="34" t="s">
        <v>6626</v>
      </c>
      <c r="G2762" s="34">
        <v>78646.0</v>
      </c>
      <c r="H2762" s="34" t="s">
        <v>1579</v>
      </c>
      <c r="I2762" s="34" t="s">
        <v>17</v>
      </c>
      <c r="J2762" s="34" t="s">
        <v>15</v>
      </c>
      <c r="K2762" s="45">
        <v>126.3</v>
      </c>
      <c r="L2762" s="9"/>
      <c r="M2762" s="45">
        <v>126.3</v>
      </c>
    </row>
    <row r="2763">
      <c r="A2763" s="34" t="s">
        <v>70</v>
      </c>
      <c r="B2763" s="34" t="s">
        <v>1579</v>
      </c>
      <c r="C2763" s="34">
        <v>78.0</v>
      </c>
      <c r="D2763" s="34" t="s">
        <v>1580</v>
      </c>
      <c r="E2763" s="34" t="s">
        <v>6627</v>
      </c>
      <c r="F2763" s="34" t="s">
        <v>6628</v>
      </c>
      <c r="G2763" s="34">
        <v>78551.0</v>
      </c>
      <c r="H2763" s="34" t="s">
        <v>1592</v>
      </c>
      <c r="I2763" s="34" t="s">
        <v>18</v>
      </c>
      <c r="J2763" s="34" t="s">
        <v>15</v>
      </c>
      <c r="K2763" s="45">
        <v>151.1</v>
      </c>
      <c r="L2763" s="9"/>
      <c r="M2763" s="45">
        <v>151.1</v>
      </c>
    </row>
    <row r="2764">
      <c r="A2764" s="34" t="s">
        <v>70</v>
      </c>
      <c r="B2764" s="34" t="s">
        <v>284</v>
      </c>
      <c r="C2764" s="34">
        <v>79.0</v>
      </c>
      <c r="D2764" s="34" t="s">
        <v>1622</v>
      </c>
      <c r="E2764" s="34" t="s">
        <v>6629</v>
      </c>
      <c r="F2764" s="34" t="s">
        <v>6630</v>
      </c>
      <c r="G2764" s="34">
        <v>79174.0</v>
      </c>
      <c r="H2764" s="34" t="s">
        <v>6631</v>
      </c>
      <c r="I2764" s="34" t="s">
        <v>18</v>
      </c>
      <c r="J2764" s="34" t="s">
        <v>15</v>
      </c>
      <c r="K2764" s="45">
        <v>113.1</v>
      </c>
      <c r="L2764" s="9"/>
      <c r="M2764" s="45">
        <v>113.1</v>
      </c>
    </row>
    <row r="2765">
      <c r="A2765" s="34" t="s">
        <v>70</v>
      </c>
      <c r="B2765" s="34" t="s">
        <v>284</v>
      </c>
      <c r="C2765" s="34">
        <v>79.0</v>
      </c>
      <c r="D2765" s="34" t="s">
        <v>1622</v>
      </c>
      <c r="E2765" s="34" t="s">
        <v>6632</v>
      </c>
      <c r="F2765" s="34" t="s">
        <v>4342</v>
      </c>
      <c r="G2765" s="34">
        <v>79191.0</v>
      </c>
      <c r="H2765" s="34" t="s">
        <v>1625</v>
      </c>
      <c r="I2765" s="34" t="s">
        <v>18</v>
      </c>
      <c r="J2765" s="34" t="s">
        <v>15</v>
      </c>
      <c r="K2765" s="45">
        <v>123.0</v>
      </c>
      <c r="L2765" s="9"/>
      <c r="M2765" s="45">
        <v>123.0</v>
      </c>
    </row>
    <row r="2766">
      <c r="A2766" s="34" t="s">
        <v>70</v>
      </c>
      <c r="B2766" s="34" t="s">
        <v>88</v>
      </c>
      <c r="C2766" s="34">
        <v>80.0</v>
      </c>
      <c r="D2766" s="34" t="s">
        <v>1635</v>
      </c>
      <c r="E2766" s="34" t="s">
        <v>6633</v>
      </c>
      <c r="F2766" s="34" t="s">
        <v>363</v>
      </c>
      <c r="G2766" s="34">
        <v>80001.0</v>
      </c>
      <c r="H2766" s="34" t="s">
        <v>3488</v>
      </c>
      <c r="I2766" s="34" t="s">
        <v>17</v>
      </c>
      <c r="J2766" s="34" t="s">
        <v>15</v>
      </c>
      <c r="K2766" s="45">
        <v>118.4</v>
      </c>
      <c r="L2766" s="9"/>
      <c r="M2766" s="45">
        <v>118.4</v>
      </c>
    </row>
    <row r="2767">
      <c r="A2767" s="34" t="s">
        <v>70</v>
      </c>
      <c r="B2767" s="34" t="s">
        <v>88</v>
      </c>
      <c r="C2767" s="34">
        <v>80.0</v>
      </c>
      <c r="D2767" s="34" t="s">
        <v>1635</v>
      </c>
      <c r="E2767" s="34" t="s">
        <v>6634</v>
      </c>
      <c r="F2767" s="34" t="s">
        <v>6635</v>
      </c>
      <c r="G2767" s="34">
        <v>80253.0</v>
      </c>
      <c r="H2767" s="34" t="s">
        <v>5109</v>
      </c>
      <c r="I2767" s="34" t="s">
        <v>17</v>
      </c>
      <c r="J2767" s="34" t="s">
        <v>15</v>
      </c>
      <c r="K2767" s="45">
        <v>109.0</v>
      </c>
      <c r="L2767" s="9"/>
      <c r="M2767" s="45">
        <v>109.0</v>
      </c>
    </row>
    <row r="2768">
      <c r="A2768" s="34" t="s">
        <v>70</v>
      </c>
      <c r="B2768" s="34" t="s">
        <v>88</v>
      </c>
      <c r="C2768" s="34">
        <v>80.0</v>
      </c>
      <c r="D2768" s="34" t="s">
        <v>1635</v>
      </c>
      <c r="E2768" s="34" t="s">
        <v>6636</v>
      </c>
      <c r="F2768" s="34" t="s">
        <v>6637</v>
      </c>
      <c r="G2768" s="34">
        <v>80561.0</v>
      </c>
      <c r="H2768" s="34" t="s">
        <v>6638</v>
      </c>
      <c r="I2768" s="34" t="s">
        <v>18</v>
      </c>
      <c r="J2768" s="34" t="s">
        <v>14</v>
      </c>
      <c r="K2768" s="45">
        <v>97.3</v>
      </c>
      <c r="L2768" s="45">
        <v>74.3</v>
      </c>
      <c r="M2768" s="45">
        <v>90.5</v>
      </c>
    </row>
    <row r="2769">
      <c r="A2769" s="34" t="s">
        <v>70</v>
      </c>
      <c r="B2769" s="34" t="s">
        <v>88</v>
      </c>
      <c r="C2769" s="34">
        <v>80.0</v>
      </c>
      <c r="D2769" s="34" t="s">
        <v>1635</v>
      </c>
      <c r="E2769" s="34" t="s">
        <v>6639</v>
      </c>
      <c r="F2769" s="34" t="s">
        <v>6640</v>
      </c>
      <c r="G2769" s="34">
        <v>80021.0</v>
      </c>
      <c r="H2769" s="34" t="s">
        <v>88</v>
      </c>
      <c r="I2769" s="34" t="s">
        <v>18</v>
      </c>
      <c r="J2769" s="34" t="s">
        <v>14</v>
      </c>
      <c r="K2769" s="45">
        <v>89.4</v>
      </c>
      <c r="L2769" s="45">
        <v>77.0</v>
      </c>
      <c r="M2769" s="45">
        <v>86.9</v>
      </c>
    </row>
    <row r="2770">
      <c r="A2770" s="34" t="s">
        <v>70</v>
      </c>
      <c r="B2770" s="34" t="s">
        <v>88</v>
      </c>
      <c r="C2770" s="34">
        <v>80.0</v>
      </c>
      <c r="D2770" s="34" t="s">
        <v>1635</v>
      </c>
      <c r="E2770" s="34" t="s">
        <v>6641</v>
      </c>
      <c r="F2770" s="34" t="s">
        <v>6642</v>
      </c>
      <c r="G2770" s="34">
        <v>80001.0</v>
      </c>
      <c r="H2770" s="34" t="s">
        <v>3488</v>
      </c>
      <c r="I2770" s="34" t="s">
        <v>17</v>
      </c>
      <c r="J2770" s="34" t="s">
        <v>13</v>
      </c>
      <c r="K2770" s="9"/>
      <c r="L2770" s="45">
        <v>95.8</v>
      </c>
      <c r="M2770" s="45">
        <v>95.8</v>
      </c>
    </row>
    <row r="2771">
      <c r="A2771" s="34" t="s">
        <v>70</v>
      </c>
      <c r="B2771" s="34" t="s">
        <v>88</v>
      </c>
      <c r="C2771" s="34">
        <v>80.0</v>
      </c>
      <c r="D2771" s="34" t="s">
        <v>1635</v>
      </c>
      <c r="E2771" s="34" t="s">
        <v>6643</v>
      </c>
      <c r="F2771" s="34" t="s">
        <v>6644</v>
      </c>
      <c r="G2771" s="34">
        <v>80021.0</v>
      </c>
      <c r="H2771" s="34" t="s">
        <v>88</v>
      </c>
      <c r="I2771" s="34" t="s">
        <v>17</v>
      </c>
      <c r="J2771" s="34" t="s">
        <v>13</v>
      </c>
      <c r="K2771" s="9"/>
      <c r="L2771" s="45">
        <v>79.4</v>
      </c>
      <c r="M2771" s="45">
        <v>79.4</v>
      </c>
    </row>
    <row r="2772">
      <c r="A2772" s="34" t="s">
        <v>70</v>
      </c>
      <c r="B2772" s="34" t="s">
        <v>88</v>
      </c>
      <c r="C2772" s="34">
        <v>80.0</v>
      </c>
      <c r="D2772" s="34" t="s">
        <v>1635</v>
      </c>
      <c r="E2772" s="34" t="s">
        <v>6645</v>
      </c>
      <c r="F2772" s="34" t="s">
        <v>5111</v>
      </c>
      <c r="G2772" s="34">
        <v>80620.0</v>
      </c>
      <c r="H2772" s="34" t="s">
        <v>1640</v>
      </c>
      <c r="I2772" s="34" t="s">
        <v>17</v>
      </c>
      <c r="J2772" s="34" t="s">
        <v>13</v>
      </c>
      <c r="K2772" s="9"/>
      <c r="L2772" s="45">
        <v>78.7</v>
      </c>
      <c r="M2772" s="45">
        <v>78.7</v>
      </c>
    </row>
    <row r="2773">
      <c r="A2773" s="34" t="s">
        <v>70</v>
      </c>
      <c r="B2773" s="34" t="s">
        <v>182</v>
      </c>
      <c r="C2773" s="34">
        <v>81.0</v>
      </c>
      <c r="D2773" s="34" t="s">
        <v>1650</v>
      </c>
      <c r="E2773" s="34" t="s">
        <v>6646</v>
      </c>
      <c r="F2773" s="34" t="s">
        <v>1402</v>
      </c>
      <c r="G2773" s="34">
        <v>81004.0</v>
      </c>
      <c r="H2773" s="34" t="s">
        <v>1653</v>
      </c>
      <c r="I2773" s="34" t="s">
        <v>18</v>
      </c>
      <c r="J2773" s="34" t="s">
        <v>15</v>
      </c>
      <c r="K2773" s="45">
        <v>122.5</v>
      </c>
      <c r="L2773" s="9"/>
      <c r="M2773" s="45">
        <v>122.5</v>
      </c>
    </row>
    <row r="2774">
      <c r="A2774" s="34" t="s">
        <v>70</v>
      </c>
      <c r="B2774" s="34" t="s">
        <v>182</v>
      </c>
      <c r="C2774" s="34">
        <v>81.0</v>
      </c>
      <c r="D2774" s="34" t="s">
        <v>1650</v>
      </c>
      <c r="E2774" s="34" t="s">
        <v>6647</v>
      </c>
      <c r="F2774" s="34" t="s">
        <v>6648</v>
      </c>
      <c r="G2774" s="34">
        <v>81060.0</v>
      </c>
      <c r="H2774" s="34" t="s">
        <v>6649</v>
      </c>
      <c r="I2774" s="34" t="s">
        <v>18</v>
      </c>
      <c r="J2774" s="34" t="s">
        <v>14</v>
      </c>
      <c r="K2774" s="45">
        <v>107.9</v>
      </c>
      <c r="L2774" s="45">
        <v>88.2</v>
      </c>
      <c r="M2774" s="45">
        <v>98.9</v>
      </c>
    </row>
    <row r="2775">
      <c r="A2775" s="34" t="s">
        <v>70</v>
      </c>
      <c r="B2775" s="34" t="s">
        <v>182</v>
      </c>
      <c r="C2775" s="34">
        <v>81.0</v>
      </c>
      <c r="D2775" s="34" t="s">
        <v>1650</v>
      </c>
      <c r="E2775" s="34" t="s">
        <v>6650</v>
      </c>
      <c r="F2775" s="34" t="s">
        <v>6651</v>
      </c>
      <c r="G2775" s="34">
        <v>81163.0</v>
      </c>
      <c r="H2775" s="34" t="s">
        <v>1664</v>
      </c>
      <c r="I2775" s="34" t="s">
        <v>18</v>
      </c>
      <c r="J2775" s="34" t="s">
        <v>15</v>
      </c>
      <c r="K2775" s="45">
        <v>104.6</v>
      </c>
      <c r="L2775" s="9"/>
      <c r="M2775" s="45">
        <v>104.6</v>
      </c>
    </row>
    <row r="2776">
      <c r="A2776" s="34" t="s">
        <v>70</v>
      </c>
      <c r="B2776" s="34" t="s">
        <v>182</v>
      </c>
      <c r="C2776" s="34">
        <v>81.0</v>
      </c>
      <c r="D2776" s="34" t="s">
        <v>1650</v>
      </c>
      <c r="E2776" s="34" t="s">
        <v>6652</v>
      </c>
      <c r="F2776" s="34" t="s">
        <v>6653</v>
      </c>
      <c r="G2776" s="34">
        <v>81163.0</v>
      </c>
      <c r="H2776" s="34" t="s">
        <v>1664</v>
      </c>
      <c r="I2776" s="34" t="s">
        <v>17</v>
      </c>
      <c r="J2776" s="34" t="s">
        <v>15</v>
      </c>
      <c r="K2776" s="45">
        <v>106.6</v>
      </c>
      <c r="L2776" s="9"/>
      <c r="M2776" s="45">
        <v>106.6</v>
      </c>
    </row>
    <row r="2777">
      <c r="A2777" s="34" t="s">
        <v>70</v>
      </c>
      <c r="B2777" s="34" t="s">
        <v>182</v>
      </c>
      <c r="C2777" s="34">
        <v>81.0</v>
      </c>
      <c r="D2777" s="34" t="s">
        <v>1650</v>
      </c>
      <c r="E2777" s="34" t="s">
        <v>6654</v>
      </c>
      <c r="F2777" s="34" t="s">
        <v>6655</v>
      </c>
      <c r="G2777" s="34">
        <v>81004.0</v>
      </c>
      <c r="H2777" s="34" t="s">
        <v>1653</v>
      </c>
      <c r="I2777" s="34" t="s">
        <v>17</v>
      </c>
      <c r="J2777" s="34" t="s">
        <v>15</v>
      </c>
      <c r="K2777" s="45">
        <v>104.3</v>
      </c>
      <c r="L2777" s="9"/>
      <c r="M2777" s="45">
        <v>104.3</v>
      </c>
    </row>
    <row r="2778">
      <c r="A2778" s="34" t="s">
        <v>70</v>
      </c>
      <c r="B2778" s="34" t="s">
        <v>182</v>
      </c>
      <c r="C2778" s="34">
        <v>81.0</v>
      </c>
      <c r="D2778" s="34" t="s">
        <v>1650</v>
      </c>
      <c r="E2778" s="34" t="s">
        <v>6656</v>
      </c>
      <c r="F2778" s="34" t="s">
        <v>6657</v>
      </c>
      <c r="G2778" s="34">
        <v>81004.0</v>
      </c>
      <c r="H2778" s="34" t="s">
        <v>1653</v>
      </c>
      <c r="I2778" s="34" t="s">
        <v>17</v>
      </c>
      <c r="J2778" s="34" t="s">
        <v>13</v>
      </c>
      <c r="K2778" s="9"/>
      <c r="L2778" s="45">
        <v>93.4</v>
      </c>
      <c r="M2778" s="45">
        <v>93.4</v>
      </c>
    </row>
    <row r="2779">
      <c r="A2779" s="34" t="s">
        <v>70</v>
      </c>
      <c r="B2779" s="34" t="s">
        <v>182</v>
      </c>
      <c r="C2779" s="34">
        <v>81.0</v>
      </c>
      <c r="D2779" s="34" t="s">
        <v>1650</v>
      </c>
      <c r="E2779" s="34" t="s">
        <v>6658</v>
      </c>
      <c r="F2779" s="34" t="s">
        <v>6659</v>
      </c>
      <c r="G2779" s="34">
        <v>81065.0</v>
      </c>
      <c r="H2779" s="34" t="s">
        <v>1659</v>
      </c>
      <c r="I2779" s="34" t="s">
        <v>17</v>
      </c>
      <c r="J2779" s="34" t="s">
        <v>13</v>
      </c>
      <c r="K2779" s="9"/>
      <c r="L2779" s="45">
        <v>94.7</v>
      </c>
      <c r="M2779" s="45">
        <v>94.7</v>
      </c>
    </row>
    <row r="2780">
      <c r="A2780" s="34" t="s">
        <v>70</v>
      </c>
      <c r="B2780" s="34" t="s">
        <v>182</v>
      </c>
      <c r="C2780" s="34">
        <v>81.0</v>
      </c>
      <c r="D2780" s="34" t="s">
        <v>1650</v>
      </c>
      <c r="E2780" s="34" t="s">
        <v>6660</v>
      </c>
      <c r="F2780" s="34" t="s">
        <v>6661</v>
      </c>
      <c r="G2780" s="34">
        <v>81065.0</v>
      </c>
      <c r="H2780" s="34" t="s">
        <v>1659</v>
      </c>
      <c r="I2780" s="34" t="s">
        <v>17</v>
      </c>
      <c r="J2780" s="34" t="s">
        <v>13</v>
      </c>
      <c r="K2780" s="9"/>
      <c r="L2780" s="45">
        <v>90.8</v>
      </c>
      <c r="M2780" s="45">
        <v>90.8</v>
      </c>
    </row>
    <row r="2781">
      <c r="A2781" s="34" t="s">
        <v>70</v>
      </c>
      <c r="B2781" s="34" t="s">
        <v>182</v>
      </c>
      <c r="C2781" s="34">
        <v>82.0</v>
      </c>
      <c r="D2781" s="34" t="s">
        <v>1665</v>
      </c>
      <c r="E2781" s="34" t="s">
        <v>6662</v>
      </c>
      <c r="F2781" s="34" t="s">
        <v>6663</v>
      </c>
      <c r="G2781" s="34">
        <v>82121.0</v>
      </c>
      <c r="H2781" s="34" t="s">
        <v>1674</v>
      </c>
      <c r="I2781" s="34" t="s">
        <v>17</v>
      </c>
      <c r="J2781" s="34" t="s">
        <v>15</v>
      </c>
      <c r="K2781" s="45">
        <v>122.6</v>
      </c>
      <c r="L2781" s="9"/>
      <c r="M2781" s="45">
        <v>122.6</v>
      </c>
    </row>
    <row r="2782">
      <c r="A2782" s="34" t="s">
        <v>70</v>
      </c>
      <c r="B2782" s="34" t="s">
        <v>134</v>
      </c>
      <c r="C2782" s="34">
        <v>83.0</v>
      </c>
      <c r="D2782" s="34" t="s">
        <v>1678</v>
      </c>
      <c r="E2782" s="34" t="s">
        <v>6664</v>
      </c>
      <c r="F2782" s="34" t="s">
        <v>6665</v>
      </c>
      <c r="G2782" s="34">
        <v>83023.0</v>
      </c>
      <c r="H2782" s="34" t="s">
        <v>6666</v>
      </c>
      <c r="I2782" s="34" t="s">
        <v>18</v>
      </c>
      <c r="J2782" s="34" t="s">
        <v>14</v>
      </c>
      <c r="K2782" s="45">
        <v>109.9</v>
      </c>
      <c r="L2782" s="45">
        <v>90.7</v>
      </c>
      <c r="M2782" s="45">
        <v>106.3</v>
      </c>
    </row>
    <row r="2783">
      <c r="A2783" s="34" t="s">
        <v>70</v>
      </c>
      <c r="B2783" s="34" t="s">
        <v>134</v>
      </c>
      <c r="C2783" s="34">
        <v>83.0</v>
      </c>
      <c r="D2783" s="34" t="s">
        <v>1678</v>
      </c>
      <c r="E2783" s="34" t="s">
        <v>6667</v>
      </c>
      <c r="F2783" s="34" t="s">
        <v>3135</v>
      </c>
      <c r="G2783" s="34">
        <v>83050.0</v>
      </c>
      <c r="H2783" s="34" t="s">
        <v>1680</v>
      </c>
      <c r="I2783" s="34" t="s">
        <v>18</v>
      </c>
      <c r="J2783" s="34" t="s">
        <v>13</v>
      </c>
      <c r="K2783" s="9"/>
      <c r="L2783" s="45">
        <v>86.2</v>
      </c>
      <c r="M2783" s="45">
        <v>86.2</v>
      </c>
    </row>
    <row r="2784">
      <c r="A2784" s="34" t="s">
        <v>70</v>
      </c>
      <c r="B2784" s="34" t="s">
        <v>134</v>
      </c>
      <c r="C2784" s="34">
        <v>83.0</v>
      </c>
      <c r="D2784" s="34" t="s">
        <v>1678</v>
      </c>
      <c r="E2784" s="34" t="s">
        <v>6668</v>
      </c>
      <c r="F2784" s="34" t="s">
        <v>6669</v>
      </c>
      <c r="G2784" s="34">
        <v>83069.0</v>
      </c>
      <c r="H2784" s="34" t="s">
        <v>6670</v>
      </c>
      <c r="I2784" s="34" t="s">
        <v>18</v>
      </c>
      <c r="J2784" s="34" t="s">
        <v>15</v>
      </c>
      <c r="K2784" s="45">
        <v>110.3</v>
      </c>
      <c r="L2784" s="9"/>
      <c r="M2784" s="45">
        <v>110.3</v>
      </c>
    </row>
    <row r="2785">
      <c r="A2785" s="34" t="s">
        <v>70</v>
      </c>
      <c r="B2785" s="34" t="s">
        <v>134</v>
      </c>
      <c r="C2785" s="34">
        <v>83.0</v>
      </c>
      <c r="D2785" s="34" t="s">
        <v>1678</v>
      </c>
      <c r="E2785" s="34" t="s">
        <v>6671</v>
      </c>
      <c r="F2785" s="34" t="s">
        <v>6672</v>
      </c>
      <c r="G2785" s="34">
        <v>83023.0</v>
      </c>
      <c r="H2785" s="34" t="s">
        <v>6666</v>
      </c>
      <c r="I2785" s="34" t="s">
        <v>17</v>
      </c>
      <c r="J2785" s="34" t="s">
        <v>14</v>
      </c>
      <c r="K2785" s="45">
        <v>124.2</v>
      </c>
      <c r="L2785" s="45">
        <v>102.3</v>
      </c>
      <c r="M2785" s="45">
        <v>117.3</v>
      </c>
    </row>
    <row r="2786">
      <c r="A2786" s="34" t="s">
        <v>70</v>
      </c>
      <c r="B2786" s="34" t="s">
        <v>129</v>
      </c>
      <c r="C2786" s="34">
        <v>84.0</v>
      </c>
      <c r="D2786" s="34" t="s">
        <v>1704</v>
      </c>
      <c r="E2786" s="34" t="s">
        <v>6673</v>
      </c>
      <c r="F2786" s="34" t="s">
        <v>167</v>
      </c>
      <c r="G2786" s="34">
        <v>84003.0</v>
      </c>
      <c r="H2786" s="34" t="s">
        <v>6674</v>
      </c>
      <c r="I2786" s="34" t="s">
        <v>18</v>
      </c>
      <c r="J2786" s="34" t="s">
        <v>14</v>
      </c>
      <c r="K2786" s="45">
        <v>107.9</v>
      </c>
      <c r="L2786" s="45">
        <v>90.0</v>
      </c>
      <c r="M2786" s="45">
        <v>103.2</v>
      </c>
    </row>
    <row r="2787">
      <c r="A2787" s="34" t="s">
        <v>70</v>
      </c>
      <c r="B2787" s="34" t="s">
        <v>129</v>
      </c>
      <c r="C2787" s="34">
        <v>84.0</v>
      </c>
      <c r="D2787" s="34" t="s">
        <v>1704</v>
      </c>
      <c r="E2787" s="34" t="s">
        <v>6675</v>
      </c>
      <c r="F2787" s="34" t="s">
        <v>6676</v>
      </c>
      <c r="G2787" s="34">
        <v>84007.0</v>
      </c>
      <c r="H2787" s="34" t="s">
        <v>1707</v>
      </c>
      <c r="I2787" s="34" t="s">
        <v>18</v>
      </c>
      <c r="J2787" s="34" t="s">
        <v>15</v>
      </c>
      <c r="K2787" s="45">
        <v>111.4</v>
      </c>
      <c r="L2787" s="9"/>
      <c r="M2787" s="45">
        <v>111.4</v>
      </c>
    </row>
    <row r="2788">
      <c r="A2788" s="34" t="s">
        <v>70</v>
      </c>
      <c r="B2788" s="34" t="s">
        <v>129</v>
      </c>
      <c r="C2788" s="34">
        <v>84.0</v>
      </c>
      <c r="D2788" s="34" t="s">
        <v>1704</v>
      </c>
      <c r="E2788" s="34" t="s">
        <v>6677</v>
      </c>
      <c r="F2788" s="34" t="s">
        <v>6678</v>
      </c>
      <c r="G2788" s="34">
        <v>84007.0</v>
      </c>
      <c r="H2788" s="34" t="s">
        <v>1707</v>
      </c>
      <c r="I2788" s="34" t="s">
        <v>18</v>
      </c>
      <c r="J2788" s="34" t="s">
        <v>15</v>
      </c>
      <c r="K2788" s="45">
        <v>81.0</v>
      </c>
      <c r="L2788" s="9"/>
      <c r="M2788" s="45">
        <v>81.0</v>
      </c>
    </row>
    <row r="2789">
      <c r="A2789" s="34" t="s">
        <v>70</v>
      </c>
      <c r="B2789" s="34" t="s">
        <v>129</v>
      </c>
      <c r="C2789" s="34">
        <v>84.0</v>
      </c>
      <c r="D2789" s="34" t="s">
        <v>1704</v>
      </c>
      <c r="E2789" s="34" t="s">
        <v>6679</v>
      </c>
      <c r="F2789" s="34" t="s">
        <v>6680</v>
      </c>
      <c r="G2789" s="34">
        <v>84087.0</v>
      </c>
      <c r="H2789" s="34" t="s">
        <v>3546</v>
      </c>
      <c r="I2789" s="34" t="s">
        <v>18</v>
      </c>
      <c r="J2789" s="34" t="s">
        <v>13</v>
      </c>
      <c r="K2789" s="9"/>
      <c r="L2789" s="45">
        <v>77.2</v>
      </c>
      <c r="M2789" s="45">
        <v>77.2</v>
      </c>
    </row>
    <row r="2790">
      <c r="A2790" s="34" t="s">
        <v>70</v>
      </c>
      <c r="B2790" s="34" t="s">
        <v>129</v>
      </c>
      <c r="C2790" s="34">
        <v>84.0</v>
      </c>
      <c r="D2790" s="34" t="s">
        <v>1704</v>
      </c>
      <c r="E2790" s="34" t="s">
        <v>6681</v>
      </c>
      <c r="F2790" s="34" t="s">
        <v>6682</v>
      </c>
      <c r="G2790" s="34">
        <v>84031.0</v>
      </c>
      <c r="H2790" s="34" t="s">
        <v>6683</v>
      </c>
      <c r="I2790" s="34" t="s">
        <v>17</v>
      </c>
      <c r="J2790" s="34" t="s">
        <v>15</v>
      </c>
      <c r="K2790" s="45">
        <v>123.0</v>
      </c>
      <c r="L2790" s="9"/>
      <c r="M2790" s="45">
        <v>123.0</v>
      </c>
    </row>
    <row r="2791">
      <c r="A2791" s="34" t="s">
        <v>70</v>
      </c>
      <c r="B2791" s="34" t="s">
        <v>129</v>
      </c>
      <c r="C2791" s="34">
        <v>84.0</v>
      </c>
      <c r="D2791" s="34" t="s">
        <v>1704</v>
      </c>
      <c r="E2791" s="34" t="s">
        <v>6684</v>
      </c>
      <c r="F2791" s="34" t="s">
        <v>6685</v>
      </c>
      <c r="G2791" s="34">
        <v>84087.0</v>
      </c>
      <c r="H2791" s="34" t="s">
        <v>3546</v>
      </c>
      <c r="I2791" s="34" t="s">
        <v>18</v>
      </c>
      <c r="J2791" s="34" t="s">
        <v>13</v>
      </c>
      <c r="K2791" s="9"/>
      <c r="L2791" s="45">
        <v>88.1</v>
      </c>
      <c r="M2791" s="45">
        <v>88.1</v>
      </c>
    </row>
    <row r="2792">
      <c r="A2792" s="34" t="s">
        <v>70</v>
      </c>
      <c r="B2792" s="34" t="s">
        <v>129</v>
      </c>
      <c r="C2792" s="34">
        <v>84.0</v>
      </c>
      <c r="D2792" s="34" t="s">
        <v>1704</v>
      </c>
      <c r="E2792" s="34" t="s">
        <v>6686</v>
      </c>
      <c r="F2792" s="34" t="s">
        <v>6687</v>
      </c>
      <c r="G2792" s="34">
        <v>84129.0</v>
      </c>
      <c r="H2792" s="34" t="s">
        <v>6688</v>
      </c>
      <c r="I2792" s="34" t="s">
        <v>18</v>
      </c>
      <c r="J2792" s="34" t="s">
        <v>13</v>
      </c>
      <c r="K2792" s="9"/>
      <c r="L2792" s="45">
        <v>79.5</v>
      </c>
      <c r="M2792" s="45">
        <v>79.5</v>
      </c>
    </row>
    <row r="2793">
      <c r="A2793" s="34" t="s">
        <v>70</v>
      </c>
      <c r="B2793" s="34" t="s">
        <v>129</v>
      </c>
      <c r="C2793" s="34">
        <v>84.0</v>
      </c>
      <c r="D2793" s="34" t="s">
        <v>1704</v>
      </c>
      <c r="E2793" s="34" t="s">
        <v>6689</v>
      </c>
      <c r="F2793" s="34" t="s">
        <v>6690</v>
      </c>
      <c r="G2793" s="34">
        <v>84019.0</v>
      </c>
      <c r="H2793" s="34" t="s">
        <v>6691</v>
      </c>
      <c r="I2793" s="34" t="s">
        <v>18</v>
      </c>
      <c r="J2793" s="34" t="s">
        <v>15</v>
      </c>
      <c r="K2793" s="45">
        <v>105.0</v>
      </c>
      <c r="L2793" s="9"/>
      <c r="M2793" s="45">
        <v>105.0</v>
      </c>
    </row>
    <row r="2794">
      <c r="A2794" s="34" t="s">
        <v>70</v>
      </c>
      <c r="B2794" s="34" t="s">
        <v>129</v>
      </c>
      <c r="C2794" s="34">
        <v>84.0</v>
      </c>
      <c r="D2794" s="34" t="s">
        <v>1704</v>
      </c>
      <c r="E2794" s="34" t="s">
        <v>6692</v>
      </c>
      <c r="F2794" s="34" t="s">
        <v>6693</v>
      </c>
      <c r="G2794" s="34">
        <v>84138.0</v>
      </c>
      <c r="H2794" s="34" t="s">
        <v>6694</v>
      </c>
      <c r="I2794" s="34" t="s">
        <v>17</v>
      </c>
      <c r="J2794" s="34" t="s">
        <v>15</v>
      </c>
      <c r="K2794" s="45">
        <v>101.8</v>
      </c>
      <c r="L2794" s="9"/>
      <c r="M2794" s="45">
        <v>101.8</v>
      </c>
    </row>
    <row r="2795">
      <c r="A2795" s="34" t="s">
        <v>70</v>
      </c>
      <c r="B2795" s="34" t="s">
        <v>779</v>
      </c>
      <c r="C2795" s="34">
        <v>85.0</v>
      </c>
      <c r="D2795" s="34" t="s">
        <v>1708</v>
      </c>
      <c r="E2795" s="34" t="s">
        <v>6695</v>
      </c>
      <c r="F2795" s="34" t="s">
        <v>6696</v>
      </c>
      <c r="G2795" s="34">
        <v>85191.0</v>
      </c>
      <c r="H2795" s="34" t="s">
        <v>1725</v>
      </c>
      <c r="I2795" s="34" t="s">
        <v>18</v>
      </c>
      <c r="J2795" s="34" t="s">
        <v>14</v>
      </c>
      <c r="K2795" s="45">
        <v>114.5</v>
      </c>
      <c r="L2795" s="45">
        <v>93.4</v>
      </c>
      <c r="M2795" s="45">
        <v>103.4</v>
      </c>
    </row>
    <row r="2796">
      <c r="A2796" s="34" t="s">
        <v>70</v>
      </c>
      <c r="B2796" s="34" t="s">
        <v>779</v>
      </c>
      <c r="C2796" s="34">
        <v>85.0</v>
      </c>
      <c r="D2796" s="34" t="s">
        <v>1708</v>
      </c>
      <c r="E2796" s="34" t="s">
        <v>6697</v>
      </c>
      <c r="F2796" s="34" t="s">
        <v>1379</v>
      </c>
      <c r="G2796" s="34">
        <v>85092.0</v>
      </c>
      <c r="H2796" s="34" t="s">
        <v>3567</v>
      </c>
      <c r="I2796" s="34" t="s">
        <v>18</v>
      </c>
      <c r="J2796" s="34" t="s">
        <v>14</v>
      </c>
      <c r="K2796" s="45">
        <v>108.6</v>
      </c>
      <c r="L2796" s="45">
        <v>81.9</v>
      </c>
      <c r="M2796" s="45">
        <v>102.0</v>
      </c>
    </row>
    <row r="2797">
      <c r="A2797" s="34" t="s">
        <v>70</v>
      </c>
      <c r="B2797" s="34" t="s">
        <v>779</v>
      </c>
      <c r="C2797" s="34">
        <v>85.0</v>
      </c>
      <c r="D2797" s="34" t="s">
        <v>1708</v>
      </c>
      <c r="E2797" s="34" t="s">
        <v>6698</v>
      </c>
      <c r="F2797" s="34" t="s">
        <v>6699</v>
      </c>
      <c r="G2797" s="34">
        <v>85238.0</v>
      </c>
      <c r="H2797" s="34" t="s">
        <v>6700</v>
      </c>
      <c r="I2797" s="34" t="s">
        <v>17</v>
      </c>
      <c r="J2797" s="34" t="s">
        <v>15</v>
      </c>
      <c r="K2797" s="45">
        <v>119.9</v>
      </c>
      <c r="L2797" s="9"/>
      <c r="M2797" s="45">
        <v>119.9</v>
      </c>
    </row>
    <row r="2798">
      <c r="A2798" s="34" t="s">
        <v>70</v>
      </c>
      <c r="B2798" s="34" t="s">
        <v>284</v>
      </c>
      <c r="C2798" s="34">
        <v>86.0</v>
      </c>
      <c r="D2798" s="34" t="s">
        <v>695</v>
      </c>
      <c r="E2798" s="34" t="s">
        <v>6701</v>
      </c>
      <c r="F2798" s="34" t="s">
        <v>6702</v>
      </c>
      <c r="G2798" s="34">
        <v>86078.0</v>
      </c>
      <c r="H2798" s="34" t="s">
        <v>3575</v>
      </c>
      <c r="I2798" s="34" t="s">
        <v>18</v>
      </c>
      <c r="J2798" s="34" t="s">
        <v>13</v>
      </c>
      <c r="K2798" s="9"/>
      <c r="L2798" s="45">
        <v>83.2</v>
      </c>
      <c r="M2798" s="45">
        <v>83.2</v>
      </c>
    </row>
    <row r="2799">
      <c r="A2799" s="34" t="s">
        <v>70</v>
      </c>
      <c r="B2799" s="34" t="s">
        <v>284</v>
      </c>
      <c r="C2799" s="34">
        <v>86.0</v>
      </c>
      <c r="D2799" s="34" t="s">
        <v>695</v>
      </c>
      <c r="E2799" s="34" t="s">
        <v>6703</v>
      </c>
      <c r="F2799" s="34" t="s">
        <v>6704</v>
      </c>
      <c r="G2799" s="34">
        <v>86194.0</v>
      </c>
      <c r="H2799" s="34" t="s">
        <v>284</v>
      </c>
      <c r="I2799" s="34" t="s">
        <v>17</v>
      </c>
      <c r="J2799" s="34" t="s">
        <v>15</v>
      </c>
      <c r="K2799" s="45">
        <v>124.8</v>
      </c>
      <c r="L2799" s="9"/>
      <c r="M2799" s="45">
        <v>124.8</v>
      </c>
    </row>
    <row r="2800">
      <c r="A2800" s="34" t="s">
        <v>70</v>
      </c>
      <c r="B2800" s="34" t="s">
        <v>322</v>
      </c>
      <c r="C2800" s="34">
        <v>87.0</v>
      </c>
      <c r="D2800" s="34" t="s">
        <v>1736</v>
      </c>
      <c r="E2800" s="34" t="s">
        <v>6705</v>
      </c>
      <c r="F2800" s="34" t="s">
        <v>6706</v>
      </c>
      <c r="G2800" s="34">
        <v>87011.0</v>
      </c>
      <c r="H2800" s="34" t="s">
        <v>6707</v>
      </c>
      <c r="I2800" s="34" t="s">
        <v>18</v>
      </c>
      <c r="J2800" s="34" t="s">
        <v>15</v>
      </c>
      <c r="K2800" s="45">
        <v>103.9</v>
      </c>
      <c r="L2800" s="9"/>
      <c r="M2800" s="45">
        <v>103.9</v>
      </c>
    </row>
    <row r="2801">
      <c r="A2801" s="34" t="s">
        <v>70</v>
      </c>
      <c r="B2801" s="34" t="s">
        <v>322</v>
      </c>
      <c r="C2801" s="34">
        <v>87.0</v>
      </c>
      <c r="D2801" s="34" t="s">
        <v>1736</v>
      </c>
      <c r="E2801" s="34" t="s">
        <v>6708</v>
      </c>
      <c r="F2801" s="34" t="s">
        <v>6709</v>
      </c>
      <c r="G2801" s="34">
        <v>87085.0</v>
      </c>
      <c r="H2801" s="34" t="s">
        <v>322</v>
      </c>
      <c r="I2801" s="34" t="s">
        <v>18</v>
      </c>
      <c r="J2801" s="34" t="s">
        <v>15</v>
      </c>
      <c r="K2801" s="45">
        <v>125.9</v>
      </c>
      <c r="L2801" s="9"/>
      <c r="M2801" s="45">
        <v>125.9</v>
      </c>
    </row>
    <row r="2802">
      <c r="A2802" s="34" t="s">
        <v>70</v>
      </c>
      <c r="B2802" s="34" t="s">
        <v>322</v>
      </c>
      <c r="C2802" s="34">
        <v>87.0</v>
      </c>
      <c r="D2802" s="34" t="s">
        <v>1736</v>
      </c>
      <c r="E2802" s="34" t="s">
        <v>6710</v>
      </c>
      <c r="F2802" s="34" t="s">
        <v>6711</v>
      </c>
      <c r="G2802" s="34">
        <v>87154.0</v>
      </c>
      <c r="H2802" s="34" t="s">
        <v>3588</v>
      </c>
      <c r="I2802" s="34" t="s">
        <v>18</v>
      </c>
      <c r="J2802" s="34" t="s">
        <v>15</v>
      </c>
      <c r="K2802" s="45">
        <v>112.3</v>
      </c>
      <c r="L2802" s="9"/>
      <c r="M2802" s="45">
        <v>112.3</v>
      </c>
    </row>
    <row r="2803">
      <c r="A2803" s="34" t="s">
        <v>70</v>
      </c>
      <c r="B2803" s="34" t="s">
        <v>322</v>
      </c>
      <c r="C2803" s="34">
        <v>87.0</v>
      </c>
      <c r="D2803" s="34" t="s">
        <v>1736</v>
      </c>
      <c r="E2803" s="34" t="s">
        <v>6712</v>
      </c>
      <c r="F2803" s="34" t="s">
        <v>6713</v>
      </c>
      <c r="G2803" s="34">
        <v>87161.0</v>
      </c>
      <c r="H2803" s="34" t="s">
        <v>6714</v>
      </c>
      <c r="I2803" s="34" t="s">
        <v>18</v>
      </c>
      <c r="J2803" s="34" t="s">
        <v>15</v>
      </c>
      <c r="K2803" s="45">
        <v>117.1</v>
      </c>
      <c r="L2803" s="9"/>
      <c r="M2803" s="45">
        <v>117.1</v>
      </c>
    </row>
    <row r="2804">
      <c r="A2804" s="34" t="s">
        <v>70</v>
      </c>
      <c r="B2804" s="34" t="s">
        <v>322</v>
      </c>
      <c r="C2804" s="34">
        <v>87.0</v>
      </c>
      <c r="D2804" s="34" t="s">
        <v>1736</v>
      </c>
      <c r="E2804" s="34" t="s">
        <v>6715</v>
      </c>
      <c r="F2804" s="34" t="s">
        <v>6716</v>
      </c>
      <c r="G2804" s="34">
        <v>87187.0</v>
      </c>
      <c r="H2804" s="34" t="s">
        <v>5179</v>
      </c>
      <c r="I2804" s="34" t="s">
        <v>18</v>
      </c>
      <c r="J2804" s="34" t="s">
        <v>13</v>
      </c>
      <c r="K2804" s="9"/>
      <c r="L2804" s="45">
        <v>72.0</v>
      </c>
      <c r="M2804" s="45">
        <v>72.0</v>
      </c>
    </row>
    <row r="2805">
      <c r="A2805" s="34" t="s">
        <v>70</v>
      </c>
      <c r="B2805" s="34" t="s">
        <v>322</v>
      </c>
      <c r="C2805" s="34">
        <v>87.0</v>
      </c>
      <c r="D2805" s="34" t="s">
        <v>1736</v>
      </c>
      <c r="E2805" s="34" t="s">
        <v>6717</v>
      </c>
      <c r="F2805" s="34" t="s">
        <v>6718</v>
      </c>
      <c r="G2805" s="34">
        <v>87085.0</v>
      </c>
      <c r="H2805" s="34" t="s">
        <v>322</v>
      </c>
      <c r="I2805" s="34" t="s">
        <v>18</v>
      </c>
      <c r="J2805" s="34" t="s">
        <v>13</v>
      </c>
      <c r="K2805" s="9"/>
      <c r="L2805" s="45">
        <v>75.1</v>
      </c>
      <c r="M2805" s="45">
        <v>75.1</v>
      </c>
    </row>
    <row r="2806">
      <c r="A2806" s="34" t="s">
        <v>70</v>
      </c>
      <c r="B2806" s="34" t="s">
        <v>322</v>
      </c>
      <c r="C2806" s="34">
        <v>87.0</v>
      </c>
      <c r="D2806" s="34" t="s">
        <v>1736</v>
      </c>
      <c r="E2806" s="34" t="s">
        <v>6719</v>
      </c>
      <c r="F2806" s="34" t="s">
        <v>6720</v>
      </c>
      <c r="G2806" s="34">
        <v>87085.0</v>
      </c>
      <c r="H2806" s="34" t="s">
        <v>322</v>
      </c>
      <c r="I2806" s="34" t="s">
        <v>17</v>
      </c>
      <c r="J2806" s="34" t="s">
        <v>15</v>
      </c>
      <c r="K2806" s="45">
        <v>129.6</v>
      </c>
      <c r="L2806" s="9"/>
      <c r="M2806" s="45">
        <v>129.6</v>
      </c>
    </row>
    <row r="2807">
      <c r="A2807" s="34" t="s">
        <v>70</v>
      </c>
      <c r="B2807" s="34" t="s">
        <v>322</v>
      </c>
      <c r="C2807" s="34">
        <v>87.0</v>
      </c>
      <c r="D2807" s="34" t="s">
        <v>1736</v>
      </c>
      <c r="E2807" s="34" t="s">
        <v>6721</v>
      </c>
      <c r="F2807" s="34" t="s">
        <v>6722</v>
      </c>
      <c r="G2807" s="34">
        <v>87085.0</v>
      </c>
      <c r="H2807" s="34" t="s">
        <v>322</v>
      </c>
      <c r="I2807" s="34" t="s">
        <v>18</v>
      </c>
      <c r="J2807" s="34" t="s">
        <v>13</v>
      </c>
      <c r="K2807" s="9"/>
      <c r="L2807" s="45">
        <v>85.1</v>
      </c>
      <c r="M2807" s="45">
        <v>85.1</v>
      </c>
    </row>
    <row r="2808">
      <c r="A2808" s="34" t="s">
        <v>70</v>
      </c>
      <c r="B2808" s="34" t="s">
        <v>322</v>
      </c>
      <c r="C2808" s="34">
        <v>87.0</v>
      </c>
      <c r="D2808" s="34" t="s">
        <v>1736</v>
      </c>
      <c r="E2808" s="34" t="s">
        <v>6723</v>
      </c>
      <c r="F2808" s="34" t="s">
        <v>6724</v>
      </c>
      <c r="G2808" s="34">
        <v>87085.0</v>
      </c>
      <c r="H2808" s="34" t="s">
        <v>322</v>
      </c>
      <c r="I2808" s="34" t="s">
        <v>17</v>
      </c>
      <c r="J2808" s="34" t="s">
        <v>15</v>
      </c>
      <c r="K2808" s="45">
        <v>134.3</v>
      </c>
      <c r="L2808" s="9"/>
      <c r="M2808" s="45">
        <v>134.3</v>
      </c>
    </row>
    <row r="2809">
      <c r="A2809" s="34" t="s">
        <v>70</v>
      </c>
      <c r="B2809" s="34" t="s">
        <v>930</v>
      </c>
      <c r="C2809" s="34">
        <v>88.0</v>
      </c>
      <c r="D2809" s="34" t="s">
        <v>1745</v>
      </c>
      <c r="E2809" s="34" t="s">
        <v>6725</v>
      </c>
      <c r="F2809" s="34" t="s">
        <v>6726</v>
      </c>
      <c r="G2809" s="34">
        <v>88029.0</v>
      </c>
      <c r="H2809" s="34" t="s">
        <v>6727</v>
      </c>
      <c r="I2809" s="34" t="s">
        <v>18</v>
      </c>
      <c r="J2809" s="34" t="s">
        <v>13</v>
      </c>
      <c r="K2809" s="9"/>
      <c r="L2809" s="45">
        <v>92.4</v>
      </c>
      <c r="M2809" s="45">
        <v>92.4</v>
      </c>
    </row>
    <row r="2810">
      <c r="A2810" s="34" t="s">
        <v>70</v>
      </c>
      <c r="B2810" s="34" t="s">
        <v>930</v>
      </c>
      <c r="C2810" s="34">
        <v>88.0</v>
      </c>
      <c r="D2810" s="34" t="s">
        <v>1745</v>
      </c>
      <c r="E2810" s="34" t="s">
        <v>6728</v>
      </c>
      <c r="F2810" s="34" t="s">
        <v>6729</v>
      </c>
      <c r="G2810" s="34">
        <v>88078.0</v>
      </c>
      <c r="H2810" s="34" t="s">
        <v>1756</v>
      </c>
      <c r="I2810" s="34" t="s">
        <v>18</v>
      </c>
      <c r="J2810" s="34" t="s">
        <v>15</v>
      </c>
      <c r="K2810" s="45">
        <v>105.5</v>
      </c>
      <c r="L2810" s="9"/>
      <c r="M2810" s="45">
        <v>105.5</v>
      </c>
    </row>
    <row r="2811">
      <c r="A2811" s="34" t="s">
        <v>70</v>
      </c>
      <c r="B2811" s="34" t="s">
        <v>930</v>
      </c>
      <c r="C2811" s="34">
        <v>88.0</v>
      </c>
      <c r="D2811" s="34" t="s">
        <v>1745</v>
      </c>
      <c r="E2811" s="34" t="s">
        <v>6730</v>
      </c>
      <c r="F2811" s="34" t="s">
        <v>6731</v>
      </c>
      <c r="G2811" s="34">
        <v>88160.0</v>
      </c>
      <c r="H2811" s="34" t="s">
        <v>1748</v>
      </c>
      <c r="I2811" s="34" t="s">
        <v>18</v>
      </c>
      <c r="J2811" s="34" t="s">
        <v>15</v>
      </c>
      <c r="K2811" s="45">
        <v>102.6</v>
      </c>
      <c r="L2811" s="9"/>
      <c r="M2811" s="45">
        <v>102.6</v>
      </c>
    </row>
    <row r="2812">
      <c r="A2812" s="34" t="s">
        <v>70</v>
      </c>
      <c r="B2812" s="34" t="s">
        <v>930</v>
      </c>
      <c r="C2812" s="34">
        <v>88.0</v>
      </c>
      <c r="D2812" s="34" t="s">
        <v>1745</v>
      </c>
      <c r="E2812" s="34" t="s">
        <v>6732</v>
      </c>
      <c r="F2812" s="34" t="s">
        <v>6733</v>
      </c>
      <c r="G2812" s="34">
        <v>88160.0</v>
      </c>
      <c r="H2812" s="34" t="s">
        <v>1748</v>
      </c>
      <c r="I2812" s="34" t="s">
        <v>18</v>
      </c>
      <c r="J2812" s="34" t="s">
        <v>13</v>
      </c>
      <c r="K2812" s="9"/>
      <c r="L2812" s="45">
        <v>76.7</v>
      </c>
      <c r="M2812" s="45">
        <v>76.7</v>
      </c>
    </row>
    <row r="2813">
      <c r="A2813" s="34" t="s">
        <v>70</v>
      </c>
      <c r="B2813" s="34" t="s">
        <v>930</v>
      </c>
      <c r="C2813" s="34">
        <v>88.0</v>
      </c>
      <c r="D2813" s="34" t="s">
        <v>1745</v>
      </c>
      <c r="E2813" s="34" t="s">
        <v>6734</v>
      </c>
      <c r="F2813" s="34" t="s">
        <v>6735</v>
      </c>
      <c r="G2813" s="34">
        <v>88196.0</v>
      </c>
      <c r="H2813" s="34" t="s">
        <v>1762</v>
      </c>
      <c r="I2813" s="34" t="s">
        <v>18</v>
      </c>
      <c r="J2813" s="34" t="s">
        <v>15</v>
      </c>
      <c r="K2813" s="45">
        <v>123.1</v>
      </c>
      <c r="L2813" s="9"/>
      <c r="M2813" s="45">
        <v>123.1</v>
      </c>
    </row>
    <row r="2814">
      <c r="A2814" s="34" t="s">
        <v>70</v>
      </c>
      <c r="B2814" s="34" t="s">
        <v>930</v>
      </c>
      <c r="C2814" s="34">
        <v>88.0</v>
      </c>
      <c r="D2814" s="34" t="s">
        <v>1745</v>
      </c>
      <c r="E2814" s="34" t="s">
        <v>6736</v>
      </c>
      <c r="F2814" s="34" t="s">
        <v>6737</v>
      </c>
      <c r="G2814" s="34">
        <v>88196.0</v>
      </c>
      <c r="H2814" s="34" t="s">
        <v>1762</v>
      </c>
      <c r="I2814" s="34" t="s">
        <v>18</v>
      </c>
      <c r="J2814" s="34" t="s">
        <v>13</v>
      </c>
      <c r="K2814" s="9"/>
      <c r="L2814" s="45">
        <v>87.0</v>
      </c>
      <c r="M2814" s="45">
        <v>87.0</v>
      </c>
    </row>
    <row r="2815">
      <c r="A2815" s="34" t="s">
        <v>70</v>
      </c>
      <c r="B2815" s="34" t="s">
        <v>930</v>
      </c>
      <c r="C2815" s="34">
        <v>88.0</v>
      </c>
      <c r="D2815" s="34" t="s">
        <v>1745</v>
      </c>
      <c r="E2815" s="34" t="s">
        <v>6738</v>
      </c>
      <c r="F2815" s="34" t="s">
        <v>6739</v>
      </c>
      <c r="G2815" s="34">
        <v>88413.0</v>
      </c>
      <c r="H2815" s="34" t="s">
        <v>3594</v>
      </c>
      <c r="I2815" s="34" t="s">
        <v>17</v>
      </c>
      <c r="J2815" s="34" t="s">
        <v>13</v>
      </c>
      <c r="K2815" s="9"/>
      <c r="L2815" s="45">
        <v>99.5</v>
      </c>
      <c r="M2815" s="45">
        <v>99.5</v>
      </c>
    </row>
    <row r="2816">
      <c r="A2816" s="34" t="s">
        <v>70</v>
      </c>
      <c r="B2816" s="34" t="s">
        <v>393</v>
      </c>
      <c r="C2816" s="34">
        <v>90.0</v>
      </c>
      <c r="D2816" s="34" t="s">
        <v>1778</v>
      </c>
      <c r="E2816" s="34" t="s">
        <v>6740</v>
      </c>
      <c r="F2816" s="34" t="s">
        <v>6146</v>
      </c>
      <c r="G2816" s="34">
        <v>90010.0</v>
      </c>
      <c r="H2816" s="34" t="s">
        <v>1781</v>
      </c>
      <c r="I2816" s="34" t="s">
        <v>18</v>
      </c>
      <c r="J2816" s="34" t="s">
        <v>15</v>
      </c>
      <c r="K2816" s="45">
        <v>105.5</v>
      </c>
      <c r="L2816" s="9"/>
      <c r="M2816" s="45">
        <v>105.5</v>
      </c>
    </row>
    <row r="2817">
      <c r="A2817" s="34" t="s">
        <v>70</v>
      </c>
      <c r="B2817" s="34" t="s">
        <v>393</v>
      </c>
      <c r="C2817" s="34">
        <v>90.0</v>
      </c>
      <c r="D2817" s="34" t="s">
        <v>1778</v>
      </c>
      <c r="E2817" s="34" t="s">
        <v>6741</v>
      </c>
      <c r="F2817" s="34" t="s">
        <v>6742</v>
      </c>
      <c r="G2817" s="34">
        <v>90010.0</v>
      </c>
      <c r="H2817" s="34" t="s">
        <v>1781</v>
      </c>
      <c r="I2817" s="34" t="s">
        <v>17</v>
      </c>
      <c r="J2817" s="34" t="s">
        <v>15</v>
      </c>
      <c r="K2817" s="45">
        <v>111.9</v>
      </c>
      <c r="L2817" s="9"/>
      <c r="M2817" s="45">
        <v>111.9</v>
      </c>
    </row>
    <row r="2818">
      <c r="A2818" s="34" t="s">
        <v>70</v>
      </c>
      <c r="B2818" s="34" t="s">
        <v>1579</v>
      </c>
      <c r="C2818" s="34">
        <v>91.0</v>
      </c>
      <c r="D2818" s="34" t="s">
        <v>1784</v>
      </c>
      <c r="E2818" s="34" t="s">
        <v>6743</v>
      </c>
      <c r="F2818" s="34" t="s">
        <v>6744</v>
      </c>
      <c r="G2818" s="34">
        <v>91421.0</v>
      </c>
      <c r="H2818" s="34" t="s">
        <v>6745</v>
      </c>
      <c r="I2818" s="34" t="s">
        <v>18</v>
      </c>
      <c r="J2818" s="34" t="s">
        <v>15</v>
      </c>
      <c r="K2818" s="45">
        <v>110.4</v>
      </c>
      <c r="L2818" s="9"/>
      <c r="M2818" s="45">
        <v>110.4</v>
      </c>
    </row>
    <row r="2819">
      <c r="A2819" s="34" t="s">
        <v>70</v>
      </c>
      <c r="B2819" s="34" t="s">
        <v>1579</v>
      </c>
      <c r="C2819" s="34">
        <v>91.0</v>
      </c>
      <c r="D2819" s="34" t="s">
        <v>1784</v>
      </c>
      <c r="E2819" s="34" t="s">
        <v>6746</v>
      </c>
      <c r="F2819" s="34" t="s">
        <v>6747</v>
      </c>
      <c r="G2819" s="34">
        <v>91201.0</v>
      </c>
      <c r="H2819" s="34" t="s">
        <v>6748</v>
      </c>
      <c r="I2819" s="34" t="s">
        <v>18</v>
      </c>
      <c r="J2819" s="34" t="s">
        <v>13</v>
      </c>
      <c r="K2819" s="9"/>
      <c r="L2819" s="45">
        <v>85.4</v>
      </c>
      <c r="M2819" s="45">
        <v>85.4</v>
      </c>
    </row>
    <row r="2820">
      <c r="A2820" s="34" t="s">
        <v>70</v>
      </c>
      <c r="B2820" s="34" t="s">
        <v>1579</v>
      </c>
      <c r="C2820" s="34">
        <v>91.0</v>
      </c>
      <c r="D2820" s="34" t="s">
        <v>1784</v>
      </c>
      <c r="E2820" s="34" t="s">
        <v>6749</v>
      </c>
      <c r="F2820" s="34" t="s">
        <v>6750</v>
      </c>
      <c r="G2820" s="34">
        <v>91228.0</v>
      </c>
      <c r="H2820" s="34" t="s">
        <v>1804</v>
      </c>
      <c r="I2820" s="34" t="s">
        <v>18</v>
      </c>
      <c r="J2820" s="34" t="s">
        <v>13</v>
      </c>
      <c r="K2820" s="9"/>
      <c r="L2820" s="45">
        <v>79.7</v>
      </c>
      <c r="M2820" s="45">
        <v>79.7</v>
      </c>
    </row>
    <row r="2821">
      <c r="A2821" s="34" t="s">
        <v>70</v>
      </c>
      <c r="B2821" s="34" t="s">
        <v>1579</v>
      </c>
      <c r="C2821" s="34">
        <v>91.0</v>
      </c>
      <c r="D2821" s="34" t="s">
        <v>1784</v>
      </c>
      <c r="E2821" s="34" t="s">
        <v>6751</v>
      </c>
      <c r="F2821" s="34" t="s">
        <v>6752</v>
      </c>
      <c r="G2821" s="34">
        <v>91549.0</v>
      </c>
      <c r="H2821" s="34" t="s">
        <v>6753</v>
      </c>
      <c r="I2821" s="34" t="s">
        <v>18</v>
      </c>
      <c r="J2821" s="34" t="s">
        <v>15</v>
      </c>
      <c r="K2821" s="45">
        <v>106.9</v>
      </c>
      <c r="L2821" s="9"/>
      <c r="M2821" s="45">
        <v>106.9</v>
      </c>
    </row>
    <row r="2822">
      <c r="A2822" s="34" t="s">
        <v>70</v>
      </c>
      <c r="B2822" s="34" t="s">
        <v>1579</v>
      </c>
      <c r="C2822" s="34">
        <v>91.0</v>
      </c>
      <c r="D2822" s="34" t="s">
        <v>1784</v>
      </c>
      <c r="E2822" s="34" t="s">
        <v>6754</v>
      </c>
      <c r="F2822" s="34" t="s">
        <v>6755</v>
      </c>
      <c r="G2822" s="34">
        <v>91223.0</v>
      </c>
      <c r="H2822" s="34" t="s">
        <v>3615</v>
      </c>
      <c r="I2822" s="34" t="s">
        <v>18</v>
      </c>
      <c r="J2822" s="34" t="s">
        <v>13</v>
      </c>
      <c r="K2822" s="9"/>
      <c r="L2822" s="45">
        <v>88.8</v>
      </c>
      <c r="M2822" s="45">
        <v>88.8</v>
      </c>
    </row>
    <row r="2823">
      <c r="A2823" s="34" t="s">
        <v>70</v>
      </c>
      <c r="B2823" s="34" t="s">
        <v>1579</v>
      </c>
      <c r="C2823" s="34">
        <v>91.0</v>
      </c>
      <c r="D2823" s="34" t="s">
        <v>1784</v>
      </c>
      <c r="E2823" s="34" t="s">
        <v>6756</v>
      </c>
      <c r="F2823" s="34" t="s">
        <v>4185</v>
      </c>
      <c r="G2823" s="34">
        <v>91345.0</v>
      </c>
      <c r="H2823" s="34" t="s">
        <v>6757</v>
      </c>
      <c r="I2823" s="34" t="s">
        <v>18</v>
      </c>
      <c r="J2823" s="34" t="s">
        <v>15</v>
      </c>
      <c r="K2823" s="45">
        <v>118.9</v>
      </c>
      <c r="L2823" s="9"/>
      <c r="M2823" s="45">
        <v>118.9</v>
      </c>
    </row>
    <row r="2824">
      <c r="A2824" s="34" t="s">
        <v>70</v>
      </c>
      <c r="B2824" s="34" t="s">
        <v>1579</v>
      </c>
      <c r="C2824" s="34">
        <v>91.0</v>
      </c>
      <c r="D2824" s="34" t="s">
        <v>1784</v>
      </c>
      <c r="E2824" s="34" t="s">
        <v>6758</v>
      </c>
      <c r="F2824" s="34" t="s">
        <v>1279</v>
      </c>
      <c r="G2824" s="34">
        <v>91432.0</v>
      </c>
      <c r="H2824" s="34" t="s">
        <v>6759</v>
      </c>
      <c r="I2824" s="34" t="s">
        <v>18</v>
      </c>
      <c r="J2824" s="34" t="s">
        <v>14</v>
      </c>
      <c r="K2824" s="45">
        <v>108.7</v>
      </c>
      <c r="L2824" s="45">
        <v>85.3</v>
      </c>
      <c r="M2824" s="45">
        <v>100.0</v>
      </c>
    </row>
    <row r="2825">
      <c r="A2825" s="34" t="s">
        <v>70</v>
      </c>
      <c r="B2825" s="34" t="s">
        <v>1579</v>
      </c>
      <c r="C2825" s="34">
        <v>91.0</v>
      </c>
      <c r="D2825" s="34" t="s">
        <v>1784</v>
      </c>
      <c r="E2825" s="34" t="s">
        <v>6760</v>
      </c>
      <c r="F2825" s="34" t="s">
        <v>6761</v>
      </c>
      <c r="G2825" s="34">
        <v>91338.0</v>
      </c>
      <c r="H2825" s="34" t="s">
        <v>6762</v>
      </c>
      <c r="I2825" s="34" t="s">
        <v>18</v>
      </c>
      <c r="J2825" s="34" t="s">
        <v>15</v>
      </c>
      <c r="K2825" s="45">
        <v>142.3</v>
      </c>
      <c r="L2825" s="9"/>
      <c r="M2825" s="45">
        <v>142.3</v>
      </c>
    </row>
    <row r="2826">
      <c r="A2826" s="34" t="s">
        <v>70</v>
      </c>
      <c r="B2826" s="34" t="s">
        <v>1579</v>
      </c>
      <c r="C2826" s="34">
        <v>91.0</v>
      </c>
      <c r="D2826" s="34" t="s">
        <v>1784</v>
      </c>
      <c r="E2826" s="34" t="s">
        <v>6763</v>
      </c>
      <c r="F2826" s="34" t="s">
        <v>6764</v>
      </c>
      <c r="G2826" s="34">
        <v>91312.0</v>
      </c>
      <c r="H2826" s="34" t="s">
        <v>6765</v>
      </c>
      <c r="I2826" s="34" t="s">
        <v>17</v>
      </c>
      <c r="J2826" s="34" t="s">
        <v>15</v>
      </c>
      <c r="K2826" s="45">
        <v>133.8</v>
      </c>
      <c r="L2826" s="9"/>
      <c r="M2826" s="45">
        <v>133.8</v>
      </c>
    </row>
    <row r="2827">
      <c r="A2827" s="34" t="s">
        <v>70</v>
      </c>
      <c r="B2827" s="34" t="s">
        <v>1579</v>
      </c>
      <c r="C2827" s="34">
        <v>92.0</v>
      </c>
      <c r="D2827" s="34" t="s">
        <v>1815</v>
      </c>
      <c r="E2827" s="34" t="s">
        <v>6766</v>
      </c>
      <c r="F2827" s="34" t="s">
        <v>6767</v>
      </c>
      <c r="G2827" s="34">
        <v>92024.0</v>
      </c>
      <c r="H2827" s="34" t="s">
        <v>1845</v>
      </c>
      <c r="I2827" s="34" t="s">
        <v>18</v>
      </c>
      <c r="J2827" s="34" t="s">
        <v>14</v>
      </c>
      <c r="K2827" s="45">
        <v>93.4</v>
      </c>
      <c r="L2827" s="45">
        <v>85.3</v>
      </c>
      <c r="M2827" s="45">
        <v>91.0</v>
      </c>
    </row>
    <row r="2828">
      <c r="A2828" s="34" t="s">
        <v>70</v>
      </c>
      <c r="B2828" s="34" t="s">
        <v>1579</v>
      </c>
      <c r="C2828" s="34">
        <v>92.0</v>
      </c>
      <c r="D2828" s="34" t="s">
        <v>1815</v>
      </c>
      <c r="E2828" s="34" t="s">
        <v>6768</v>
      </c>
      <c r="F2828" s="34" t="s">
        <v>6769</v>
      </c>
      <c r="G2828" s="34">
        <v>92073.0</v>
      </c>
      <c r="H2828" s="34" t="s">
        <v>5243</v>
      </c>
      <c r="I2828" s="34" t="s">
        <v>18</v>
      </c>
      <c r="J2828" s="34" t="s">
        <v>15</v>
      </c>
      <c r="K2828" s="45">
        <v>114.6</v>
      </c>
      <c r="L2828" s="9"/>
      <c r="M2828" s="45">
        <v>114.6</v>
      </c>
    </row>
    <row r="2829">
      <c r="A2829" s="34" t="s">
        <v>70</v>
      </c>
      <c r="B2829" s="34" t="s">
        <v>1579</v>
      </c>
      <c r="C2829" s="34">
        <v>92.0</v>
      </c>
      <c r="D2829" s="34" t="s">
        <v>1815</v>
      </c>
      <c r="E2829" s="34" t="s">
        <v>6770</v>
      </c>
      <c r="F2829" s="34" t="s">
        <v>6771</v>
      </c>
      <c r="G2829" s="34">
        <v>92075.0</v>
      </c>
      <c r="H2829" s="34" t="s">
        <v>5256</v>
      </c>
      <c r="I2829" s="34" t="s">
        <v>18</v>
      </c>
      <c r="J2829" s="34" t="s">
        <v>15</v>
      </c>
      <c r="K2829" s="45">
        <v>135.8</v>
      </c>
      <c r="L2829" s="9"/>
      <c r="M2829" s="45">
        <v>135.8</v>
      </c>
    </row>
    <row r="2830">
      <c r="A2830" s="34" t="s">
        <v>70</v>
      </c>
      <c r="B2830" s="34" t="s">
        <v>1579</v>
      </c>
      <c r="C2830" s="34">
        <v>92.0</v>
      </c>
      <c r="D2830" s="34" t="s">
        <v>1815</v>
      </c>
      <c r="E2830" s="34" t="s">
        <v>6772</v>
      </c>
      <c r="F2830" s="34" t="s">
        <v>6773</v>
      </c>
      <c r="G2830" s="34">
        <v>92051.0</v>
      </c>
      <c r="H2830" s="34" t="s">
        <v>1821</v>
      </c>
      <c r="I2830" s="34" t="s">
        <v>18</v>
      </c>
      <c r="J2830" s="34" t="s">
        <v>13</v>
      </c>
      <c r="K2830" s="9"/>
      <c r="L2830" s="45">
        <v>87.3</v>
      </c>
      <c r="M2830" s="45">
        <v>87.3</v>
      </c>
    </row>
    <row r="2831">
      <c r="A2831" s="34" t="s">
        <v>70</v>
      </c>
      <c r="B2831" s="34" t="s">
        <v>1579</v>
      </c>
      <c r="C2831" s="34">
        <v>92.0</v>
      </c>
      <c r="D2831" s="34" t="s">
        <v>1815</v>
      </c>
      <c r="E2831" s="34" t="s">
        <v>6774</v>
      </c>
      <c r="F2831" s="34" t="s">
        <v>1631</v>
      </c>
      <c r="G2831" s="34">
        <v>92007.0</v>
      </c>
      <c r="H2831" s="34" t="s">
        <v>3648</v>
      </c>
      <c r="I2831" s="34" t="s">
        <v>18</v>
      </c>
      <c r="J2831" s="34" t="s">
        <v>13</v>
      </c>
      <c r="K2831" s="9"/>
      <c r="L2831" s="45">
        <v>90.0</v>
      </c>
      <c r="M2831" s="45">
        <v>90.0</v>
      </c>
    </row>
    <row r="2832">
      <c r="A2832" s="34" t="s">
        <v>70</v>
      </c>
      <c r="B2832" s="34" t="s">
        <v>1579</v>
      </c>
      <c r="C2832" s="34">
        <v>92.0</v>
      </c>
      <c r="D2832" s="34" t="s">
        <v>1815</v>
      </c>
      <c r="E2832" s="34" t="s">
        <v>6775</v>
      </c>
      <c r="F2832" s="34" t="s">
        <v>6776</v>
      </c>
      <c r="G2832" s="34">
        <v>92063.0</v>
      </c>
      <c r="H2832" s="34" t="s">
        <v>1842</v>
      </c>
      <c r="I2832" s="34" t="s">
        <v>18</v>
      </c>
      <c r="J2832" s="34" t="s">
        <v>15</v>
      </c>
      <c r="K2832" s="45">
        <v>134.0</v>
      </c>
      <c r="L2832" s="9"/>
      <c r="M2832" s="45">
        <v>134.0</v>
      </c>
    </row>
    <row r="2833">
      <c r="A2833" s="34" t="s">
        <v>70</v>
      </c>
      <c r="B2833" s="34" t="s">
        <v>1579</v>
      </c>
      <c r="C2833" s="34">
        <v>92.0</v>
      </c>
      <c r="D2833" s="34" t="s">
        <v>1815</v>
      </c>
      <c r="E2833" s="34" t="s">
        <v>6777</v>
      </c>
      <c r="F2833" s="34" t="s">
        <v>6778</v>
      </c>
      <c r="G2833" s="34">
        <v>92064.0</v>
      </c>
      <c r="H2833" s="34" t="s">
        <v>6779</v>
      </c>
      <c r="I2833" s="34" t="s">
        <v>18</v>
      </c>
      <c r="J2833" s="34" t="s">
        <v>15</v>
      </c>
      <c r="K2833" s="45">
        <v>138.8</v>
      </c>
      <c r="L2833" s="9"/>
      <c r="M2833" s="45">
        <v>138.8</v>
      </c>
    </row>
    <row r="2834">
      <c r="A2834" s="34" t="s">
        <v>70</v>
      </c>
      <c r="B2834" s="34" t="s">
        <v>1579</v>
      </c>
      <c r="C2834" s="34">
        <v>92.0</v>
      </c>
      <c r="D2834" s="34" t="s">
        <v>1815</v>
      </c>
      <c r="E2834" s="34" t="s">
        <v>6780</v>
      </c>
      <c r="F2834" s="34" t="s">
        <v>6781</v>
      </c>
      <c r="G2834" s="34">
        <v>92002.0</v>
      </c>
      <c r="H2834" s="34" t="s">
        <v>3638</v>
      </c>
      <c r="I2834" s="34" t="s">
        <v>17</v>
      </c>
      <c r="J2834" s="34" t="s">
        <v>15</v>
      </c>
      <c r="K2834" s="45">
        <v>151.5</v>
      </c>
      <c r="L2834" s="9"/>
      <c r="M2834" s="45">
        <v>151.5</v>
      </c>
    </row>
    <row r="2835">
      <c r="A2835" s="34" t="s">
        <v>70</v>
      </c>
      <c r="B2835" s="34" t="s">
        <v>1579</v>
      </c>
      <c r="C2835" s="34">
        <v>92.0</v>
      </c>
      <c r="D2835" s="34" t="s">
        <v>1815</v>
      </c>
      <c r="E2835" s="34" t="s">
        <v>6782</v>
      </c>
      <c r="F2835" s="34" t="s">
        <v>6783</v>
      </c>
      <c r="G2835" s="34">
        <v>92019.0</v>
      </c>
      <c r="H2835" s="34" t="s">
        <v>1818</v>
      </c>
      <c r="I2835" s="34" t="s">
        <v>17</v>
      </c>
      <c r="J2835" s="34" t="s">
        <v>15</v>
      </c>
      <c r="K2835" s="45">
        <v>143.5</v>
      </c>
      <c r="L2835" s="9"/>
      <c r="M2835" s="45">
        <v>143.5</v>
      </c>
    </row>
    <row r="2836">
      <c r="A2836" s="34" t="s">
        <v>70</v>
      </c>
      <c r="B2836" s="34" t="s">
        <v>1579</v>
      </c>
      <c r="C2836" s="34">
        <v>92.0</v>
      </c>
      <c r="D2836" s="34" t="s">
        <v>1815</v>
      </c>
      <c r="E2836" s="34" t="s">
        <v>6784</v>
      </c>
      <c r="F2836" s="34" t="s">
        <v>6785</v>
      </c>
      <c r="G2836" s="34">
        <v>92063.0</v>
      </c>
      <c r="H2836" s="34" t="s">
        <v>1842</v>
      </c>
      <c r="I2836" s="34" t="s">
        <v>17</v>
      </c>
      <c r="J2836" s="34" t="s">
        <v>15</v>
      </c>
      <c r="K2836" s="45">
        <v>149.4</v>
      </c>
      <c r="L2836" s="9"/>
      <c r="M2836" s="45">
        <v>149.4</v>
      </c>
    </row>
    <row r="2837">
      <c r="A2837" s="34" t="s">
        <v>70</v>
      </c>
      <c r="B2837" s="34" t="s">
        <v>1579</v>
      </c>
      <c r="C2837" s="34">
        <v>92.0</v>
      </c>
      <c r="D2837" s="34" t="s">
        <v>1815</v>
      </c>
      <c r="E2837" s="34" t="s">
        <v>6786</v>
      </c>
      <c r="F2837" s="34" t="s">
        <v>6787</v>
      </c>
      <c r="G2837" s="34">
        <v>92048.0</v>
      </c>
      <c r="H2837" s="34" t="s">
        <v>1832</v>
      </c>
      <c r="I2837" s="34" t="s">
        <v>17</v>
      </c>
      <c r="J2837" s="34" t="s">
        <v>13</v>
      </c>
      <c r="K2837" s="9"/>
      <c r="L2837" s="45">
        <v>93.4</v>
      </c>
      <c r="M2837" s="45">
        <v>93.4</v>
      </c>
    </row>
    <row r="2838">
      <c r="A2838" s="34" t="s">
        <v>70</v>
      </c>
      <c r="B2838" s="34" t="s">
        <v>1579</v>
      </c>
      <c r="C2838" s="34">
        <v>92.0</v>
      </c>
      <c r="D2838" s="34" t="s">
        <v>1815</v>
      </c>
      <c r="E2838" s="34" t="s">
        <v>6788</v>
      </c>
      <c r="F2838" s="34" t="s">
        <v>6789</v>
      </c>
      <c r="G2838" s="34">
        <v>92025.0</v>
      </c>
      <c r="H2838" s="34" t="s">
        <v>1839</v>
      </c>
      <c r="I2838" s="34" t="s">
        <v>18</v>
      </c>
      <c r="J2838" s="34" t="s">
        <v>13</v>
      </c>
      <c r="K2838" s="9"/>
      <c r="L2838" s="45">
        <v>77.4</v>
      </c>
      <c r="M2838" s="45">
        <v>77.4</v>
      </c>
    </row>
    <row r="2839">
      <c r="A2839" s="34" t="s">
        <v>70</v>
      </c>
      <c r="B2839" s="34" t="s">
        <v>1579</v>
      </c>
      <c r="C2839" s="34">
        <v>92.0</v>
      </c>
      <c r="D2839" s="34" t="s">
        <v>1815</v>
      </c>
      <c r="E2839" s="34" t="s">
        <v>6790</v>
      </c>
      <c r="F2839" s="34" t="s">
        <v>6791</v>
      </c>
      <c r="G2839" s="34">
        <v>92009.0</v>
      </c>
      <c r="H2839" s="34" t="s">
        <v>1848</v>
      </c>
      <c r="I2839" s="34" t="s">
        <v>18</v>
      </c>
      <c r="J2839" s="34" t="s">
        <v>13</v>
      </c>
      <c r="K2839" s="9"/>
      <c r="L2839" s="45">
        <v>79.6</v>
      </c>
      <c r="M2839" s="45">
        <v>79.6</v>
      </c>
    </row>
    <row r="2840">
      <c r="A2840" s="34" t="s">
        <v>70</v>
      </c>
      <c r="B2840" s="34" t="s">
        <v>1579</v>
      </c>
      <c r="C2840" s="34">
        <v>92.0</v>
      </c>
      <c r="D2840" s="34" t="s">
        <v>1815</v>
      </c>
      <c r="E2840" s="34" t="s">
        <v>6792</v>
      </c>
      <c r="F2840" s="34" t="s">
        <v>6793</v>
      </c>
      <c r="G2840" s="34">
        <v>92012.0</v>
      </c>
      <c r="H2840" s="34" t="s">
        <v>3651</v>
      </c>
      <c r="I2840" s="34" t="s">
        <v>18</v>
      </c>
      <c r="J2840" s="34" t="s">
        <v>14</v>
      </c>
      <c r="K2840" s="45">
        <v>103.3</v>
      </c>
      <c r="L2840" s="45">
        <v>93.0</v>
      </c>
      <c r="M2840" s="45">
        <v>94.8</v>
      </c>
    </row>
    <row r="2841">
      <c r="A2841" s="34" t="s">
        <v>70</v>
      </c>
      <c r="B2841" s="34" t="s">
        <v>1545</v>
      </c>
      <c r="C2841" s="34">
        <v>93.0</v>
      </c>
      <c r="D2841" s="34" t="s">
        <v>1852</v>
      </c>
      <c r="E2841" s="34" t="s">
        <v>6794</v>
      </c>
      <c r="F2841" s="34" t="s">
        <v>6795</v>
      </c>
      <c r="G2841" s="34">
        <v>93029.0</v>
      </c>
      <c r="H2841" s="34" t="s">
        <v>1891</v>
      </c>
      <c r="I2841" s="34" t="s">
        <v>18</v>
      </c>
      <c r="J2841" s="34" t="s">
        <v>14</v>
      </c>
      <c r="K2841" s="45">
        <v>85.0</v>
      </c>
      <c r="L2841" s="45">
        <v>76.1</v>
      </c>
      <c r="M2841" s="45">
        <v>82.3</v>
      </c>
    </row>
    <row r="2842">
      <c r="A2842" s="34" t="s">
        <v>70</v>
      </c>
      <c r="B2842" s="34" t="s">
        <v>1545</v>
      </c>
      <c r="C2842" s="34">
        <v>93.0</v>
      </c>
      <c r="D2842" s="34" t="s">
        <v>1852</v>
      </c>
      <c r="E2842" s="34" t="s">
        <v>6796</v>
      </c>
      <c r="F2842" s="34" t="s">
        <v>6797</v>
      </c>
      <c r="G2842" s="34">
        <v>93031.0</v>
      </c>
      <c r="H2842" s="34" t="s">
        <v>6798</v>
      </c>
      <c r="I2842" s="34" t="s">
        <v>18</v>
      </c>
      <c r="J2842" s="34" t="s">
        <v>15</v>
      </c>
      <c r="K2842" s="45">
        <v>82.6</v>
      </c>
      <c r="L2842" s="9"/>
      <c r="M2842" s="45">
        <v>82.6</v>
      </c>
    </row>
    <row r="2843">
      <c r="A2843" s="34" t="s">
        <v>70</v>
      </c>
      <c r="B2843" s="34" t="s">
        <v>1545</v>
      </c>
      <c r="C2843" s="34">
        <v>93.0</v>
      </c>
      <c r="D2843" s="34" t="s">
        <v>1852</v>
      </c>
      <c r="E2843" s="34" t="s">
        <v>6799</v>
      </c>
      <c r="F2843" s="34" t="s">
        <v>6800</v>
      </c>
      <c r="G2843" s="34">
        <v>93053.0</v>
      </c>
      <c r="H2843" s="34" t="s">
        <v>6801</v>
      </c>
      <c r="I2843" s="34" t="s">
        <v>18</v>
      </c>
      <c r="J2843" s="34" t="s">
        <v>15</v>
      </c>
      <c r="K2843" s="45">
        <v>92.2</v>
      </c>
      <c r="L2843" s="9"/>
      <c r="M2843" s="45">
        <v>92.2</v>
      </c>
    </row>
    <row r="2844">
      <c r="A2844" s="34" t="s">
        <v>70</v>
      </c>
      <c r="B2844" s="34" t="s">
        <v>1545</v>
      </c>
      <c r="C2844" s="34">
        <v>93.0</v>
      </c>
      <c r="D2844" s="34" t="s">
        <v>1852</v>
      </c>
      <c r="E2844" s="34" t="s">
        <v>6802</v>
      </c>
      <c r="F2844" s="34" t="s">
        <v>6803</v>
      </c>
      <c r="G2844" s="34">
        <v>93070.0</v>
      </c>
      <c r="H2844" s="34" t="s">
        <v>6804</v>
      </c>
      <c r="I2844" s="34" t="s">
        <v>18</v>
      </c>
      <c r="J2844" s="34" t="s">
        <v>14</v>
      </c>
      <c r="K2844" s="45">
        <v>93.4</v>
      </c>
      <c r="L2844" s="45">
        <v>82.4</v>
      </c>
      <c r="M2844" s="45">
        <v>91.5</v>
      </c>
    </row>
    <row r="2845">
      <c r="A2845" s="34" t="s">
        <v>70</v>
      </c>
      <c r="B2845" s="34" t="s">
        <v>1545</v>
      </c>
      <c r="C2845" s="34">
        <v>93.0</v>
      </c>
      <c r="D2845" s="34" t="s">
        <v>1852</v>
      </c>
      <c r="E2845" s="34" t="s">
        <v>6805</v>
      </c>
      <c r="F2845" s="34" t="s">
        <v>6806</v>
      </c>
      <c r="G2845" s="34">
        <v>93077.0</v>
      </c>
      <c r="H2845" s="34" t="s">
        <v>1871</v>
      </c>
      <c r="I2845" s="34" t="s">
        <v>18</v>
      </c>
      <c r="J2845" s="34" t="s">
        <v>15</v>
      </c>
      <c r="K2845" s="45">
        <v>107.0</v>
      </c>
      <c r="L2845" s="9"/>
      <c r="M2845" s="45">
        <v>107.0</v>
      </c>
    </row>
    <row r="2846">
      <c r="A2846" s="34" t="s">
        <v>70</v>
      </c>
      <c r="B2846" s="34" t="s">
        <v>1545</v>
      </c>
      <c r="C2846" s="34">
        <v>93.0</v>
      </c>
      <c r="D2846" s="34" t="s">
        <v>1852</v>
      </c>
      <c r="E2846" s="34" t="s">
        <v>6807</v>
      </c>
      <c r="F2846" s="34" t="s">
        <v>6808</v>
      </c>
      <c r="G2846" s="34">
        <v>93010.0</v>
      </c>
      <c r="H2846" s="34" t="s">
        <v>3670</v>
      </c>
      <c r="I2846" s="34" t="s">
        <v>18</v>
      </c>
      <c r="J2846" s="34" t="s">
        <v>13</v>
      </c>
      <c r="K2846" s="9"/>
      <c r="L2846" s="45">
        <v>77.8</v>
      </c>
      <c r="M2846" s="45">
        <v>77.8</v>
      </c>
    </row>
    <row r="2847">
      <c r="A2847" s="34" t="s">
        <v>70</v>
      </c>
      <c r="B2847" s="34" t="s">
        <v>1545</v>
      </c>
      <c r="C2847" s="34">
        <v>93.0</v>
      </c>
      <c r="D2847" s="34" t="s">
        <v>1852</v>
      </c>
      <c r="E2847" s="34" t="s">
        <v>6809</v>
      </c>
      <c r="F2847" s="34" t="s">
        <v>6810</v>
      </c>
      <c r="G2847" s="34">
        <v>93053.0</v>
      </c>
      <c r="H2847" s="34" t="s">
        <v>6801</v>
      </c>
      <c r="I2847" s="34" t="s">
        <v>18</v>
      </c>
      <c r="J2847" s="34" t="s">
        <v>14</v>
      </c>
      <c r="K2847" s="45">
        <v>64.4</v>
      </c>
      <c r="L2847" s="45">
        <v>74.7</v>
      </c>
      <c r="M2847" s="45">
        <v>74.6</v>
      </c>
    </row>
    <row r="2848">
      <c r="A2848" s="34" t="s">
        <v>70</v>
      </c>
      <c r="B2848" s="34" t="s">
        <v>1545</v>
      </c>
      <c r="C2848" s="34">
        <v>93.0</v>
      </c>
      <c r="D2848" s="34" t="s">
        <v>1852</v>
      </c>
      <c r="E2848" s="34" t="s">
        <v>6811</v>
      </c>
      <c r="F2848" s="34" t="s">
        <v>6812</v>
      </c>
      <c r="G2848" s="34">
        <v>93057.0</v>
      </c>
      <c r="H2848" s="34" t="s">
        <v>6813</v>
      </c>
      <c r="I2848" s="34" t="s">
        <v>18</v>
      </c>
      <c r="J2848" s="34" t="s">
        <v>14</v>
      </c>
      <c r="K2848" s="45">
        <v>95.7</v>
      </c>
      <c r="L2848" s="45">
        <v>78.2</v>
      </c>
      <c r="M2848" s="45">
        <v>83.4</v>
      </c>
    </row>
    <row r="2849">
      <c r="A2849" s="34" t="s">
        <v>70</v>
      </c>
      <c r="B2849" s="34" t="s">
        <v>1545</v>
      </c>
      <c r="C2849" s="34">
        <v>93.0</v>
      </c>
      <c r="D2849" s="34" t="s">
        <v>1852</v>
      </c>
      <c r="E2849" s="34" t="s">
        <v>6814</v>
      </c>
      <c r="F2849" s="34" t="s">
        <v>6815</v>
      </c>
      <c r="G2849" s="34">
        <v>93005.0</v>
      </c>
      <c r="H2849" s="34" t="s">
        <v>1861</v>
      </c>
      <c r="I2849" s="34" t="s">
        <v>17</v>
      </c>
      <c r="J2849" s="34" t="s">
        <v>15</v>
      </c>
      <c r="K2849" s="45">
        <v>125.3</v>
      </c>
      <c r="L2849" s="9"/>
      <c r="M2849" s="45">
        <v>125.3</v>
      </c>
    </row>
    <row r="2850">
      <c r="A2850" s="34" t="s">
        <v>70</v>
      </c>
      <c r="B2850" s="34" t="s">
        <v>1545</v>
      </c>
      <c r="C2850" s="34">
        <v>93.0</v>
      </c>
      <c r="D2850" s="34" t="s">
        <v>1852</v>
      </c>
      <c r="E2850" s="34" t="s">
        <v>6816</v>
      </c>
      <c r="F2850" s="34" t="s">
        <v>6817</v>
      </c>
      <c r="G2850" s="34">
        <v>93073.0</v>
      </c>
      <c r="H2850" s="34" t="s">
        <v>6818</v>
      </c>
      <c r="I2850" s="34" t="s">
        <v>18</v>
      </c>
      <c r="J2850" s="34" t="s">
        <v>13</v>
      </c>
      <c r="K2850" s="9"/>
      <c r="L2850" s="45">
        <v>78.8</v>
      </c>
      <c r="M2850" s="45">
        <v>78.8</v>
      </c>
    </row>
    <row r="2851">
      <c r="A2851" s="34" t="s">
        <v>70</v>
      </c>
      <c r="B2851" s="34" t="s">
        <v>1545</v>
      </c>
      <c r="C2851" s="34">
        <v>93.0</v>
      </c>
      <c r="D2851" s="34" t="s">
        <v>1852</v>
      </c>
      <c r="E2851" s="34" t="s">
        <v>6819</v>
      </c>
      <c r="F2851" s="34" t="s">
        <v>6820</v>
      </c>
      <c r="G2851" s="34">
        <v>93008.0</v>
      </c>
      <c r="H2851" s="34" t="s">
        <v>1866</v>
      </c>
      <c r="I2851" s="34" t="s">
        <v>18</v>
      </c>
      <c r="J2851" s="34" t="s">
        <v>13</v>
      </c>
      <c r="K2851" s="9"/>
      <c r="L2851" s="45">
        <v>83.4</v>
      </c>
      <c r="M2851" s="45">
        <v>83.4</v>
      </c>
    </row>
    <row r="2852">
      <c r="A2852" s="34" t="s">
        <v>70</v>
      </c>
      <c r="B2852" s="34" t="s">
        <v>1545</v>
      </c>
      <c r="C2852" s="34">
        <v>93.0</v>
      </c>
      <c r="D2852" s="34" t="s">
        <v>1852</v>
      </c>
      <c r="E2852" s="34" t="s">
        <v>6821</v>
      </c>
      <c r="F2852" s="34" t="s">
        <v>6822</v>
      </c>
      <c r="G2852" s="34">
        <v>93051.0</v>
      </c>
      <c r="H2852" s="34" t="s">
        <v>3698</v>
      </c>
      <c r="I2852" s="34" t="s">
        <v>18</v>
      </c>
      <c r="J2852" s="34" t="s">
        <v>15</v>
      </c>
      <c r="K2852" s="45">
        <v>110.2</v>
      </c>
      <c r="L2852" s="9"/>
      <c r="M2852" s="45">
        <v>110.2</v>
      </c>
    </row>
    <row r="2853">
      <c r="A2853" s="34" t="s">
        <v>70</v>
      </c>
      <c r="B2853" s="34" t="s">
        <v>1545</v>
      </c>
      <c r="C2853" s="34">
        <v>93.0</v>
      </c>
      <c r="D2853" s="34" t="s">
        <v>1852</v>
      </c>
      <c r="E2853" s="34" t="s">
        <v>6823</v>
      </c>
      <c r="F2853" s="34" t="s">
        <v>6824</v>
      </c>
      <c r="G2853" s="34">
        <v>93062.0</v>
      </c>
      <c r="H2853" s="34" t="s">
        <v>3678</v>
      </c>
      <c r="I2853" s="34" t="s">
        <v>17</v>
      </c>
      <c r="J2853" s="34" t="s">
        <v>15</v>
      </c>
      <c r="K2853" s="45">
        <v>127.0</v>
      </c>
      <c r="L2853" s="9"/>
      <c r="M2853" s="45">
        <v>127.0</v>
      </c>
    </row>
    <row r="2854">
      <c r="A2854" s="34" t="s">
        <v>70</v>
      </c>
      <c r="B2854" s="34" t="s">
        <v>1545</v>
      </c>
      <c r="C2854" s="34">
        <v>93.0</v>
      </c>
      <c r="D2854" s="34" t="s">
        <v>1852</v>
      </c>
      <c r="E2854" s="34" t="s">
        <v>6825</v>
      </c>
      <c r="F2854" s="34" t="s">
        <v>6826</v>
      </c>
      <c r="G2854" s="34">
        <v>93057.0</v>
      </c>
      <c r="H2854" s="34" t="s">
        <v>6813</v>
      </c>
      <c r="I2854" s="34" t="s">
        <v>17</v>
      </c>
      <c r="J2854" s="34" t="s">
        <v>15</v>
      </c>
      <c r="K2854" s="45">
        <v>128.4</v>
      </c>
      <c r="L2854" s="9"/>
      <c r="M2854" s="45">
        <v>128.4</v>
      </c>
    </row>
    <row r="2855">
      <c r="A2855" s="34" t="s">
        <v>70</v>
      </c>
      <c r="B2855" s="34" t="s">
        <v>1545</v>
      </c>
      <c r="C2855" s="34">
        <v>93.0</v>
      </c>
      <c r="D2855" s="34" t="s">
        <v>1852</v>
      </c>
      <c r="E2855" s="34" t="s">
        <v>6827</v>
      </c>
      <c r="F2855" s="34" t="s">
        <v>6828</v>
      </c>
      <c r="G2855" s="34">
        <v>93014.0</v>
      </c>
      <c r="H2855" s="34" t="s">
        <v>6829</v>
      </c>
      <c r="I2855" s="34" t="s">
        <v>18</v>
      </c>
      <c r="J2855" s="34" t="s">
        <v>14</v>
      </c>
      <c r="K2855" s="45">
        <v>77.5</v>
      </c>
      <c r="L2855" s="45">
        <v>74.2</v>
      </c>
      <c r="M2855" s="45">
        <v>76.1</v>
      </c>
    </row>
    <row r="2856">
      <c r="A2856" s="34" t="s">
        <v>70</v>
      </c>
      <c r="B2856" s="34" t="s">
        <v>1545</v>
      </c>
      <c r="C2856" s="34">
        <v>93.0</v>
      </c>
      <c r="D2856" s="34" t="s">
        <v>1852</v>
      </c>
      <c r="E2856" s="34" t="s">
        <v>6830</v>
      </c>
      <c r="F2856" s="34" t="s">
        <v>6831</v>
      </c>
      <c r="G2856" s="34">
        <v>93007.0</v>
      </c>
      <c r="H2856" s="34" t="s">
        <v>5271</v>
      </c>
      <c r="I2856" s="34" t="s">
        <v>18</v>
      </c>
      <c r="J2856" s="34" t="s">
        <v>15</v>
      </c>
      <c r="K2856" s="45">
        <v>85.0</v>
      </c>
      <c r="L2856" s="9"/>
      <c r="M2856" s="45">
        <v>85.0</v>
      </c>
    </row>
    <row r="2857">
      <c r="A2857" s="34" t="s">
        <v>70</v>
      </c>
      <c r="B2857" s="34" t="s">
        <v>1545</v>
      </c>
      <c r="C2857" s="34">
        <v>93.0</v>
      </c>
      <c r="D2857" s="34" t="s">
        <v>1852</v>
      </c>
      <c r="E2857" s="34" t="s">
        <v>6832</v>
      </c>
      <c r="F2857" s="34" t="s">
        <v>6833</v>
      </c>
      <c r="G2857" s="34">
        <v>93045.0</v>
      </c>
      <c r="H2857" s="34" t="s">
        <v>6834</v>
      </c>
      <c r="I2857" s="34" t="s">
        <v>18</v>
      </c>
      <c r="J2857" s="34" t="s">
        <v>14</v>
      </c>
      <c r="K2857" s="45">
        <v>100.9</v>
      </c>
      <c r="L2857" s="45">
        <v>76.3</v>
      </c>
      <c r="M2857" s="45">
        <v>96.1</v>
      </c>
    </row>
    <row r="2858">
      <c r="A2858" s="34" t="s">
        <v>70</v>
      </c>
      <c r="B2858" s="34" t="s">
        <v>1545</v>
      </c>
      <c r="C2858" s="34">
        <v>93.0</v>
      </c>
      <c r="D2858" s="34" t="s">
        <v>1852</v>
      </c>
      <c r="E2858" s="34" t="s">
        <v>6835</v>
      </c>
      <c r="F2858" s="34" t="s">
        <v>6836</v>
      </c>
      <c r="G2858" s="34">
        <v>93070.0</v>
      </c>
      <c r="H2858" s="34" t="s">
        <v>6804</v>
      </c>
      <c r="I2858" s="34" t="s">
        <v>18</v>
      </c>
      <c r="J2858" s="34" t="s">
        <v>14</v>
      </c>
      <c r="K2858" s="45">
        <v>81.4</v>
      </c>
      <c r="L2858" s="45">
        <v>73.1</v>
      </c>
      <c r="M2858" s="45">
        <v>77.0</v>
      </c>
    </row>
    <row r="2859">
      <c r="A2859" s="34" t="s">
        <v>70</v>
      </c>
      <c r="B2859" s="34" t="s">
        <v>1545</v>
      </c>
      <c r="C2859" s="34">
        <v>93.0</v>
      </c>
      <c r="D2859" s="34" t="s">
        <v>1852</v>
      </c>
      <c r="E2859" s="34" t="s">
        <v>6837</v>
      </c>
      <c r="F2859" s="34" t="s">
        <v>6838</v>
      </c>
      <c r="G2859" s="34">
        <v>93008.0</v>
      </c>
      <c r="H2859" s="34" t="s">
        <v>1866</v>
      </c>
      <c r="I2859" s="34" t="s">
        <v>18</v>
      </c>
      <c r="J2859" s="34" t="s">
        <v>14</v>
      </c>
      <c r="K2859" s="45">
        <v>57.4</v>
      </c>
      <c r="L2859" s="45">
        <v>77.6</v>
      </c>
      <c r="M2859" s="45">
        <v>77.3</v>
      </c>
    </row>
    <row r="2860">
      <c r="A2860" s="34" t="s">
        <v>70</v>
      </c>
      <c r="B2860" s="34" t="s">
        <v>1545</v>
      </c>
      <c r="C2860" s="34">
        <v>93.0</v>
      </c>
      <c r="D2860" s="34" t="s">
        <v>1852</v>
      </c>
      <c r="E2860" s="34" t="s">
        <v>6839</v>
      </c>
      <c r="F2860" s="34" t="s">
        <v>6840</v>
      </c>
      <c r="G2860" s="34">
        <v>93029.0</v>
      </c>
      <c r="H2860" s="34" t="s">
        <v>1891</v>
      </c>
      <c r="I2860" s="34" t="s">
        <v>18</v>
      </c>
      <c r="J2860" s="34" t="s">
        <v>14</v>
      </c>
      <c r="K2860" s="45">
        <v>86.3</v>
      </c>
      <c r="L2860" s="45">
        <v>76.3</v>
      </c>
      <c r="M2860" s="45">
        <v>81.2</v>
      </c>
    </row>
    <row r="2861">
      <c r="A2861" s="34" t="s">
        <v>70</v>
      </c>
      <c r="B2861" s="34" t="s">
        <v>1545</v>
      </c>
      <c r="C2861" s="34">
        <v>93.0</v>
      </c>
      <c r="D2861" s="34" t="s">
        <v>1852</v>
      </c>
      <c r="E2861" s="34" t="s">
        <v>6841</v>
      </c>
      <c r="F2861" s="34" t="s">
        <v>6842</v>
      </c>
      <c r="G2861" s="34">
        <v>93010.0</v>
      </c>
      <c r="H2861" s="34" t="s">
        <v>3670</v>
      </c>
      <c r="I2861" s="34" t="s">
        <v>18</v>
      </c>
      <c r="J2861" s="34" t="s">
        <v>14</v>
      </c>
      <c r="K2861" s="45">
        <v>76.2</v>
      </c>
      <c r="L2861" s="45">
        <v>79.1</v>
      </c>
      <c r="M2861" s="45">
        <v>79.0</v>
      </c>
    </row>
    <row r="2862">
      <c r="A2862" s="34" t="s">
        <v>70</v>
      </c>
      <c r="B2862" s="34" t="s">
        <v>1545</v>
      </c>
      <c r="C2862" s="34">
        <v>93.0</v>
      </c>
      <c r="D2862" s="34" t="s">
        <v>1852</v>
      </c>
      <c r="E2862" s="34" t="s">
        <v>6843</v>
      </c>
      <c r="F2862" s="34" t="s">
        <v>6844</v>
      </c>
      <c r="G2862" s="34">
        <v>93051.0</v>
      </c>
      <c r="H2862" s="34" t="s">
        <v>3698</v>
      </c>
      <c r="I2862" s="34" t="s">
        <v>18</v>
      </c>
      <c r="J2862" s="34" t="s">
        <v>15</v>
      </c>
      <c r="K2862" s="45">
        <v>120.3</v>
      </c>
      <c r="L2862" s="9"/>
      <c r="M2862" s="45">
        <v>120.3</v>
      </c>
    </row>
    <row r="2863">
      <c r="A2863" s="34" t="s">
        <v>70</v>
      </c>
      <c r="B2863" s="34" t="s">
        <v>1545</v>
      </c>
      <c r="C2863" s="34">
        <v>94.0</v>
      </c>
      <c r="D2863" s="34" t="s">
        <v>1895</v>
      </c>
      <c r="E2863" s="34" t="s">
        <v>6845</v>
      </c>
      <c r="F2863" s="34" t="s">
        <v>391</v>
      </c>
      <c r="G2863" s="34">
        <v>94028.0</v>
      </c>
      <c r="H2863" s="34" t="s">
        <v>1545</v>
      </c>
      <c r="I2863" s="34" t="s">
        <v>18</v>
      </c>
      <c r="J2863" s="34" t="s">
        <v>14</v>
      </c>
      <c r="K2863" s="45">
        <v>96.0</v>
      </c>
      <c r="L2863" s="45">
        <v>78.8</v>
      </c>
      <c r="M2863" s="45">
        <v>91.6</v>
      </c>
    </row>
    <row r="2864">
      <c r="A2864" s="34" t="s">
        <v>70</v>
      </c>
      <c r="B2864" s="34" t="s">
        <v>1545</v>
      </c>
      <c r="C2864" s="34">
        <v>94.0</v>
      </c>
      <c r="D2864" s="34" t="s">
        <v>1895</v>
      </c>
      <c r="E2864" s="34" t="s">
        <v>6846</v>
      </c>
      <c r="F2864" s="34" t="s">
        <v>2485</v>
      </c>
      <c r="G2864" s="34">
        <v>94068.0</v>
      </c>
      <c r="H2864" s="34" t="s">
        <v>3735</v>
      </c>
      <c r="I2864" s="34" t="s">
        <v>18</v>
      </c>
      <c r="J2864" s="34" t="s">
        <v>15</v>
      </c>
      <c r="K2864" s="45">
        <v>141.8</v>
      </c>
      <c r="L2864" s="9"/>
      <c r="M2864" s="45">
        <v>141.8</v>
      </c>
    </row>
    <row r="2865">
      <c r="A2865" s="34" t="s">
        <v>70</v>
      </c>
      <c r="B2865" s="34" t="s">
        <v>1545</v>
      </c>
      <c r="C2865" s="34">
        <v>94.0</v>
      </c>
      <c r="D2865" s="34" t="s">
        <v>1895</v>
      </c>
      <c r="E2865" s="34" t="s">
        <v>6847</v>
      </c>
      <c r="F2865" s="34" t="s">
        <v>6848</v>
      </c>
      <c r="G2865" s="34">
        <v>94068.0</v>
      </c>
      <c r="H2865" s="34" t="s">
        <v>3735</v>
      </c>
      <c r="I2865" s="34" t="s">
        <v>18</v>
      </c>
      <c r="J2865" s="34" t="s">
        <v>14</v>
      </c>
      <c r="K2865" s="45">
        <v>119.3</v>
      </c>
      <c r="L2865" s="45">
        <v>98.2</v>
      </c>
      <c r="M2865" s="45">
        <v>114.5</v>
      </c>
    </row>
    <row r="2866">
      <c r="A2866" s="34" t="s">
        <v>70</v>
      </c>
      <c r="B2866" s="34" t="s">
        <v>1545</v>
      </c>
      <c r="C2866" s="34">
        <v>94.0</v>
      </c>
      <c r="D2866" s="34" t="s">
        <v>1895</v>
      </c>
      <c r="E2866" s="34" t="s">
        <v>6849</v>
      </c>
      <c r="F2866" s="34" t="s">
        <v>6850</v>
      </c>
      <c r="G2866" s="34">
        <v>94080.0</v>
      </c>
      <c r="H2866" s="34" t="s">
        <v>3732</v>
      </c>
      <c r="I2866" s="34" t="s">
        <v>17</v>
      </c>
      <c r="J2866" s="34" t="s">
        <v>15</v>
      </c>
      <c r="K2866" s="45">
        <v>123.0</v>
      </c>
      <c r="L2866" s="9"/>
      <c r="M2866" s="45">
        <v>123.0</v>
      </c>
    </row>
    <row r="2867">
      <c r="A2867" s="34" t="s">
        <v>70</v>
      </c>
      <c r="B2867" s="34" t="s">
        <v>1545</v>
      </c>
      <c r="C2867" s="34">
        <v>94.0</v>
      </c>
      <c r="D2867" s="34" t="s">
        <v>1895</v>
      </c>
      <c r="E2867" s="34" t="s">
        <v>6851</v>
      </c>
      <c r="F2867" s="34" t="s">
        <v>6852</v>
      </c>
      <c r="G2867" s="34">
        <v>94080.0</v>
      </c>
      <c r="H2867" s="34" t="s">
        <v>3732</v>
      </c>
      <c r="I2867" s="34" t="s">
        <v>17</v>
      </c>
      <c r="J2867" s="34" t="s">
        <v>15</v>
      </c>
      <c r="K2867" s="45">
        <v>125.8</v>
      </c>
      <c r="L2867" s="9"/>
      <c r="M2867" s="45">
        <v>125.8</v>
      </c>
    </row>
    <row r="2868">
      <c r="A2868" s="34" t="s">
        <v>70</v>
      </c>
      <c r="B2868" s="34" t="s">
        <v>1545</v>
      </c>
      <c r="C2868" s="34">
        <v>94.0</v>
      </c>
      <c r="D2868" s="34" t="s">
        <v>1895</v>
      </c>
      <c r="E2868" s="34" t="s">
        <v>6853</v>
      </c>
      <c r="F2868" s="34" t="s">
        <v>6854</v>
      </c>
      <c r="G2868" s="34">
        <v>94067.0</v>
      </c>
      <c r="H2868" s="34" t="s">
        <v>6855</v>
      </c>
      <c r="I2868" s="34" t="s">
        <v>17</v>
      </c>
      <c r="J2868" s="34" t="s">
        <v>15</v>
      </c>
      <c r="K2868" s="45">
        <v>135.2</v>
      </c>
      <c r="L2868" s="9"/>
      <c r="M2868" s="45">
        <v>135.2</v>
      </c>
    </row>
    <row r="2869">
      <c r="A2869" s="34" t="s">
        <v>70</v>
      </c>
      <c r="B2869" s="34" t="s">
        <v>1545</v>
      </c>
      <c r="C2869" s="34">
        <v>94.0</v>
      </c>
      <c r="D2869" s="34" t="s">
        <v>1895</v>
      </c>
      <c r="E2869" s="34" t="s">
        <v>6856</v>
      </c>
      <c r="F2869" s="34" t="s">
        <v>6857</v>
      </c>
      <c r="G2869" s="34">
        <v>94028.0</v>
      </c>
      <c r="H2869" s="34" t="s">
        <v>1545</v>
      </c>
      <c r="I2869" s="34" t="s">
        <v>18</v>
      </c>
      <c r="J2869" s="34" t="s">
        <v>14</v>
      </c>
      <c r="K2869" s="45">
        <v>97.4</v>
      </c>
      <c r="L2869" s="45">
        <v>85.6</v>
      </c>
      <c r="M2869" s="45">
        <v>91.1</v>
      </c>
    </row>
    <row r="2870">
      <c r="A2870" s="34" t="s">
        <v>70</v>
      </c>
      <c r="B2870" s="34" t="s">
        <v>1545</v>
      </c>
      <c r="C2870" s="34">
        <v>94.0</v>
      </c>
      <c r="D2870" s="34" t="s">
        <v>1895</v>
      </c>
      <c r="E2870" s="34" t="s">
        <v>6858</v>
      </c>
      <c r="F2870" s="34" t="s">
        <v>1003</v>
      </c>
      <c r="G2870" s="34">
        <v>94022.0</v>
      </c>
      <c r="H2870" s="34" t="s">
        <v>1918</v>
      </c>
      <c r="I2870" s="34" t="s">
        <v>18</v>
      </c>
      <c r="J2870" s="34" t="s">
        <v>13</v>
      </c>
      <c r="K2870" s="9"/>
      <c r="L2870" s="45">
        <v>77.5</v>
      </c>
      <c r="M2870" s="45">
        <v>77.5</v>
      </c>
    </row>
    <row r="2871">
      <c r="A2871" s="34" t="s">
        <v>70</v>
      </c>
      <c r="B2871" s="34" t="s">
        <v>1545</v>
      </c>
      <c r="C2871" s="34">
        <v>94.0</v>
      </c>
      <c r="D2871" s="34" t="s">
        <v>1895</v>
      </c>
      <c r="E2871" s="34" t="s">
        <v>6859</v>
      </c>
      <c r="F2871" s="34" t="s">
        <v>6860</v>
      </c>
      <c r="G2871" s="34">
        <v>94043.0</v>
      </c>
      <c r="H2871" s="34" t="s">
        <v>6861</v>
      </c>
      <c r="I2871" s="34" t="s">
        <v>18</v>
      </c>
      <c r="J2871" s="34" t="s">
        <v>13</v>
      </c>
      <c r="K2871" s="9"/>
      <c r="L2871" s="45">
        <v>79.5</v>
      </c>
      <c r="M2871" s="45">
        <v>79.5</v>
      </c>
    </row>
    <row r="2872">
      <c r="A2872" s="34" t="s">
        <v>70</v>
      </c>
      <c r="B2872" s="34" t="s">
        <v>1545</v>
      </c>
      <c r="C2872" s="34">
        <v>94.0</v>
      </c>
      <c r="D2872" s="34" t="s">
        <v>1895</v>
      </c>
      <c r="E2872" s="34" t="s">
        <v>6862</v>
      </c>
      <c r="F2872" s="34" t="s">
        <v>6863</v>
      </c>
      <c r="G2872" s="34">
        <v>94042.0</v>
      </c>
      <c r="H2872" s="34" t="s">
        <v>6864</v>
      </c>
      <c r="I2872" s="34" t="s">
        <v>17</v>
      </c>
      <c r="J2872" s="34" t="s">
        <v>13</v>
      </c>
      <c r="K2872" s="9"/>
      <c r="L2872" s="45">
        <v>124.8</v>
      </c>
      <c r="M2872" s="45">
        <v>124.8</v>
      </c>
    </row>
    <row r="2873">
      <c r="A2873" s="34" t="s">
        <v>70</v>
      </c>
      <c r="B2873" s="34" t="s">
        <v>1579</v>
      </c>
      <c r="C2873" s="34">
        <v>95.0</v>
      </c>
      <c r="D2873" s="34" t="s">
        <v>1927</v>
      </c>
      <c r="E2873" s="34" t="s">
        <v>6865</v>
      </c>
      <c r="F2873" s="34" t="s">
        <v>6648</v>
      </c>
      <c r="G2873" s="34">
        <v>95018.0</v>
      </c>
      <c r="H2873" s="34" t="s">
        <v>1930</v>
      </c>
      <c r="I2873" s="34" t="s">
        <v>18</v>
      </c>
      <c r="J2873" s="34" t="s">
        <v>14</v>
      </c>
      <c r="K2873" s="45">
        <v>91.1</v>
      </c>
      <c r="L2873" s="45">
        <v>79.9</v>
      </c>
      <c r="M2873" s="45">
        <v>87.0</v>
      </c>
    </row>
    <row r="2874">
      <c r="A2874" s="34" t="s">
        <v>70</v>
      </c>
      <c r="B2874" s="34" t="s">
        <v>1579</v>
      </c>
      <c r="C2874" s="34">
        <v>95.0</v>
      </c>
      <c r="D2874" s="34" t="s">
        <v>1927</v>
      </c>
      <c r="E2874" s="34" t="s">
        <v>6866</v>
      </c>
      <c r="F2874" s="34" t="s">
        <v>4380</v>
      </c>
      <c r="G2874" s="34">
        <v>95277.0</v>
      </c>
      <c r="H2874" s="34" t="s">
        <v>6867</v>
      </c>
      <c r="I2874" s="34" t="s">
        <v>18</v>
      </c>
      <c r="J2874" s="34" t="s">
        <v>15</v>
      </c>
      <c r="K2874" s="45">
        <v>91.8</v>
      </c>
      <c r="L2874" s="9"/>
      <c r="M2874" s="45">
        <v>91.8</v>
      </c>
    </row>
    <row r="2875">
      <c r="A2875" s="34" t="s">
        <v>70</v>
      </c>
      <c r="B2875" s="34" t="s">
        <v>1579</v>
      </c>
      <c r="C2875" s="34">
        <v>95.0</v>
      </c>
      <c r="D2875" s="34" t="s">
        <v>1927</v>
      </c>
      <c r="E2875" s="34" t="s">
        <v>6868</v>
      </c>
      <c r="F2875" s="34" t="s">
        <v>6869</v>
      </c>
      <c r="G2875" s="34">
        <v>95500.0</v>
      </c>
      <c r="H2875" s="34" t="s">
        <v>1942</v>
      </c>
      <c r="I2875" s="34" t="s">
        <v>18</v>
      </c>
      <c r="J2875" s="34" t="s">
        <v>14</v>
      </c>
      <c r="K2875" s="45">
        <v>112.5</v>
      </c>
      <c r="L2875" s="45">
        <v>86.2</v>
      </c>
      <c r="M2875" s="45">
        <v>108.5</v>
      </c>
    </row>
    <row r="2876">
      <c r="A2876" s="34" t="s">
        <v>70</v>
      </c>
      <c r="B2876" s="34" t="s">
        <v>1579</v>
      </c>
      <c r="C2876" s="34">
        <v>95.0</v>
      </c>
      <c r="D2876" s="34" t="s">
        <v>1927</v>
      </c>
      <c r="E2876" s="34" t="s">
        <v>6870</v>
      </c>
      <c r="F2876" s="34" t="s">
        <v>6871</v>
      </c>
      <c r="G2876" s="34">
        <v>95176.0</v>
      </c>
      <c r="H2876" s="34" t="s">
        <v>6872</v>
      </c>
      <c r="I2876" s="34" t="s">
        <v>18</v>
      </c>
      <c r="J2876" s="34" t="s">
        <v>13</v>
      </c>
      <c r="K2876" s="9"/>
      <c r="L2876" s="45">
        <v>89.7</v>
      </c>
      <c r="M2876" s="45">
        <v>89.7</v>
      </c>
    </row>
    <row r="2877">
      <c r="A2877" s="34" t="s">
        <v>70</v>
      </c>
      <c r="B2877" s="34" t="s">
        <v>1579</v>
      </c>
      <c r="C2877" s="34">
        <v>95.0</v>
      </c>
      <c r="D2877" s="34" t="s">
        <v>1927</v>
      </c>
      <c r="E2877" s="34" t="s">
        <v>6873</v>
      </c>
      <c r="F2877" s="34" t="s">
        <v>6874</v>
      </c>
      <c r="G2877" s="34">
        <v>95369.0</v>
      </c>
      <c r="H2877" s="34" t="s">
        <v>6875</v>
      </c>
      <c r="I2877" s="34" t="s">
        <v>17</v>
      </c>
      <c r="J2877" s="34" t="s">
        <v>15</v>
      </c>
      <c r="K2877" s="45">
        <v>139.9</v>
      </c>
      <c r="L2877" s="9"/>
      <c r="M2877" s="45">
        <v>139.9</v>
      </c>
    </row>
    <row r="2878">
      <c r="A2878" s="34" t="s">
        <v>70</v>
      </c>
      <c r="B2878" s="34" t="s">
        <v>1579</v>
      </c>
      <c r="C2878" s="34">
        <v>95.0</v>
      </c>
      <c r="D2878" s="34" t="s">
        <v>1927</v>
      </c>
      <c r="E2878" s="34" t="s">
        <v>6876</v>
      </c>
      <c r="F2878" s="34" t="s">
        <v>6877</v>
      </c>
      <c r="G2878" s="34">
        <v>95500.0</v>
      </c>
      <c r="H2878" s="34" t="s">
        <v>1942</v>
      </c>
      <c r="I2878" s="34" t="s">
        <v>17</v>
      </c>
      <c r="J2878" s="34" t="s">
        <v>15</v>
      </c>
      <c r="K2878" s="45">
        <v>128.7</v>
      </c>
      <c r="L2878" s="9"/>
      <c r="M2878" s="45">
        <v>128.7</v>
      </c>
    </row>
    <row r="2879">
      <c r="A2879" s="34" t="s">
        <v>70</v>
      </c>
      <c r="B2879" s="34" t="s">
        <v>1579</v>
      </c>
      <c r="C2879" s="34">
        <v>95.0</v>
      </c>
      <c r="D2879" s="34" t="s">
        <v>1927</v>
      </c>
      <c r="E2879" s="34" t="s">
        <v>6878</v>
      </c>
      <c r="F2879" s="34" t="s">
        <v>6879</v>
      </c>
      <c r="G2879" s="34">
        <v>95585.0</v>
      </c>
      <c r="H2879" s="34" t="s">
        <v>1933</v>
      </c>
      <c r="I2879" s="34" t="s">
        <v>17</v>
      </c>
      <c r="J2879" s="34" t="s">
        <v>15</v>
      </c>
      <c r="K2879" s="45">
        <v>110.1</v>
      </c>
      <c r="L2879" s="9"/>
      <c r="M2879" s="45">
        <v>110.1</v>
      </c>
    </row>
    <row r="2880">
      <c r="A2880" s="34" t="s">
        <v>70</v>
      </c>
      <c r="B2880" s="34" t="s">
        <v>1579</v>
      </c>
      <c r="C2880" s="34">
        <v>95.0</v>
      </c>
      <c r="D2880" s="34" t="s">
        <v>1927</v>
      </c>
      <c r="E2880" s="34" t="s">
        <v>6880</v>
      </c>
      <c r="F2880" s="34" t="s">
        <v>6357</v>
      </c>
      <c r="G2880" s="34">
        <v>95127.0</v>
      </c>
      <c r="H2880" s="34" t="s">
        <v>1951</v>
      </c>
      <c r="I2880" s="34" t="s">
        <v>18</v>
      </c>
      <c r="J2880" s="34" t="s">
        <v>15</v>
      </c>
      <c r="K2880" s="45">
        <v>107.2</v>
      </c>
      <c r="L2880" s="9"/>
      <c r="M2880" s="45">
        <v>107.2</v>
      </c>
    </row>
    <row r="2881">
      <c r="A2881" s="34" t="s">
        <v>70</v>
      </c>
      <c r="B2881" s="34" t="s">
        <v>1579</v>
      </c>
      <c r="C2881" s="34">
        <v>95.0</v>
      </c>
      <c r="D2881" s="34" t="s">
        <v>1927</v>
      </c>
      <c r="E2881" s="34" t="s">
        <v>6881</v>
      </c>
      <c r="F2881" s="34" t="s">
        <v>2316</v>
      </c>
      <c r="G2881" s="34">
        <v>95252.0</v>
      </c>
      <c r="H2881" s="34" t="s">
        <v>5349</v>
      </c>
      <c r="I2881" s="34" t="s">
        <v>18</v>
      </c>
      <c r="J2881" s="34" t="s">
        <v>15</v>
      </c>
      <c r="K2881" s="45">
        <v>104.0</v>
      </c>
      <c r="L2881" s="9"/>
      <c r="M2881" s="45">
        <v>104.0</v>
      </c>
    </row>
    <row r="2882">
      <c r="A2882" s="34" t="s">
        <v>70</v>
      </c>
      <c r="B2882" s="34" t="s">
        <v>1579</v>
      </c>
      <c r="C2882" s="34">
        <v>95.0</v>
      </c>
      <c r="D2882" s="34" t="s">
        <v>1927</v>
      </c>
      <c r="E2882" s="34" t="s">
        <v>6882</v>
      </c>
      <c r="F2882" s="34" t="s">
        <v>6883</v>
      </c>
      <c r="G2882" s="34">
        <v>95572.0</v>
      </c>
      <c r="H2882" s="34" t="s">
        <v>1936</v>
      </c>
      <c r="I2882" s="34" t="s">
        <v>18</v>
      </c>
      <c r="J2882" s="34" t="s">
        <v>14</v>
      </c>
      <c r="K2882" s="45">
        <v>105.0</v>
      </c>
      <c r="L2882" s="45">
        <v>89.3</v>
      </c>
      <c r="M2882" s="45">
        <v>100.4</v>
      </c>
    </row>
    <row r="2883">
      <c r="A2883" s="34" t="s">
        <v>70</v>
      </c>
      <c r="B2883" s="34" t="s">
        <v>1579</v>
      </c>
      <c r="C2883" s="34">
        <v>95.0</v>
      </c>
      <c r="D2883" s="34" t="s">
        <v>1927</v>
      </c>
      <c r="E2883" s="34" t="s">
        <v>6884</v>
      </c>
      <c r="F2883" s="34" t="s">
        <v>2581</v>
      </c>
      <c r="G2883" s="34">
        <v>95580.0</v>
      </c>
      <c r="H2883" s="34" t="s">
        <v>6885</v>
      </c>
      <c r="I2883" s="34" t="s">
        <v>18</v>
      </c>
      <c r="J2883" s="34" t="s">
        <v>15</v>
      </c>
      <c r="K2883" s="45">
        <v>112.0</v>
      </c>
      <c r="L2883" s="9"/>
      <c r="M2883" s="45">
        <v>112.0</v>
      </c>
    </row>
    <row r="2884">
      <c r="A2884" s="34" t="s">
        <v>70</v>
      </c>
      <c r="B2884" s="34" t="s">
        <v>1579</v>
      </c>
      <c r="C2884" s="34">
        <v>95.0</v>
      </c>
      <c r="D2884" s="34" t="s">
        <v>1927</v>
      </c>
      <c r="E2884" s="34" t="s">
        <v>6886</v>
      </c>
      <c r="F2884" s="34" t="s">
        <v>6887</v>
      </c>
      <c r="G2884" s="34">
        <v>95018.0</v>
      </c>
      <c r="H2884" s="34" t="s">
        <v>1930</v>
      </c>
      <c r="I2884" s="34" t="s">
        <v>18</v>
      </c>
      <c r="J2884" s="34" t="s">
        <v>14</v>
      </c>
      <c r="K2884" s="45">
        <v>86.7</v>
      </c>
      <c r="L2884" s="45">
        <v>79.6</v>
      </c>
      <c r="M2884" s="45">
        <v>82.5</v>
      </c>
    </row>
    <row r="2885">
      <c r="A2885" s="34" t="s">
        <v>70</v>
      </c>
      <c r="B2885" s="34" t="s">
        <v>1964</v>
      </c>
      <c r="C2885" s="34" t="s">
        <v>1965</v>
      </c>
      <c r="D2885" s="34" t="s">
        <v>1966</v>
      </c>
      <c r="E2885" s="34" t="s">
        <v>6888</v>
      </c>
      <c r="F2885" s="34" t="s">
        <v>6889</v>
      </c>
      <c r="G2885" s="34" t="s">
        <v>1969</v>
      </c>
      <c r="H2885" s="34" t="s">
        <v>1970</v>
      </c>
      <c r="I2885" s="34" t="s">
        <v>18</v>
      </c>
      <c r="J2885" s="34" t="s">
        <v>13</v>
      </c>
      <c r="K2885" s="9"/>
      <c r="L2885" s="45">
        <v>90.1</v>
      </c>
      <c r="M2885" s="45">
        <v>90.1</v>
      </c>
    </row>
    <row r="2886">
      <c r="A2886" s="34" t="s">
        <v>70</v>
      </c>
      <c r="B2886" s="34" t="s">
        <v>1964</v>
      </c>
      <c r="C2886" s="34" t="s">
        <v>1975</v>
      </c>
      <c r="D2886" s="34" t="s">
        <v>1976</v>
      </c>
      <c r="E2886" s="34" t="s">
        <v>6890</v>
      </c>
      <c r="F2886" s="34" t="s">
        <v>6891</v>
      </c>
      <c r="G2886" s="34" t="s">
        <v>1979</v>
      </c>
      <c r="H2886" s="34" t="s">
        <v>1980</v>
      </c>
      <c r="I2886" s="34" t="s">
        <v>18</v>
      </c>
      <c r="J2886" s="34" t="s">
        <v>15</v>
      </c>
      <c r="K2886" s="45">
        <v>98.8</v>
      </c>
      <c r="L2886" s="9"/>
      <c r="M2886" s="45">
        <v>98.8</v>
      </c>
    </row>
    <row r="2887">
      <c r="A2887" s="34" t="s">
        <v>70</v>
      </c>
      <c r="B2887" s="34" t="s">
        <v>1989</v>
      </c>
      <c r="C2887" s="34">
        <v>971.0</v>
      </c>
      <c r="D2887" s="34" t="s">
        <v>1989</v>
      </c>
      <c r="E2887" s="34" t="s">
        <v>6892</v>
      </c>
      <c r="F2887" s="34" t="s">
        <v>6893</v>
      </c>
      <c r="G2887" s="34">
        <v>97117.0</v>
      </c>
      <c r="H2887" s="34" t="s">
        <v>6894</v>
      </c>
      <c r="I2887" s="34" t="s">
        <v>18</v>
      </c>
      <c r="J2887" s="34" t="s">
        <v>13</v>
      </c>
      <c r="K2887" s="9"/>
      <c r="L2887" s="45">
        <v>71.8</v>
      </c>
      <c r="M2887" s="45">
        <v>71.8</v>
      </c>
    </row>
    <row r="2888">
      <c r="A2888" s="34" t="s">
        <v>70</v>
      </c>
      <c r="B2888" s="34" t="s">
        <v>1989</v>
      </c>
      <c r="C2888" s="34">
        <v>971.0</v>
      </c>
      <c r="D2888" s="34" t="s">
        <v>1989</v>
      </c>
      <c r="E2888" s="34" t="s">
        <v>6895</v>
      </c>
      <c r="F2888" s="34" t="s">
        <v>6896</v>
      </c>
      <c r="G2888" s="34">
        <v>97116.0</v>
      </c>
      <c r="H2888" s="34" t="s">
        <v>3801</v>
      </c>
      <c r="I2888" s="34" t="s">
        <v>18</v>
      </c>
      <c r="J2888" s="34" t="s">
        <v>13</v>
      </c>
      <c r="K2888" s="9"/>
      <c r="L2888" s="45">
        <v>73.4</v>
      </c>
      <c r="M2888" s="45">
        <v>73.4</v>
      </c>
    </row>
    <row r="2889">
      <c r="A2889" s="34" t="s">
        <v>70</v>
      </c>
      <c r="B2889" s="34" t="s">
        <v>1989</v>
      </c>
      <c r="C2889" s="34">
        <v>971.0</v>
      </c>
      <c r="D2889" s="34" t="s">
        <v>1989</v>
      </c>
      <c r="E2889" s="34" t="s">
        <v>6897</v>
      </c>
      <c r="F2889" s="34" t="s">
        <v>6898</v>
      </c>
      <c r="G2889" s="34">
        <v>97801.0</v>
      </c>
      <c r="H2889" s="34" t="s">
        <v>2007</v>
      </c>
      <c r="I2889" s="34" t="s">
        <v>18</v>
      </c>
      <c r="J2889" s="34" t="s">
        <v>15</v>
      </c>
      <c r="K2889" s="45">
        <v>91.4</v>
      </c>
      <c r="L2889" s="9"/>
      <c r="M2889" s="45">
        <v>91.4</v>
      </c>
    </row>
    <row r="2890">
      <c r="A2890" s="34" t="s">
        <v>70</v>
      </c>
      <c r="B2890" s="34" t="s">
        <v>2013</v>
      </c>
      <c r="C2890" s="34">
        <v>972.0</v>
      </c>
      <c r="D2890" s="34" t="s">
        <v>2013</v>
      </c>
      <c r="E2890" s="34" t="s">
        <v>6899</v>
      </c>
      <c r="F2890" s="34" t="s">
        <v>6900</v>
      </c>
      <c r="G2890" s="34">
        <v>97229.0</v>
      </c>
      <c r="H2890" s="34" t="s">
        <v>6901</v>
      </c>
      <c r="I2890" s="34" t="s">
        <v>18</v>
      </c>
      <c r="J2890" s="34" t="s">
        <v>13</v>
      </c>
      <c r="K2890" s="9"/>
      <c r="L2890" s="45">
        <v>72.0</v>
      </c>
      <c r="M2890" s="45">
        <v>72.0</v>
      </c>
    </row>
    <row r="2891">
      <c r="A2891" s="34" t="s">
        <v>70</v>
      </c>
      <c r="B2891" s="34" t="s">
        <v>2013</v>
      </c>
      <c r="C2891" s="34">
        <v>972.0</v>
      </c>
      <c r="D2891" s="34" t="s">
        <v>2013</v>
      </c>
      <c r="E2891" s="34" t="s">
        <v>6902</v>
      </c>
      <c r="F2891" s="34" t="s">
        <v>6903</v>
      </c>
      <c r="G2891" s="34">
        <v>97209.0</v>
      </c>
      <c r="H2891" s="34" t="s">
        <v>2016</v>
      </c>
      <c r="I2891" s="34" t="s">
        <v>18</v>
      </c>
      <c r="J2891" s="34" t="s">
        <v>13</v>
      </c>
      <c r="K2891" s="9"/>
      <c r="L2891" s="45">
        <v>75.6</v>
      </c>
      <c r="M2891" s="45">
        <v>75.6</v>
      </c>
    </row>
    <row r="2892">
      <c r="A2892" s="34" t="s">
        <v>70</v>
      </c>
      <c r="B2892" s="34" t="s">
        <v>2013</v>
      </c>
      <c r="C2892" s="34">
        <v>972.0</v>
      </c>
      <c r="D2892" s="34" t="s">
        <v>2013</v>
      </c>
      <c r="E2892" s="34" t="s">
        <v>6904</v>
      </c>
      <c r="F2892" s="34" t="s">
        <v>6905</v>
      </c>
      <c r="G2892" s="34">
        <v>97209.0</v>
      </c>
      <c r="H2892" s="34" t="s">
        <v>2016</v>
      </c>
      <c r="I2892" s="34" t="s">
        <v>18</v>
      </c>
      <c r="J2892" s="34" t="s">
        <v>13</v>
      </c>
      <c r="K2892" s="9"/>
      <c r="L2892" s="45">
        <v>75.5</v>
      </c>
      <c r="M2892" s="45">
        <v>75.5</v>
      </c>
    </row>
    <row r="2893">
      <c r="A2893" s="34" t="s">
        <v>70</v>
      </c>
      <c r="B2893" s="34" t="s">
        <v>2013</v>
      </c>
      <c r="C2893" s="34">
        <v>972.0</v>
      </c>
      <c r="D2893" s="34" t="s">
        <v>2013</v>
      </c>
      <c r="E2893" s="34" t="s">
        <v>6906</v>
      </c>
      <c r="F2893" s="34" t="s">
        <v>6907</v>
      </c>
      <c r="G2893" s="34">
        <v>97209.0</v>
      </c>
      <c r="H2893" s="34" t="s">
        <v>2016</v>
      </c>
      <c r="I2893" s="34" t="s">
        <v>17</v>
      </c>
      <c r="J2893" s="34" t="s">
        <v>15</v>
      </c>
      <c r="K2893" s="45">
        <v>128.3</v>
      </c>
      <c r="L2893" s="9"/>
      <c r="M2893" s="45">
        <v>128.3</v>
      </c>
    </row>
    <row r="2894">
      <c r="A2894" s="34" t="s">
        <v>70</v>
      </c>
      <c r="B2894" s="34" t="s">
        <v>2035</v>
      </c>
      <c r="C2894" s="34">
        <v>973.0</v>
      </c>
      <c r="D2894" s="34" t="s">
        <v>2035</v>
      </c>
      <c r="E2894" s="34" t="s">
        <v>6908</v>
      </c>
      <c r="F2894" s="34" t="s">
        <v>6909</v>
      </c>
      <c r="G2894" s="34">
        <v>97306.0</v>
      </c>
      <c r="H2894" s="34" t="s">
        <v>6910</v>
      </c>
      <c r="I2894" s="34" t="s">
        <v>18</v>
      </c>
      <c r="J2894" s="34" t="s">
        <v>14</v>
      </c>
      <c r="K2894" s="45">
        <v>76.5</v>
      </c>
      <c r="L2894" s="45">
        <v>56.9</v>
      </c>
      <c r="M2894" s="45">
        <v>63.5</v>
      </c>
    </row>
    <row r="2895">
      <c r="A2895" s="34" t="s">
        <v>70</v>
      </c>
      <c r="B2895" s="34" t="s">
        <v>2035</v>
      </c>
      <c r="C2895" s="34">
        <v>973.0</v>
      </c>
      <c r="D2895" s="34" t="s">
        <v>2035</v>
      </c>
      <c r="E2895" s="34" t="s">
        <v>6911</v>
      </c>
      <c r="F2895" s="34" t="s">
        <v>6912</v>
      </c>
      <c r="G2895" s="34">
        <v>97307.0</v>
      </c>
      <c r="H2895" s="34" t="s">
        <v>6913</v>
      </c>
      <c r="I2895" s="34" t="s">
        <v>18</v>
      </c>
      <c r="J2895" s="34" t="s">
        <v>14</v>
      </c>
      <c r="K2895" s="45">
        <v>73.4</v>
      </c>
      <c r="L2895" s="45">
        <v>65.2</v>
      </c>
      <c r="M2895" s="45">
        <v>67.9</v>
      </c>
    </row>
    <row r="2896">
      <c r="A2896" s="34" t="s">
        <v>70</v>
      </c>
      <c r="B2896" s="34" t="s">
        <v>2054</v>
      </c>
      <c r="C2896" s="34">
        <v>974.0</v>
      </c>
      <c r="D2896" s="34" t="s">
        <v>2054</v>
      </c>
      <c r="E2896" s="34" t="s">
        <v>6914</v>
      </c>
      <c r="F2896" s="34" t="s">
        <v>6915</v>
      </c>
      <c r="G2896" s="34">
        <v>97414.0</v>
      </c>
      <c r="H2896" s="34" t="s">
        <v>2060</v>
      </c>
      <c r="I2896" s="34" t="s">
        <v>18</v>
      </c>
      <c r="J2896" s="34" t="s">
        <v>13</v>
      </c>
      <c r="K2896" s="9"/>
      <c r="L2896" s="45">
        <v>62.8</v>
      </c>
      <c r="M2896" s="45">
        <v>62.8</v>
      </c>
    </row>
    <row r="2897">
      <c r="A2897" s="34" t="s">
        <v>70</v>
      </c>
      <c r="B2897" s="34" t="s">
        <v>2054</v>
      </c>
      <c r="C2897" s="34">
        <v>974.0</v>
      </c>
      <c r="D2897" s="34" t="s">
        <v>2054</v>
      </c>
      <c r="E2897" s="34" t="s">
        <v>6916</v>
      </c>
      <c r="F2897" s="34" t="s">
        <v>6917</v>
      </c>
      <c r="G2897" s="34">
        <v>97411.0</v>
      </c>
      <c r="H2897" s="34" t="s">
        <v>1858</v>
      </c>
      <c r="I2897" s="34" t="s">
        <v>18</v>
      </c>
      <c r="J2897" s="34" t="s">
        <v>14</v>
      </c>
      <c r="K2897" s="45">
        <v>92.9</v>
      </c>
      <c r="L2897" s="45">
        <v>67.2</v>
      </c>
      <c r="M2897" s="45">
        <v>85.3</v>
      </c>
    </row>
    <row r="2898">
      <c r="A2898" s="34" t="s">
        <v>70</v>
      </c>
      <c r="B2898" s="34" t="s">
        <v>2054</v>
      </c>
      <c r="C2898" s="34">
        <v>974.0</v>
      </c>
      <c r="D2898" s="34" t="s">
        <v>2054</v>
      </c>
      <c r="E2898" s="34" t="s">
        <v>6918</v>
      </c>
      <c r="F2898" s="34" t="s">
        <v>6919</v>
      </c>
      <c r="G2898" s="34">
        <v>97410.0</v>
      </c>
      <c r="H2898" s="34" t="s">
        <v>2067</v>
      </c>
      <c r="I2898" s="34" t="s">
        <v>18</v>
      </c>
      <c r="J2898" s="34" t="s">
        <v>13</v>
      </c>
      <c r="K2898" s="9"/>
      <c r="L2898" s="45">
        <v>62.2</v>
      </c>
      <c r="M2898" s="45">
        <v>62.2</v>
      </c>
    </row>
    <row r="2899">
      <c r="A2899" s="34" t="s">
        <v>70</v>
      </c>
      <c r="B2899" s="34" t="s">
        <v>2054</v>
      </c>
      <c r="C2899" s="34">
        <v>974.0</v>
      </c>
      <c r="D2899" s="34" t="s">
        <v>2054</v>
      </c>
      <c r="E2899" s="34" t="s">
        <v>6920</v>
      </c>
      <c r="F2899" s="34" t="s">
        <v>6921</v>
      </c>
      <c r="G2899" s="34">
        <v>97407.0</v>
      </c>
      <c r="H2899" s="34" t="s">
        <v>2074</v>
      </c>
      <c r="I2899" s="34" t="s">
        <v>18</v>
      </c>
      <c r="J2899" s="34" t="s">
        <v>13</v>
      </c>
      <c r="K2899" s="9"/>
      <c r="L2899" s="45">
        <v>65.4</v>
      </c>
      <c r="M2899" s="45">
        <v>65.4</v>
      </c>
    </row>
    <row r="2900">
      <c r="A2900" s="34" t="s">
        <v>70</v>
      </c>
      <c r="B2900" s="34" t="s">
        <v>2054</v>
      </c>
      <c r="C2900" s="34">
        <v>974.0</v>
      </c>
      <c r="D2900" s="34" t="s">
        <v>2054</v>
      </c>
      <c r="E2900" s="34" t="s">
        <v>6922</v>
      </c>
      <c r="F2900" s="34" t="s">
        <v>6923</v>
      </c>
      <c r="G2900" s="34">
        <v>97412.0</v>
      </c>
      <c r="H2900" s="34" t="s">
        <v>3848</v>
      </c>
      <c r="I2900" s="34" t="s">
        <v>18</v>
      </c>
      <c r="J2900" s="34" t="s">
        <v>15</v>
      </c>
      <c r="K2900" s="45">
        <v>91.5</v>
      </c>
      <c r="L2900" s="9"/>
      <c r="M2900" s="45">
        <v>91.5</v>
      </c>
    </row>
    <row r="2901">
      <c r="A2901" s="34" t="s">
        <v>70</v>
      </c>
      <c r="B2901" s="34" t="s">
        <v>2054</v>
      </c>
      <c r="C2901" s="34">
        <v>974.0</v>
      </c>
      <c r="D2901" s="34" t="s">
        <v>2054</v>
      </c>
      <c r="E2901" s="34" t="s">
        <v>6924</v>
      </c>
      <c r="F2901" s="34" t="s">
        <v>6925</v>
      </c>
      <c r="G2901" s="34">
        <v>97422.0</v>
      </c>
      <c r="H2901" s="34" t="s">
        <v>2057</v>
      </c>
      <c r="I2901" s="34" t="s">
        <v>18</v>
      </c>
      <c r="J2901" s="34" t="s">
        <v>14</v>
      </c>
      <c r="K2901" s="45">
        <v>82.7</v>
      </c>
      <c r="L2901" s="45">
        <v>68.9</v>
      </c>
      <c r="M2901" s="45">
        <v>75.3</v>
      </c>
    </row>
    <row r="2902">
      <c r="A2902" s="34" t="s">
        <v>70</v>
      </c>
      <c r="B2902" s="34" t="s">
        <v>2054</v>
      </c>
      <c r="C2902" s="34">
        <v>974.0</v>
      </c>
      <c r="D2902" s="34" t="s">
        <v>2054</v>
      </c>
      <c r="E2902" s="34" t="s">
        <v>6926</v>
      </c>
      <c r="F2902" s="34" t="s">
        <v>6927</v>
      </c>
      <c r="G2902" s="34">
        <v>97414.0</v>
      </c>
      <c r="H2902" s="34" t="s">
        <v>2060</v>
      </c>
      <c r="I2902" s="34" t="s">
        <v>18</v>
      </c>
      <c r="J2902" s="34" t="s">
        <v>14</v>
      </c>
      <c r="K2902" s="45">
        <v>96.1</v>
      </c>
      <c r="L2902" s="45">
        <v>71.4</v>
      </c>
      <c r="M2902" s="45">
        <v>94.2</v>
      </c>
    </row>
    <row r="2903">
      <c r="A2903" s="34" t="s">
        <v>70</v>
      </c>
      <c r="B2903" s="34" t="s">
        <v>2054</v>
      </c>
      <c r="C2903" s="34">
        <v>974.0</v>
      </c>
      <c r="D2903" s="34" t="s">
        <v>2054</v>
      </c>
      <c r="E2903" s="34" t="s">
        <v>6928</v>
      </c>
      <c r="F2903" s="34" t="s">
        <v>6929</v>
      </c>
      <c r="G2903" s="34">
        <v>97423.0</v>
      </c>
      <c r="H2903" s="34" t="s">
        <v>6930</v>
      </c>
      <c r="I2903" s="34" t="s">
        <v>18</v>
      </c>
      <c r="J2903" s="34" t="s">
        <v>14</v>
      </c>
      <c r="K2903" s="45">
        <v>87.3</v>
      </c>
      <c r="L2903" s="45">
        <v>80.1</v>
      </c>
      <c r="M2903" s="45">
        <v>86.4</v>
      </c>
    </row>
    <row r="2904">
      <c r="A2904" s="34" t="s">
        <v>70</v>
      </c>
      <c r="B2904" s="34" t="s">
        <v>2054</v>
      </c>
      <c r="C2904" s="34">
        <v>974.0</v>
      </c>
      <c r="D2904" s="34" t="s">
        <v>2054</v>
      </c>
      <c r="E2904" s="34" t="s">
        <v>6931</v>
      </c>
      <c r="F2904" s="34" t="s">
        <v>6932</v>
      </c>
      <c r="G2904" s="34">
        <v>97412.0</v>
      </c>
      <c r="H2904" s="34" t="s">
        <v>3848</v>
      </c>
      <c r="I2904" s="34" t="s">
        <v>18</v>
      </c>
      <c r="J2904" s="34" t="s">
        <v>14</v>
      </c>
      <c r="K2904" s="45">
        <v>87.3</v>
      </c>
      <c r="L2904" s="45">
        <v>72.9</v>
      </c>
      <c r="M2904" s="45">
        <v>86.2</v>
      </c>
    </row>
    <row r="2905">
      <c r="A2905" s="34" t="s">
        <v>70</v>
      </c>
      <c r="B2905" s="34" t="s">
        <v>2054</v>
      </c>
      <c r="C2905" s="34">
        <v>974.0</v>
      </c>
      <c r="D2905" s="34" t="s">
        <v>2054</v>
      </c>
      <c r="E2905" s="34" t="s">
        <v>6933</v>
      </c>
      <c r="F2905" s="34" t="s">
        <v>6934</v>
      </c>
      <c r="G2905" s="34">
        <v>97410.0</v>
      </c>
      <c r="H2905" s="34" t="s">
        <v>2067</v>
      </c>
      <c r="I2905" s="34" t="s">
        <v>18</v>
      </c>
      <c r="J2905" s="34" t="s">
        <v>14</v>
      </c>
      <c r="K2905" s="45">
        <v>66.2</v>
      </c>
      <c r="L2905" s="45">
        <v>58.4</v>
      </c>
      <c r="M2905" s="45">
        <v>61.5</v>
      </c>
    </row>
    <row r="2906">
      <c r="A2906" s="34" t="s">
        <v>70</v>
      </c>
      <c r="B2906" s="34" t="s">
        <v>2054</v>
      </c>
      <c r="C2906" s="34">
        <v>974.0</v>
      </c>
      <c r="D2906" s="34" t="s">
        <v>2054</v>
      </c>
      <c r="E2906" s="34" t="s">
        <v>6935</v>
      </c>
      <c r="F2906" s="34" t="s">
        <v>6936</v>
      </c>
      <c r="G2906" s="34">
        <v>97415.0</v>
      </c>
      <c r="H2906" s="34" t="s">
        <v>2077</v>
      </c>
      <c r="I2906" s="34" t="s">
        <v>17</v>
      </c>
      <c r="J2906" s="34" t="s">
        <v>15</v>
      </c>
      <c r="K2906" s="45">
        <v>131.1</v>
      </c>
      <c r="L2906" s="9"/>
      <c r="M2906" s="45">
        <v>131.1</v>
      </c>
    </row>
    <row r="2907">
      <c r="A2907" s="34" t="s">
        <v>70</v>
      </c>
      <c r="B2907" s="34" t="s">
        <v>71</v>
      </c>
      <c r="C2907" s="34">
        <v>1.0</v>
      </c>
      <c r="D2907" s="34" t="s">
        <v>72</v>
      </c>
      <c r="E2907" s="34" t="s">
        <v>6937</v>
      </c>
      <c r="F2907" s="34" t="s">
        <v>6938</v>
      </c>
      <c r="G2907" s="34">
        <v>1033.0</v>
      </c>
      <c r="H2907" s="34" t="s">
        <v>6939</v>
      </c>
      <c r="I2907" s="34" t="s">
        <v>18</v>
      </c>
      <c r="J2907" s="34" t="s">
        <v>14</v>
      </c>
      <c r="K2907" s="45">
        <v>103.1</v>
      </c>
      <c r="L2907" s="45">
        <v>81.9</v>
      </c>
      <c r="M2907" s="45">
        <v>94.6</v>
      </c>
    </row>
    <row r="2908">
      <c r="A2908" s="34" t="s">
        <v>70</v>
      </c>
      <c r="B2908" s="34" t="s">
        <v>71</v>
      </c>
      <c r="C2908" s="34">
        <v>1.0</v>
      </c>
      <c r="D2908" s="34" t="s">
        <v>72</v>
      </c>
      <c r="E2908" s="34" t="s">
        <v>6940</v>
      </c>
      <c r="F2908" s="34" t="s">
        <v>363</v>
      </c>
      <c r="G2908" s="34">
        <v>1053.0</v>
      </c>
      <c r="H2908" s="34" t="s">
        <v>84</v>
      </c>
      <c r="I2908" s="34" t="s">
        <v>17</v>
      </c>
      <c r="J2908" s="34" t="s">
        <v>15</v>
      </c>
      <c r="K2908" s="45">
        <v>127.2</v>
      </c>
      <c r="L2908" s="9"/>
      <c r="M2908" s="45">
        <v>127.2</v>
      </c>
    </row>
    <row r="2909">
      <c r="A2909" s="34" t="s">
        <v>70</v>
      </c>
      <c r="B2909" s="34" t="s">
        <v>71</v>
      </c>
      <c r="C2909" s="34">
        <v>1.0</v>
      </c>
      <c r="D2909" s="34" t="s">
        <v>72</v>
      </c>
      <c r="E2909" s="34" t="s">
        <v>6941</v>
      </c>
      <c r="F2909" s="34" t="s">
        <v>848</v>
      </c>
      <c r="G2909" s="34">
        <v>1071.0</v>
      </c>
      <c r="H2909" s="34" t="s">
        <v>6942</v>
      </c>
      <c r="I2909" s="34" t="s">
        <v>17</v>
      </c>
      <c r="J2909" s="34" t="s">
        <v>14</v>
      </c>
      <c r="K2909" s="45">
        <v>132.6</v>
      </c>
      <c r="L2909" s="45">
        <v>92.9</v>
      </c>
      <c r="M2909" s="45">
        <v>119.1</v>
      </c>
    </row>
    <row r="2910">
      <c r="A2910" s="34" t="s">
        <v>70</v>
      </c>
      <c r="B2910" s="34" t="s">
        <v>71</v>
      </c>
      <c r="C2910" s="34">
        <v>1.0</v>
      </c>
      <c r="D2910" s="34" t="s">
        <v>72</v>
      </c>
      <c r="E2910" s="34" t="s">
        <v>6943</v>
      </c>
      <c r="F2910" s="34" t="s">
        <v>6944</v>
      </c>
      <c r="G2910" s="34">
        <v>1034.0</v>
      </c>
      <c r="H2910" s="34" t="s">
        <v>3870</v>
      </c>
      <c r="I2910" s="34" t="s">
        <v>17</v>
      </c>
      <c r="J2910" s="34" t="s">
        <v>13</v>
      </c>
      <c r="K2910" s="9"/>
      <c r="L2910" s="45">
        <v>98.6</v>
      </c>
      <c r="M2910" s="45">
        <v>98.6</v>
      </c>
    </row>
    <row r="2911">
      <c r="A2911" s="34" t="s">
        <v>70</v>
      </c>
      <c r="B2911" s="34" t="s">
        <v>88</v>
      </c>
      <c r="C2911" s="34">
        <v>2.0</v>
      </c>
      <c r="D2911" s="34" t="s">
        <v>89</v>
      </c>
      <c r="E2911" s="34" t="s">
        <v>6945</v>
      </c>
      <c r="F2911" s="34" t="s">
        <v>6946</v>
      </c>
      <c r="G2911" s="34">
        <v>2381.0</v>
      </c>
      <c r="H2911" s="34" t="s">
        <v>3894</v>
      </c>
      <c r="I2911" s="34" t="s">
        <v>18</v>
      </c>
      <c r="J2911" s="34" t="s">
        <v>15</v>
      </c>
      <c r="K2911" s="45">
        <v>102.0</v>
      </c>
      <c r="L2911" s="9"/>
      <c r="M2911" s="45">
        <v>102.0</v>
      </c>
    </row>
    <row r="2912">
      <c r="A2912" s="34" t="s">
        <v>70</v>
      </c>
      <c r="B2912" s="34" t="s">
        <v>88</v>
      </c>
      <c r="C2912" s="34">
        <v>2.0</v>
      </c>
      <c r="D2912" s="34" t="s">
        <v>89</v>
      </c>
      <c r="E2912" s="34" t="s">
        <v>6947</v>
      </c>
      <c r="F2912" s="34" t="s">
        <v>6948</v>
      </c>
      <c r="G2912" s="34">
        <v>2691.0</v>
      </c>
      <c r="H2912" s="34" t="s">
        <v>95</v>
      </c>
      <c r="I2912" s="34" t="s">
        <v>18</v>
      </c>
      <c r="J2912" s="34" t="s">
        <v>13</v>
      </c>
      <c r="K2912" s="9"/>
      <c r="L2912" s="45">
        <v>75.7</v>
      </c>
      <c r="M2912" s="45">
        <v>75.7</v>
      </c>
    </row>
    <row r="2913">
      <c r="A2913" s="34" t="s">
        <v>70</v>
      </c>
      <c r="B2913" s="34" t="s">
        <v>88</v>
      </c>
      <c r="C2913" s="34">
        <v>2.0</v>
      </c>
      <c r="D2913" s="34" t="s">
        <v>89</v>
      </c>
      <c r="E2913" s="34" t="s">
        <v>6949</v>
      </c>
      <c r="F2913" s="34" t="s">
        <v>6950</v>
      </c>
      <c r="G2913" s="34">
        <v>2691.0</v>
      </c>
      <c r="H2913" s="34" t="s">
        <v>95</v>
      </c>
      <c r="I2913" s="34" t="s">
        <v>17</v>
      </c>
      <c r="J2913" s="34" t="s">
        <v>15</v>
      </c>
      <c r="K2913" s="45">
        <v>118.3</v>
      </c>
      <c r="L2913" s="9"/>
      <c r="M2913" s="45">
        <v>118.3</v>
      </c>
    </row>
    <row r="2914">
      <c r="A2914" s="34" t="s">
        <v>70</v>
      </c>
      <c r="B2914" s="34" t="s">
        <v>88</v>
      </c>
      <c r="C2914" s="34">
        <v>2.0</v>
      </c>
      <c r="D2914" s="34" t="s">
        <v>89</v>
      </c>
      <c r="E2914" s="34" t="s">
        <v>6951</v>
      </c>
      <c r="F2914" s="34" t="s">
        <v>6952</v>
      </c>
      <c r="G2914" s="34">
        <v>2173.0</v>
      </c>
      <c r="H2914" s="34" t="s">
        <v>108</v>
      </c>
      <c r="I2914" s="34" t="s">
        <v>17</v>
      </c>
      <c r="J2914" s="34" t="s">
        <v>13</v>
      </c>
      <c r="K2914" s="9"/>
      <c r="L2914" s="45">
        <v>91.7</v>
      </c>
      <c r="M2914" s="45">
        <v>91.7</v>
      </c>
    </row>
    <row r="2915">
      <c r="A2915" s="34" t="s">
        <v>70</v>
      </c>
      <c r="B2915" s="34" t="s">
        <v>88</v>
      </c>
      <c r="C2915" s="34">
        <v>2.0</v>
      </c>
      <c r="D2915" s="34" t="s">
        <v>89</v>
      </c>
      <c r="E2915" s="34" t="s">
        <v>6953</v>
      </c>
      <c r="F2915" s="34" t="s">
        <v>6954</v>
      </c>
      <c r="G2915" s="34">
        <v>2810.0</v>
      </c>
      <c r="H2915" s="34" t="s">
        <v>6955</v>
      </c>
      <c r="I2915" s="34" t="s">
        <v>18</v>
      </c>
      <c r="J2915" s="34" t="s">
        <v>15</v>
      </c>
      <c r="K2915" s="45">
        <v>110.8</v>
      </c>
      <c r="L2915" s="9"/>
      <c r="M2915" s="45">
        <v>110.8</v>
      </c>
    </row>
    <row r="2916">
      <c r="A2916" s="34" t="s">
        <v>70</v>
      </c>
      <c r="B2916" s="34" t="s">
        <v>116</v>
      </c>
      <c r="C2916" s="34">
        <v>3.0</v>
      </c>
      <c r="D2916" s="34" t="s">
        <v>117</v>
      </c>
      <c r="E2916" s="34" t="s">
        <v>6956</v>
      </c>
      <c r="F2916" s="34" t="s">
        <v>6957</v>
      </c>
      <c r="G2916" s="34">
        <v>3254.0</v>
      </c>
      <c r="H2916" s="34" t="s">
        <v>6958</v>
      </c>
      <c r="I2916" s="34" t="s">
        <v>18</v>
      </c>
      <c r="J2916" s="34" t="s">
        <v>15</v>
      </c>
      <c r="K2916" s="45">
        <v>110.2</v>
      </c>
      <c r="L2916" s="9"/>
      <c r="M2916" s="45">
        <v>110.2</v>
      </c>
    </row>
    <row r="2917">
      <c r="A2917" s="34" t="s">
        <v>70</v>
      </c>
      <c r="B2917" s="34" t="s">
        <v>116</v>
      </c>
      <c r="C2917" s="34">
        <v>3.0</v>
      </c>
      <c r="D2917" s="34" t="s">
        <v>117</v>
      </c>
      <c r="E2917" s="34" t="s">
        <v>6959</v>
      </c>
      <c r="F2917" s="34" t="s">
        <v>6960</v>
      </c>
      <c r="G2917" s="34">
        <v>3118.0</v>
      </c>
      <c r="H2917" s="34" t="s">
        <v>3912</v>
      </c>
      <c r="I2917" s="34" t="s">
        <v>17</v>
      </c>
      <c r="J2917" s="34" t="s">
        <v>15</v>
      </c>
      <c r="K2917" s="45">
        <v>99.0</v>
      </c>
      <c r="L2917" s="9"/>
      <c r="M2917" s="45">
        <v>99.0</v>
      </c>
    </row>
    <row r="2918">
      <c r="A2918" s="34" t="s">
        <v>70</v>
      </c>
      <c r="B2918" s="34" t="s">
        <v>116</v>
      </c>
      <c r="C2918" s="34">
        <v>3.0</v>
      </c>
      <c r="D2918" s="34" t="s">
        <v>117</v>
      </c>
      <c r="E2918" s="34" t="s">
        <v>6961</v>
      </c>
      <c r="F2918" s="34" t="s">
        <v>6962</v>
      </c>
      <c r="G2918" s="34">
        <v>3095.0</v>
      </c>
      <c r="H2918" s="34" t="s">
        <v>123</v>
      </c>
      <c r="I2918" s="34" t="s">
        <v>18</v>
      </c>
      <c r="J2918" s="34" t="s">
        <v>14</v>
      </c>
      <c r="K2918" s="45">
        <v>94.9</v>
      </c>
      <c r="L2918" s="45">
        <v>88.4</v>
      </c>
      <c r="M2918" s="45">
        <v>90.4</v>
      </c>
    </row>
    <row r="2919">
      <c r="A2919" s="34" t="s">
        <v>70</v>
      </c>
      <c r="B2919" s="34" t="s">
        <v>129</v>
      </c>
      <c r="C2919" s="34">
        <v>4.0</v>
      </c>
      <c r="D2919" s="34" t="s">
        <v>130</v>
      </c>
      <c r="E2919" s="34" t="s">
        <v>6963</v>
      </c>
      <c r="F2919" s="34" t="s">
        <v>6964</v>
      </c>
      <c r="G2919" s="34">
        <v>4019.0</v>
      </c>
      <c r="H2919" s="34" t="s">
        <v>6965</v>
      </c>
      <c r="I2919" s="34" t="s">
        <v>18</v>
      </c>
      <c r="J2919" s="34" t="s">
        <v>14</v>
      </c>
      <c r="K2919" s="45">
        <v>103.7</v>
      </c>
      <c r="L2919" s="45">
        <v>82.0</v>
      </c>
      <c r="M2919" s="45">
        <v>99.6</v>
      </c>
    </row>
    <row r="2920">
      <c r="A2920" s="34" t="s">
        <v>70</v>
      </c>
      <c r="B2920" s="34" t="s">
        <v>129</v>
      </c>
      <c r="C2920" s="34">
        <v>4.0</v>
      </c>
      <c r="D2920" s="34" t="s">
        <v>130</v>
      </c>
      <c r="E2920" s="34" t="s">
        <v>6966</v>
      </c>
      <c r="F2920" s="34" t="s">
        <v>6967</v>
      </c>
      <c r="G2920" s="34">
        <v>4112.0</v>
      </c>
      <c r="H2920" s="34" t="s">
        <v>133</v>
      </c>
      <c r="I2920" s="34" t="s">
        <v>18</v>
      </c>
      <c r="J2920" s="34" t="s">
        <v>13</v>
      </c>
      <c r="K2920" s="9"/>
      <c r="L2920" s="45">
        <v>85.1</v>
      </c>
      <c r="M2920" s="45">
        <v>85.1</v>
      </c>
    </row>
    <row r="2921">
      <c r="A2921" s="34" t="s">
        <v>70</v>
      </c>
      <c r="B2921" s="34" t="s">
        <v>129</v>
      </c>
      <c r="C2921" s="34">
        <v>4.0</v>
      </c>
      <c r="D2921" s="34" t="s">
        <v>130</v>
      </c>
      <c r="E2921" s="34" t="s">
        <v>6968</v>
      </c>
      <c r="F2921" s="34" t="s">
        <v>2544</v>
      </c>
      <c r="G2921" s="34">
        <v>4070.0</v>
      </c>
      <c r="H2921" s="34" t="s">
        <v>2123</v>
      </c>
      <c r="I2921" s="34" t="s">
        <v>17</v>
      </c>
      <c r="J2921" s="34" t="s">
        <v>15</v>
      </c>
      <c r="K2921" s="45">
        <v>113.3</v>
      </c>
      <c r="L2921" s="9"/>
      <c r="M2921" s="45">
        <v>113.3</v>
      </c>
    </row>
    <row r="2922">
      <c r="A2922" s="34" t="s">
        <v>70</v>
      </c>
      <c r="B2922" s="34" t="s">
        <v>129</v>
      </c>
      <c r="C2922" s="34">
        <v>5.0</v>
      </c>
      <c r="D2922" s="34" t="s">
        <v>2124</v>
      </c>
      <c r="E2922" s="34" t="s">
        <v>6969</v>
      </c>
      <c r="F2922" s="34" t="s">
        <v>6970</v>
      </c>
      <c r="G2922" s="34">
        <v>5046.0</v>
      </c>
      <c r="H2922" s="34" t="s">
        <v>2130</v>
      </c>
      <c r="I2922" s="34" t="s">
        <v>18</v>
      </c>
      <c r="J2922" s="34" t="s">
        <v>13</v>
      </c>
      <c r="K2922" s="9"/>
      <c r="L2922" s="45">
        <v>101.1</v>
      </c>
      <c r="M2922" s="45">
        <v>101.1</v>
      </c>
    </row>
    <row r="2923">
      <c r="A2923" s="34" t="s">
        <v>70</v>
      </c>
      <c r="B2923" s="34" t="s">
        <v>129</v>
      </c>
      <c r="C2923" s="34">
        <v>5.0</v>
      </c>
      <c r="D2923" s="34" t="s">
        <v>2124</v>
      </c>
      <c r="E2923" s="34" t="s">
        <v>6971</v>
      </c>
      <c r="F2923" s="34" t="s">
        <v>6972</v>
      </c>
      <c r="G2923" s="34">
        <v>5061.0</v>
      </c>
      <c r="H2923" s="34" t="s">
        <v>2133</v>
      </c>
      <c r="I2923" s="34" t="s">
        <v>18</v>
      </c>
      <c r="J2923" s="34" t="s">
        <v>15</v>
      </c>
      <c r="K2923" s="45">
        <v>122.2</v>
      </c>
      <c r="L2923" s="9"/>
      <c r="M2923" s="45">
        <v>122.2</v>
      </c>
    </row>
    <row r="2924">
      <c r="A2924" s="34" t="s">
        <v>70</v>
      </c>
      <c r="B2924" s="34" t="s">
        <v>129</v>
      </c>
      <c r="C2924" s="34">
        <v>5.0</v>
      </c>
      <c r="D2924" s="34" t="s">
        <v>2124</v>
      </c>
      <c r="E2924" s="34" t="s">
        <v>6973</v>
      </c>
      <c r="F2924" s="34" t="s">
        <v>419</v>
      </c>
      <c r="G2924" s="34">
        <v>5061.0</v>
      </c>
      <c r="H2924" s="34" t="s">
        <v>2133</v>
      </c>
      <c r="I2924" s="34" t="s">
        <v>18</v>
      </c>
      <c r="J2924" s="34" t="s">
        <v>15</v>
      </c>
      <c r="K2924" s="45">
        <v>115.8</v>
      </c>
      <c r="L2924" s="9"/>
      <c r="M2924" s="45">
        <v>115.8</v>
      </c>
    </row>
    <row r="2925">
      <c r="A2925" s="34" t="s">
        <v>70</v>
      </c>
      <c r="B2925" s="34" t="s">
        <v>129</v>
      </c>
      <c r="C2925" s="34">
        <v>5.0</v>
      </c>
      <c r="D2925" s="34" t="s">
        <v>2124</v>
      </c>
      <c r="E2925" s="34" t="s">
        <v>6974</v>
      </c>
      <c r="F2925" s="34" t="s">
        <v>6975</v>
      </c>
      <c r="G2925" s="34">
        <v>5145.0</v>
      </c>
      <c r="H2925" s="34" t="s">
        <v>6976</v>
      </c>
      <c r="I2925" s="34" t="s">
        <v>17</v>
      </c>
      <c r="J2925" s="34" t="s">
        <v>13</v>
      </c>
      <c r="K2925" s="9"/>
      <c r="L2925" s="45">
        <v>102.2</v>
      </c>
      <c r="M2925" s="45">
        <v>102.2</v>
      </c>
    </row>
    <row r="2926">
      <c r="A2926" s="34" t="s">
        <v>70</v>
      </c>
      <c r="B2926" s="34" t="s">
        <v>134</v>
      </c>
      <c r="C2926" s="34">
        <v>6.0</v>
      </c>
      <c r="D2926" s="34" t="s">
        <v>135</v>
      </c>
      <c r="E2926" s="34" t="s">
        <v>6977</v>
      </c>
      <c r="F2926" s="34" t="s">
        <v>6978</v>
      </c>
      <c r="G2926" s="34">
        <v>6069.0</v>
      </c>
      <c r="H2926" s="34" t="s">
        <v>144</v>
      </c>
      <c r="I2926" s="34" t="s">
        <v>18</v>
      </c>
      <c r="J2926" s="34" t="s">
        <v>15</v>
      </c>
      <c r="K2926" s="45">
        <v>118.0</v>
      </c>
      <c r="L2926" s="9"/>
      <c r="M2926" s="45">
        <v>118.0</v>
      </c>
    </row>
    <row r="2927">
      <c r="A2927" s="34" t="s">
        <v>70</v>
      </c>
      <c r="B2927" s="34" t="s">
        <v>134</v>
      </c>
      <c r="C2927" s="34">
        <v>6.0</v>
      </c>
      <c r="D2927" s="34" t="s">
        <v>135</v>
      </c>
      <c r="E2927" s="34" t="s">
        <v>6979</v>
      </c>
      <c r="F2927" s="34" t="s">
        <v>6980</v>
      </c>
      <c r="G2927" s="34">
        <v>6069.0</v>
      </c>
      <c r="H2927" s="34" t="s">
        <v>144</v>
      </c>
      <c r="I2927" s="34" t="s">
        <v>18</v>
      </c>
      <c r="J2927" s="34" t="s">
        <v>13</v>
      </c>
      <c r="K2927" s="9"/>
      <c r="L2927" s="45">
        <v>88.6</v>
      </c>
      <c r="M2927" s="45">
        <v>88.6</v>
      </c>
    </row>
    <row r="2928">
      <c r="A2928" s="34" t="s">
        <v>70</v>
      </c>
      <c r="B2928" s="34" t="s">
        <v>134</v>
      </c>
      <c r="C2928" s="34">
        <v>6.0</v>
      </c>
      <c r="D2928" s="34" t="s">
        <v>135</v>
      </c>
      <c r="E2928" s="34" t="s">
        <v>6981</v>
      </c>
      <c r="F2928" s="34" t="s">
        <v>6982</v>
      </c>
      <c r="G2928" s="34">
        <v>6083.0</v>
      </c>
      <c r="H2928" s="34" t="s">
        <v>147</v>
      </c>
      <c r="I2928" s="34" t="s">
        <v>18</v>
      </c>
      <c r="J2928" s="34" t="s">
        <v>13</v>
      </c>
      <c r="K2928" s="9"/>
      <c r="L2928" s="45">
        <v>88.0</v>
      </c>
      <c r="M2928" s="45">
        <v>88.0</v>
      </c>
    </row>
    <row r="2929">
      <c r="A2929" s="34" t="s">
        <v>70</v>
      </c>
      <c r="B2929" s="34" t="s">
        <v>134</v>
      </c>
      <c r="C2929" s="34">
        <v>6.0</v>
      </c>
      <c r="D2929" s="34" t="s">
        <v>135</v>
      </c>
      <c r="E2929" s="34" t="s">
        <v>6983</v>
      </c>
      <c r="F2929" s="34" t="s">
        <v>6984</v>
      </c>
      <c r="G2929" s="34">
        <v>6088.0</v>
      </c>
      <c r="H2929" s="34" t="s">
        <v>134</v>
      </c>
      <c r="I2929" s="34" t="s">
        <v>18</v>
      </c>
      <c r="J2929" s="34" t="s">
        <v>14</v>
      </c>
      <c r="K2929" s="45">
        <v>107.9</v>
      </c>
      <c r="L2929" s="45">
        <v>77.6</v>
      </c>
      <c r="M2929" s="45">
        <v>106.8</v>
      </c>
    </row>
    <row r="2930">
      <c r="A2930" s="34" t="s">
        <v>70</v>
      </c>
      <c r="B2930" s="34" t="s">
        <v>134</v>
      </c>
      <c r="C2930" s="34">
        <v>6.0</v>
      </c>
      <c r="D2930" s="34" t="s">
        <v>135</v>
      </c>
      <c r="E2930" s="34" t="s">
        <v>6985</v>
      </c>
      <c r="F2930" s="34" t="s">
        <v>6986</v>
      </c>
      <c r="G2930" s="34">
        <v>6088.0</v>
      </c>
      <c r="H2930" s="34" t="s">
        <v>134</v>
      </c>
      <c r="I2930" s="34" t="s">
        <v>18</v>
      </c>
      <c r="J2930" s="34" t="s">
        <v>13</v>
      </c>
      <c r="K2930" s="9"/>
      <c r="L2930" s="45">
        <v>77.5</v>
      </c>
      <c r="M2930" s="45">
        <v>77.5</v>
      </c>
    </row>
    <row r="2931">
      <c r="A2931" s="34" t="s">
        <v>70</v>
      </c>
      <c r="B2931" s="34" t="s">
        <v>134</v>
      </c>
      <c r="C2931" s="34">
        <v>6.0</v>
      </c>
      <c r="D2931" s="34" t="s">
        <v>135</v>
      </c>
      <c r="E2931" s="34" t="s">
        <v>6987</v>
      </c>
      <c r="F2931" s="34" t="s">
        <v>6988</v>
      </c>
      <c r="G2931" s="34">
        <v>6088.0</v>
      </c>
      <c r="H2931" s="34" t="s">
        <v>134</v>
      </c>
      <c r="I2931" s="34" t="s">
        <v>18</v>
      </c>
      <c r="J2931" s="34" t="s">
        <v>14</v>
      </c>
      <c r="K2931" s="45">
        <v>73.3</v>
      </c>
      <c r="L2931" s="45">
        <v>88.2</v>
      </c>
      <c r="M2931" s="45">
        <v>87.9</v>
      </c>
    </row>
    <row r="2932">
      <c r="A2932" s="34" t="s">
        <v>70</v>
      </c>
      <c r="B2932" s="34" t="s">
        <v>134</v>
      </c>
      <c r="C2932" s="34">
        <v>6.0</v>
      </c>
      <c r="D2932" s="34" t="s">
        <v>135</v>
      </c>
      <c r="E2932" s="34" t="s">
        <v>6989</v>
      </c>
      <c r="F2932" s="34" t="s">
        <v>3401</v>
      </c>
      <c r="G2932" s="34">
        <v>6069.0</v>
      </c>
      <c r="H2932" s="34" t="s">
        <v>144</v>
      </c>
      <c r="I2932" s="34" t="s">
        <v>17</v>
      </c>
      <c r="J2932" s="34" t="s">
        <v>15</v>
      </c>
      <c r="K2932" s="45">
        <v>141.8</v>
      </c>
      <c r="L2932" s="9"/>
      <c r="M2932" s="45">
        <v>141.8</v>
      </c>
    </row>
    <row r="2933">
      <c r="A2933" s="34" t="s">
        <v>70</v>
      </c>
      <c r="B2933" s="34" t="s">
        <v>134</v>
      </c>
      <c r="C2933" s="34">
        <v>6.0</v>
      </c>
      <c r="D2933" s="34" t="s">
        <v>135</v>
      </c>
      <c r="E2933" s="34" t="s">
        <v>6990</v>
      </c>
      <c r="F2933" s="34" t="s">
        <v>6991</v>
      </c>
      <c r="G2933" s="34">
        <v>6029.0</v>
      </c>
      <c r="H2933" s="34" t="s">
        <v>158</v>
      </c>
      <c r="I2933" s="34" t="s">
        <v>17</v>
      </c>
      <c r="J2933" s="34" t="s">
        <v>15</v>
      </c>
      <c r="K2933" s="45">
        <v>92.3</v>
      </c>
      <c r="L2933" s="9"/>
      <c r="M2933" s="45">
        <v>92.3</v>
      </c>
    </row>
    <row r="2934">
      <c r="A2934" s="34" t="s">
        <v>70</v>
      </c>
      <c r="B2934" s="34" t="s">
        <v>134</v>
      </c>
      <c r="C2934" s="34">
        <v>6.0</v>
      </c>
      <c r="D2934" s="34" t="s">
        <v>135</v>
      </c>
      <c r="E2934" s="34" t="s">
        <v>6992</v>
      </c>
      <c r="F2934" s="34" t="s">
        <v>5307</v>
      </c>
      <c r="G2934" s="34">
        <v>6088.0</v>
      </c>
      <c r="H2934" s="34" t="s">
        <v>134</v>
      </c>
      <c r="I2934" s="34" t="s">
        <v>18</v>
      </c>
      <c r="J2934" s="34" t="s">
        <v>15</v>
      </c>
      <c r="K2934" s="45">
        <v>90.8</v>
      </c>
      <c r="L2934" s="9"/>
      <c r="M2934" s="45">
        <v>90.8</v>
      </c>
    </row>
    <row r="2935">
      <c r="A2935" s="34" t="s">
        <v>70</v>
      </c>
      <c r="B2935" s="34" t="s">
        <v>134</v>
      </c>
      <c r="C2935" s="34">
        <v>6.0</v>
      </c>
      <c r="D2935" s="34" t="s">
        <v>135</v>
      </c>
      <c r="E2935" s="34" t="s">
        <v>6993</v>
      </c>
      <c r="F2935" s="34" t="s">
        <v>5863</v>
      </c>
      <c r="G2935" s="34">
        <v>6152.0</v>
      </c>
      <c r="H2935" s="34" t="s">
        <v>3934</v>
      </c>
      <c r="I2935" s="34" t="s">
        <v>18</v>
      </c>
      <c r="J2935" s="34" t="s">
        <v>15</v>
      </c>
      <c r="K2935" s="45">
        <v>137.1</v>
      </c>
      <c r="L2935" s="9"/>
      <c r="M2935" s="45">
        <v>137.1</v>
      </c>
    </row>
    <row r="2936">
      <c r="A2936" s="34" t="s">
        <v>70</v>
      </c>
      <c r="B2936" s="34" t="s">
        <v>134</v>
      </c>
      <c r="C2936" s="34">
        <v>6.0</v>
      </c>
      <c r="D2936" s="34" t="s">
        <v>135</v>
      </c>
      <c r="E2936" s="34" t="s">
        <v>6994</v>
      </c>
      <c r="F2936" s="34" t="s">
        <v>6995</v>
      </c>
      <c r="G2936" s="34">
        <v>6088.0</v>
      </c>
      <c r="H2936" s="34" t="s">
        <v>134</v>
      </c>
      <c r="I2936" s="34" t="s">
        <v>17</v>
      </c>
      <c r="J2936" s="34" t="s">
        <v>15</v>
      </c>
      <c r="K2936" s="45">
        <v>102.9</v>
      </c>
      <c r="L2936" s="9"/>
      <c r="M2936" s="45">
        <v>102.9</v>
      </c>
    </row>
    <row r="2937">
      <c r="A2937" s="34" t="s">
        <v>70</v>
      </c>
      <c r="B2937" s="34" t="s">
        <v>161</v>
      </c>
      <c r="C2937" s="34">
        <v>7.0</v>
      </c>
      <c r="D2937" s="34" t="s">
        <v>162</v>
      </c>
      <c r="E2937" s="34" t="s">
        <v>6996</v>
      </c>
      <c r="F2937" s="34" t="s">
        <v>6997</v>
      </c>
      <c r="G2937" s="34">
        <v>7324.0</v>
      </c>
      <c r="H2937" s="34" t="s">
        <v>2170</v>
      </c>
      <c r="I2937" s="34" t="s">
        <v>18</v>
      </c>
      <c r="J2937" s="34" t="s">
        <v>13</v>
      </c>
      <c r="K2937" s="9"/>
      <c r="L2937" s="45">
        <v>87.9</v>
      </c>
      <c r="M2937" s="45">
        <v>87.9</v>
      </c>
    </row>
    <row r="2938">
      <c r="A2938" s="34" t="s">
        <v>70</v>
      </c>
      <c r="B2938" s="34" t="s">
        <v>161</v>
      </c>
      <c r="C2938" s="34">
        <v>7.0</v>
      </c>
      <c r="D2938" s="34" t="s">
        <v>162</v>
      </c>
      <c r="E2938" s="34" t="s">
        <v>6998</v>
      </c>
      <c r="F2938" s="34" t="s">
        <v>6999</v>
      </c>
      <c r="G2938" s="34">
        <v>7019.0</v>
      </c>
      <c r="H2938" s="34" t="s">
        <v>2164</v>
      </c>
      <c r="I2938" s="34" t="s">
        <v>17</v>
      </c>
      <c r="J2938" s="34" t="s">
        <v>15</v>
      </c>
      <c r="K2938" s="45">
        <v>111.5</v>
      </c>
      <c r="L2938" s="9"/>
      <c r="M2938" s="45">
        <v>111.5</v>
      </c>
    </row>
    <row r="2939">
      <c r="A2939" s="34" t="s">
        <v>70</v>
      </c>
      <c r="B2939" s="34" t="s">
        <v>161</v>
      </c>
      <c r="C2939" s="34">
        <v>7.0</v>
      </c>
      <c r="D2939" s="34" t="s">
        <v>162</v>
      </c>
      <c r="E2939" s="34" t="s">
        <v>7000</v>
      </c>
      <c r="F2939" s="34" t="s">
        <v>7001</v>
      </c>
      <c r="G2939" s="34">
        <v>7042.0</v>
      </c>
      <c r="H2939" s="34" t="s">
        <v>2173</v>
      </c>
      <c r="I2939" s="34" t="s">
        <v>17</v>
      </c>
      <c r="J2939" s="34" t="s">
        <v>13</v>
      </c>
      <c r="K2939" s="9"/>
      <c r="L2939" s="45">
        <v>95.5</v>
      </c>
      <c r="M2939" s="45">
        <v>95.5</v>
      </c>
    </row>
    <row r="2940">
      <c r="A2940" s="34" t="s">
        <v>70</v>
      </c>
      <c r="B2940" s="34" t="s">
        <v>169</v>
      </c>
      <c r="C2940" s="34">
        <v>8.0</v>
      </c>
      <c r="D2940" s="34" t="s">
        <v>170</v>
      </c>
      <c r="E2940" s="34" t="s">
        <v>7002</v>
      </c>
      <c r="F2940" s="34" t="s">
        <v>7003</v>
      </c>
      <c r="G2940" s="34">
        <v>8105.0</v>
      </c>
      <c r="H2940" s="34" t="s">
        <v>173</v>
      </c>
      <c r="I2940" s="34" t="s">
        <v>18</v>
      </c>
      <c r="J2940" s="34" t="s">
        <v>15</v>
      </c>
      <c r="K2940" s="45">
        <v>116.5</v>
      </c>
      <c r="L2940" s="9"/>
      <c r="M2940" s="45">
        <v>116.5</v>
      </c>
    </row>
    <row r="2941">
      <c r="A2941" s="34" t="s">
        <v>70</v>
      </c>
      <c r="B2941" s="34" t="s">
        <v>169</v>
      </c>
      <c r="C2941" s="34">
        <v>8.0</v>
      </c>
      <c r="D2941" s="34" t="s">
        <v>170</v>
      </c>
      <c r="E2941" s="34" t="s">
        <v>7004</v>
      </c>
      <c r="F2941" s="34" t="s">
        <v>7005</v>
      </c>
      <c r="G2941" s="34">
        <v>8105.0</v>
      </c>
      <c r="H2941" s="34" t="s">
        <v>173</v>
      </c>
      <c r="I2941" s="34" t="s">
        <v>18</v>
      </c>
      <c r="J2941" s="34" t="s">
        <v>14</v>
      </c>
      <c r="K2941" s="45">
        <v>108.4</v>
      </c>
      <c r="L2941" s="45">
        <v>85.2</v>
      </c>
      <c r="M2941" s="45">
        <v>106.1</v>
      </c>
    </row>
    <row r="2942">
      <c r="A2942" s="34" t="s">
        <v>70</v>
      </c>
      <c r="B2942" s="34" t="s">
        <v>169</v>
      </c>
      <c r="C2942" s="34">
        <v>8.0</v>
      </c>
      <c r="D2942" s="34" t="s">
        <v>170</v>
      </c>
      <c r="E2942" s="34" t="s">
        <v>7006</v>
      </c>
      <c r="F2942" s="34" t="s">
        <v>2446</v>
      </c>
      <c r="G2942" s="34">
        <v>8363.0</v>
      </c>
      <c r="H2942" s="34" t="s">
        <v>7007</v>
      </c>
      <c r="I2942" s="34" t="s">
        <v>18</v>
      </c>
      <c r="J2942" s="34" t="s">
        <v>14</v>
      </c>
      <c r="K2942" s="45">
        <v>90.5</v>
      </c>
      <c r="L2942" s="45">
        <v>72.1</v>
      </c>
      <c r="M2942" s="45">
        <v>82.3</v>
      </c>
    </row>
    <row r="2943">
      <c r="A2943" s="34" t="s">
        <v>70</v>
      </c>
      <c r="B2943" s="34" t="s">
        <v>182</v>
      </c>
      <c r="C2943" s="34">
        <v>9.0</v>
      </c>
      <c r="D2943" s="34" t="s">
        <v>183</v>
      </c>
      <c r="E2943" s="34" t="s">
        <v>7008</v>
      </c>
      <c r="F2943" s="34" t="s">
        <v>7009</v>
      </c>
      <c r="G2943" s="34">
        <v>9261.0</v>
      </c>
      <c r="H2943" s="34" t="s">
        <v>2192</v>
      </c>
      <c r="I2943" s="34" t="s">
        <v>18</v>
      </c>
      <c r="J2943" s="34" t="s">
        <v>13</v>
      </c>
      <c r="K2943" s="9"/>
      <c r="L2943" s="45">
        <v>88.4</v>
      </c>
      <c r="M2943" s="45">
        <v>88.4</v>
      </c>
    </row>
    <row r="2944">
      <c r="A2944" s="34" t="s">
        <v>70</v>
      </c>
      <c r="B2944" s="34" t="s">
        <v>182</v>
      </c>
      <c r="C2944" s="34">
        <v>9.0</v>
      </c>
      <c r="D2944" s="34" t="s">
        <v>183</v>
      </c>
      <c r="E2944" s="34" t="s">
        <v>7010</v>
      </c>
      <c r="F2944" s="34" t="s">
        <v>7011</v>
      </c>
      <c r="G2944" s="34">
        <v>9225.0</v>
      </c>
      <c r="H2944" s="34" t="s">
        <v>186</v>
      </c>
      <c r="I2944" s="34" t="s">
        <v>17</v>
      </c>
      <c r="J2944" s="34" t="s">
        <v>14</v>
      </c>
      <c r="K2944" s="45">
        <v>106.3</v>
      </c>
      <c r="L2944" s="45">
        <v>90.8</v>
      </c>
      <c r="M2944" s="45">
        <v>95.0</v>
      </c>
    </row>
    <row r="2945">
      <c r="A2945" s="34" t="s">
        <v>70</v>
      </c>
      <c r="B2945" s="34" t="s">
        <v>169</v>
      </c>
      <c r="C2945" s="34">
        <v>10.0</v>
      </c>
      <c r="D2945" s="34" t="s">
        <v>187</v>
      </c>
      <c r="E2945" s="34" t="s">
        <v>7012</v>
      </c>
      <c r="F2945" s="34" t="s">
        <v>7013</v>
      </c>
      <c r="G2945" s="34">
        <v>10034.0</v>
      </c>
      <c r="H2945" s="34" t="s">
        <v>7014</v>
      </c>
      <c r="I2945" s="34" t="s">
        <v>18</v>
      </c>
      <c r="J2945" s="34" t="s">
        <v>13</v>
      </c>
      <c r="K2945" s="9"/>
      <c r="L2945" s="45">
        <v>93.5</v>
      </c>
      <c r="M2945" s="45">
        <v>93.5</v>
      </c>
    </row>
    <row r="2946">
      <c r="A2946" s="34" t="s">
        <v>70</v>
      </c>
      <c r="B2946" s="34" t="s">
        <v>169</v>
      </c>
      <c r="C2946" s="34">
        <v>10.0</v>
      </c>
      <c r="D2946" s="34" t="s">
        <v>187</v>
      </c>
      <c r="E2946" s="34" t="s">
        <v>7015</v>
      </c>
      <c r="F2946" s="34" t="s">
        <v>3180</v>
      </c>
      <c r="G2946" s="34">
        <v>10362.0</v>
      </c>
      <c r="H2946" s="34" t="s">
        <v>3962</v>
      </c>
      <c r="I2946" s="34" t="s">
        <v>18</v>
      </c>
      <c r="J2946" s="34" t="s">
        <v>15</v>
      </c>
      <c r="K2946" s="45">
        <v>111.0</v>
      </c>
      <c r="L2946" s="9"/>
      <c r="M2946" s="45">
        <v>111.0</v>
      </c>
    </row>
    <row r="2947">
      <c r="A2947" s="34" t="s">
        <v>70</v>
      </c>
      <c r="B2947" s="34" t="s">
        <v>483</v>
      </c>
      <c r="C2947" s="34">
        <v>11.0</v>
      </c>
      <c r="D2947" s="34" t="s">
        <v>2203</v>
      </c>
      <c r="E2947" s="34" t="s">
        <v>7016</v>
      </c>
      <c r="F2947" s="34" t="s">
        <v>7017</v>
      </c>
      <c r="G2947" s="34">
        <v>11262.0</v>
      </c>
      <c r="H2947" s="34" t="s">
        <v>3974</v>
      </c>
      <c r="I2947" s="34" t="s">
        <v>18</v>
      </c>
      <c r="J2947" s="34" t="s">
        <v>15</v>
      </c>
      <c r="K2947" s="45">
        <v>111.5</v>
      </c>
      <c r="L2947" s="9"/>
      <c r="M2947" s="45">
        <v>111.5</v>
      </c>
    </row>
    <row r="2948">
      <c r="A2948" s="34" t="s">
        <v>70</v>
      </c>
      <c r="B2948" s="34" t="s">
        <v>483</v>
      </c>
      <c r="C2948" s="34">
        <v>11.0</v>
      </c>
      <c r="D2948" s="34" t="s">
        <v>2203</v>
      </c>
      <c r="E2948" s="34" t="s">
        <v>7018</v>
      </c>
      <c r="F2948" s="34" t="s">
        <v>2429</v>
      </c>
      <c r="G2948" s="34">
        <v>11262.0</v>
      </c>
      <c r="H2948" s="34" t="s">
        <v>3974</v>
      </c>
      <c r="I2948" s="34" t="s">
        <v>18</v>
      </c>
      <c r="J2948" s="34" t="s">
        <v>14</v>
      </c>
      <c r="K2948" s="45">
        <v>106.0</v>
      </c>
      <c r="L2948" s="45">
        <v>84.7</v>
      </c>
      <c r="M2948" s="45">
        <v>99.3</v>
      </c>
    </row>
    <row r="2949">
      <c r="A2949" s="34" t="s">
        <v>70</v>
      </c>
      <c r="B2949" s="34" t="s">
        <v>182</v>
      </c>
      <c r="C2949" s="34">
        <v>12.0</v>
      </c>
      <c r="D2949" s="34" t="s">
        <v>200</v>
      </c>
      <c r="E2949" s="34" t="s">
        <v>7019</v>
      </c>
      <c r="F2949" s="34" t="s">
        <v>7020</v>
      </c>
      <c r="G2949" s="34">
        <v>12145.0</v>
      </c>
      <c r="H2949" s="34" t="s">
        <v>203</v>
      </c>
      <c r="I2949" s="34" t="s">
        <v>18</v>
      </c>
      <c r="J2949" s="34" t="s">
        <v>13</v>
      </c>
      <c r="K2949" s="9"/>
      <c r="L2949" s="45">
        <v>91.3</v>
      </c>
      <c r="M2949" s="45">
        <v>91.3</v>
      </c>
    </row>
    <row r="2950">
      <c r="A2950" s="34" t="s">
        <v>70</v>
      </c>
      <c r="B2950" s="34" t="s">
        <v>182</v>
      </c>
      <c r="C2950" s="34">
        <v>12.0</v>
      </c>
      <c r="D2950" s="34" t="s">
        <v>200</v>
      </c>
      <c r="E2950" s="34" t="s">
        <v>7021</v>
      </c>
      <c r="F2950" s="34" t="s">
        <v>7022</v>
      </c>
      <c r="G2950" s="34">
        <v>12300.0</v>
      </c>
      <c r="H2950" s="34" t="s">
        <v>216</v>
      </c>
      <c r="I2950" s="34" t="s">
        <v>18</v>
      </c>
      <c r="J2950" s="34" t="s">
        <v>15</v>
      </c>
      <c r="K2950" s="45">
        <v>108.2</v>
      </c>
      <c r="L2950" s="9"/>
      <c r="M2950" s="45">
        <v>108.2</v>
      </c>
    </row>
    <row r="2951">
      <c r="A2951" s="34" t="s">
        <v>70</v>
      </c>
      <c r="B2951" s="34" t="s">
        <v>182</v>
      </c>
      <c r="C2951" s="34">
        <v>12.0</v>
      </c>
      <c r="D2951" s="34" t="s">
        <v>200</v>
      </c>
      <c r="E2951" s="34" t="s">
        <v>7023</v>
      </c>
      <c r="F2951" s="34" t="s">
        <v>80</v>
      </c>
      <c r="G2951" s="34">
        <v>12300.0</v>
      </c>
      <c r="H2951" s="34" t="s">
        <v>216</v>
      </c>
      <c r="I2951" s="34" t="s">
        <v>17</v>
      </c>
      <c r="J2951" s="34" t="s">
        <v>15</v>
      </c>
      <c r="K2951" s="45">
        <v>104.0</v>
      </c>
      <c r="L2951" s="9"/>
      <c r="M2951" s="45">
        <v>104.0</v>
      </c>
    </row>
    <row r="2952">
      <c r="A2952" s="34" t="s">
        <v>70</v>
      </c>
      <c r="B2952" s="34" t="s">
        <v>129</v>
      </c>
      <c r="C2952" s="34">
        <v>13.0</v>
      </c>
      <c r="D2952" s="34" t="s">
        <v>219</v>
      </c>
      <c r="E2952" s="34" t="s">
        <v>7024</v>
      </c>
      <c r="F2952" s="34" t="s">
        <v>7025</v>
      </c>
      <c r="G2952" s="34">
        <v>13001.0</v>
      </c>
      <c r="H2952" s="34" t="s">
        <v>242</v>
      </c>
      <c r="I2952" s="34" t="s">
        <v>18</v>
      </c>
      <c r="J2952" s="34" t="s">
        <v>13</v>
      </c>
      <c r="K2952" s="9"/>
      <c r="L2952" s="45">
        <v>87.9</v>
      </c>
      <c r="M2952" s="45">
        <v>87.9</v>
      </c>
    </row>
    <row r="2953">
      <c r="A2953" s="34" t="s">
        <v>70</v>
      </c>
      <c r="B2953" s="34" t="s">
        <v>129</v>
      </c>
      <c r="C2953" s="34">
        <v>13.0</v>
      </c>
      <c r="D2953" s="34" t="s">
        <v>219</v>
      </c>
      <c r="E2953" s="34" t="s">
        <v>7026</v>
      </c>
      <c r="F2953" s="34" t="s">
        <v>1321</v>
      </c>
      <c r="G2953" s="34">
        <v>13005.0</v>
      </c>
      <c r="H2953" s="34" t="s">
        <v>4020</v>
      </c>
      <c r="I2953" s="34" t="s">
        <v>18</v>
      </c>
      <c r="J2953" s="34" t="s">
        <v>13</v>
      </c>
      <c r="K2953" s="9"/>
      <c r="L2953" s="45">
        <v>82.5</v>
      </c>
      <c r="M2953" s="45">
        <v>82.5</v>
      </c>
    </row>
    <row r="2954">
      <c r="A2954" s="34" t="s">
        <v>70</v>
      </c>
      <c r="B2954" s="34" t="s">
        <v>129</v>
      </c>
      <c r="C2954" s="34">
        <v>13.0</v>
      </c>
      <c r="D2954" s="34" t="s">
        <v>219</v>
      </c>
      <c r="E2954" s="34" t="s">
        <v>7027</v>
      </c>
      <c r="F2954" s="34" t="s">
        <v>7028</v>
      </c>
      <c r="G2954" s="34">
        <v>13054.0</v>
      </c>
      <c r="H2954" s="34" t="s">
        <v>2261</v>
      </c>
      <c r="I2954" s="34" t="s">
        <v>18</v>
      </c>
      <c r="J2954" s="34" t="s">
        <v>13</v>
      </c>
      <c r="K2954" s="9"/>
      <c r="L2954" s="45">
        <v>82.3</v>
      </c>
      <c r="M2954" s="45">
        <v>82.3</v>
      </c>
    </row>
    <row r="2955">
      <c r="A2955" s="34" t="s">
        <v>70</v>
      </c>
      <c r="B2955" s="34" t="s">
        <v>129</v>
      </c>
      <c r="C2955" s="34">
        <v>13.0</v>
      </c>
      <c r="D2955" s="34" t="s">
        <v>219</v>
      </c>
      <c r="E2955" s="34" t="s">
        <v>7029</v>
      </c>
      <c r="F2955" s="34" t="s">
        <v>7030</v>
      </c>
      <c r="G2955" s="34">
        <v>13208.0</v>
      </c>
      <c r="H2955" s="34" t="s">
        <v>2239</v>
      </c>
      <c r="I2955" s="34" t="s">
        <v>18</v>
      </c>
      <c r="J2955" s="34" t="s">
        <v>15</v>
      </c>
      <c r="K2955" s="45">
        <v>126.0</v>
      </c>
      <c r="L2955" s="9"/>
      <c r="M2955" s="45">
        <v>126.0</v>
      </c>
    </row>
    <row r="2956">
      <c r="A2956" s="34" t="s">
        <v>70</v>
      </c>
      <c r="B2956" s="34" t="s">
        <v>129</v>
      </c>
      <c r="C2956" s="34">
        <v>13.0</v>
      </c>
      <c r="D2956" s="34" t="s">
        <v>219</v>
      </c>
      <c r="E2956" s="34" t="s">
        <v>7031</v>
      </c>
      <c r="F2956" s="34" t="s">
        <v>1733</v>
      </c>
      <c r="G2956" s="34">
        <v>13203.0</v>
      </c>
      <c r="H2956" s="34" t="s">
        <v>2221</v>
      </c>
      <c r="I2956" s="34" t="s">
        <v>18</v>
      </c>
      <c r="J2956" s="34" t="s">
        <v>15</v>
      </c>
      <c r="K2956" s="45">
        <v>68.3</v>
      </c>
      <c r="L2956" s="9"/>
      <c r="M2956" s="45">
        <v>68.3</v>
      </c>
    </row>
    <row r="2957">
      <c r="A2957" s="34" t="s">
        <v>70</v>
      </c>
      <c r="B2957" s="34" t="s">
        <v>129</v>
      </c>
      <c r="C2957" s="34">
        <v>13.0</v>
      </c>
      <c r="D2957" s="34" t="s">
        <v>219</v>
      </c>
      <c r="E2957" s="34" t="s">
        <v>7032</v>
      </c>
      <c r="F2957" s="34" t="s">
        <v>7033</v>
      </c>
      <c r="G2957" s="34">
        <v>13211.0</v>
      </c>
      <c r="H2957" s="34" t="s">
        <v>259</v>
      </c>
      <c r="I2957" s="34" t="s">
        <v>18</v>
      </c>
      <c r="J2957" s="34" t="s">
        <v>13</v>
      </c>
      <c r="K2957" s="9"/>
      <c r="L2957" s="45">
        <v>75.7</v>
      </c>
      <c r="M2957" s="45">
        <v>75.7</v>
      </c>
    </row>
    <row r="2958">
      <c r="A2958" s="34" t="s">
        <v>70</v>
      </c>
      <c r="B2958" s="34" t="s">
        <v>129</v>
      </c>
      <c r="C2958" s="34">
        <v>13.0</v>
      </c>
      <c r="D2958" s="34" t="s">
        <v>219</v>
      </c>
      <c r="E2958" s="34" t="s">
        <v>7034</v>
      </c>
      <c r="F2958" s="34" t="s">
        <v>7035</v>
      </c>
      <c r="G2958" s="34">
        <v>13208.0</v>
      </c>
      <c r="H2958" s="34" t="s">
        <v>2239</v>
      </c>
      <c r="I2958" s="34" t="s">
        <v>18</v>
      </c>
      <c r="J2958" s="34" t="s">
        <v>13</v>
      </c>
      <c r="K2958" s="9"/>
      <c r="L2958" s="45">
        <v>78.6</v>
      </c>
      <c r="M2958" s="45">
        <v>78.6</v>
      </c>
    </row>
    <row r="2959">
      <c r="A2959" s="34" t="s">
        <v>70</v>
      </c>
      <c r="B2959" s="34" t="s">
        <v>129</v>
      </c>
      <c r="C2959" s="34">
        <v>13.0</v>
      </c>
      <c r="D2959" s="34" t="s">
        <v>219</v>
      </c>
      <c r="E2959" s="34" t="s">
        <v>7036</v>
      </c>
      <c r="F2959" s="34" t="s">
        <v>7037</v>
      </c>
      <c r="G2959" s="34">
        <v>13103.0</v>
      </c>
      <c r="H2959" s="34" t="s">
        <v>250</v>
      </c>
      <c r="I2959" s="34" t="s">
        <v>18</v>
      </c>
      <c r="J2959" s="34" t="s">
        <v>15</v>
      </c>
      <c r="K2959" s="45">
        <v>114.2</v>
      </c>
      <c r="L2959" s="9"/>
      <c r="M2959" s="45">
        <v>114.2</v>
      </c>
    </row>
    <row r="2960">
      <c r="A2960" s="34" t="s">
        <v>70</v>
      </c>
      <c r="B2960" s="34" t="s">
        <v>129</v>
      </c>
      <c r="C2960" s="34">
        <v>13.0</v>
      </c>
      <c r="D2960" s="34" t="s">
        <v>219</v>
      </c>
      <c r="E2960" s="34" t="s">
        <v>7038</v>
      </c>
      <c r="F2960" s="34" t="s">
        <v>7039</v>
      </c>
      <c r="G2960" s="34">
        <v>13004.0</v>
      </c>
      <c r="H2960" s="34" t="s">
        <v>3987</v>
      </c>
      <c r="I2960" s="34" t="s">
        <v>18</v>
      </c>
      <c r="J2960" s="34" t="s">
        <v>13</v>
      </c>
      <c r="K2960" s="9"/>
      <c r="L2960" s="45">
        <v>75.2</v>
      </c>
      <c r="M2960" s="45">
        <v>75.2</v>
      </c>
    </row>
    <row r="2961">
      <c r="A2961" s="34" t="s">
        <v>70</v>
      </c>
      <c r="B2961" s="34" t="s">
        <v>129</v>
      </c>
      <c r="C2961" s="34">
        <v>13.0</v>
      </c>
      <c r="D2961" s="34" t="s">
        <v>219</v>
      </c>
      <c r="E2961" s="34" t="s">
        <v>7040</v>
      </c>
      <c r="F2961" s="34" t="s">
        <v>7041</v>
      </c>
      <c r="G2961" s="34">
        <v>13213.0</v>
      </c>
      <c r="H2961" s="34" t="s">
        <v>225</v>
      </c>
      <c r="I2961" s="34" t="s">
        <v>17</v>
      </c>
      <c r="J2961" s="34" t="s">
        <v>15</v>
      </c>
      <c r="K2961" s="45">
        <v>148.2</v>
      </c>
      <c r="L2961" s="9"/>
      <c r="M2961" s="45">
        <v>148.2</v>
      </c>
    </row>
    <row r="2962">
      <c r="A2962" s="34" t="s">
        <v>70</v>
      </c>
      <c r="B2962" s="34" t="s">
        <v>129</v>
      </c>
      <c r="C2962" s="34">
        <v>13.0</v>
      </c>
      <c r="D2962" s="34" t="s">
        <v>219</v>
      </c>
      <c r="E2962" s="34" t="s">
        <v>7042</v>
      </c>
      <c r="F2962" s="34" t="s">
        <v>7043</v>
      </c>
      <c r="G2962" s="34">
        <v>13214.0</v>
      </c>
      <c r="H2962" s="34" t="s">
        <v>3998</v>
      </c>
      <c r="I2962" s="34" t="s">
        <v>17</v>
      </c>
      <c r="J2962" s="34" t="s">
        <v>15</v>
      </c>
      <c r="K2962" s="45">
        <v>88.2</v>
      </c>
      <c r="L2962" s="9"/>
      <c r="M2962" s="45">
        <v>88.2</v>
      </c>
    </row>
    <row r="2963">
      <c r="A2963" s="34" t="s">
        <v>70</v>
      </c>
      <c r="B2963" s="34" t="s">
        <v>129</v>
      </c>
      <c r="C2963" s="34">
        <v>13.0</v>
      </c>
      <c r="D2963" s="34" t="s">
        <v>219</v>
      </c>
      <c r="E2963" s="34" t="s">
        <v>7044</v>
      </c>
      <c r="F2963" s="34" t="s">
        <v>3057</v>
      </c>
      <c r="G2963" s="34">
        <v>13206.0</v>
      </c>
      <c r="H2963" s="34" t="s">
        <v>222</v>
      </c>
      <c r="I2963" s="34" t="s">
        <v>17</v>
      </c>
      <c r="J2963" s="34" t="s">
        <v>15</v>
      </c>
      <c r="K2963" s="45">
        <v>131.0</v>
      </c>
      <c r="L2963" s="9"/>
      <c r="M2963" s="45">
        <v>131.0</v>
      </c>
    </row>
    <row r="2964">
      <c r="A2964" s="34" t="s">
        <v>70</v>
      </c>
      <c r="B2964" s="34" t="s">
        <v>129</v>
      </c>
      <c r="C2964" s="34">
        <v>13.0</v>
      </c>
      <c r="D2964" s="34" t="s">
        <v>219</v>
      </c>
      <c r="E2964" s="34" t="s">
        <v>7045</v>
      </c>
      <c r="F2964" s="34" t="s">
        <v>7046</v>
      </c>
      <c r="G2964" s="34">
        <v>13001.0</v>
      </c>
      <c r="H2964" s="34" t="s">
        <v>242</v>
      </c>
      <c r="I2964" s="34" t="s">
        <v>17</v>
      </c>
      <c r="J2964" s="34" t="s">
        <v>14</v>
      </c>
      <c r="K2964" s="45">
        <v>129.5</v>
      </c>
      <c r="L2964" s="45">
        <v>107.1</v>
      </c>
      <c r="M2964" s="45">
        <v>116.3</v>
      </c>
    </row>
    <row r="2965">
      <c r="A2965" s="34" t="s">
        <v>70</v>
      </c>
      <c r="B2965" s="34" t="s">
        <v>129</v>
      </c>
      <c r="C2965" s="34">
        <v>13.0</v>
      </c>
      <c r="D2965" s="34" t="s">
        <v>219</v>
      </c>
      <c r="E2965" s="34" t="s">
        <v>7047</v>
      </c>
      <c r="F2965" s="34" t="s">
        <v>7048</v>
      </c>
      <c r="G2965" s="34">
        <v>13216.0</v>
      </c>
      <c r="H2965" s="34" t="s">
        <v>2224</v>
      </c>
      <c r="I2965" s="34" t="s">
        <v>17</v>
      </c>
      <c r="J2965" s="34" t="s">
        <v>13</v>
      </c>
      <c r="K2965" s="9"/>
      <c r="L2965" s="45">
        <v>71.2</v>
      </c>
      <c r="M2965" s="45">
        <v>71.2</v>
      </c>
    </row>
    <row r="2966">
      <c r="A2966" s="34" t="s">
        <v>70</v>
      </c>
      <c r="B2966" s="34" t="s">
        <v>129</v>
      </c>
      <c r="C2966" s="34">
        <v>13.0</v>
      </c>
      <c r="D2966" s="34" t="s">
        <v>219</v>
      </c>
      <c r="E2966" s="34" t="s">
        <v>7049</v>
      </c>
      <c r="F2966" s="34" t="s">
        <v>7050</v>
      </c>
      <c r="G2966" s="34">
        <v>13056.0</v>
      </c>
      <c r="H2966" s="34" t="s">
        <v>236</v>
      </c>
      <c r="I2966" s="34" t="s">
        <v>17</v>
      </c>
      <c r="J2966" s="34" t="s">
        <v>13</v>
      </c>
      <c r="K2966" s="9"/>
      <c r="L2966" s="45">
        <v>91.0</v>
      </c>
      <c r="M2966" s="45">
        <v>91.0</v>
      </c>
    </row>
    <row r="2967">
      <c r="A2967" s="34" t="s">
        <v>70</v>
      </c>
      <c r="B2967" s="34" t="s">
        <v>129</v>
      </c>
      <c r="C2967" s="34">
        <v>13.0</v>
      </c>
      <c r="D2967" s="34" t="s">
        <v>219</v>
      </c>
      <c r="E2967" s="34" t="s">
        <v>7051</v>
      </c>
      <c r="F2967" s="34" t="s">
        <v>7052</v>
      </c>
      <c r="G2967" s="34">
        <v>13215.0</v>
      </c>
      <c r="H2967" s="34" t="s">
        <v>2272</v>
      </c>
      <c r="I2967" s="34" t="s">
        <v>18</v>
      </c>
      <c r="J2967" s="34" t="s">
        <v>13</v>
      </c>
      <c r="K2967" s="9"/>
      <c r="L2967" s="45">
        <v>61.2</v>
      </c>
      <c r="M2967" s="45">
        <v>61.2</v>
      </c>
    </row>
    <row r="2968">
      <c r="A2968" s="34" t="s">
        <v>70</v>
      </c>
      <c r="B2968" s="34" t="s">
        <v>129</v>
      </c>
      <c r="C2968" s="34">
        <v>13.0</v>
      </c>
      <c r="D2968" s="34" t="s">
        <v>219</v>
      </c>
      <c r="E2968" s="34" t="s">
        <v>7053</v>
      </c>
      <c r="F2968" s="34" t="s">
        <v>7054</v>
      </c>
      <c r="G2968" s="34">
        <v>13047.0</v>
      </c>
      <c r="H2968" s="34" t="s">
        <v>2264</v>
      </c>
      <c r="I2968" s="34" t="s">
        <v>18</v>
      </c>
      <c r="J2968" s="34" t="s">
        <v>13</v>
      </c>
      <c r="K2968" s="9"/>
      <c r="L2968" s="45">
        <v>86.0</v>
      </c>
      <c r="M2968" s="45">
        <v>86.0</v>
      </c>
    </row>
    <row r="2969">
      <c r="A2969" s="34" t="s">
        <v>70</v>
      </c>
      <c r="B2969" s="34" t="s">
        <v>129</v>
      </c>
      <c r="C2969" s="34">
        <v>13.0</v>
      </c>
      <c r="D2969" s="34" t="s">
        <v>219</v>
      </c>
      <c r="E2969" s="34" t="s">
        <v>7055</v>
      </c>
      <c r="F2969" s="34" t="s">
        <v>7056</v>
      </c>
      <c r="G2969" s="34">
        <v>13213.0</v>
      </c>
      <c r="H2969" s="34" t="s">
        <v>225</v>
      </c>
      <c r="I2969" s="34" t="s">
        <v>17</v>
      </c>
      <c r="J2969" s="34" t="s">
        <v>15</v>
      </c>
      <c r="K2969" s="45">
        <v>110.1</v>
      </c>
      <c r="L2969" s="9"/>
      <c r="M2969" s="45">
        <v>110.1</v>
      </c>
    </row>
    <row r="2970">
      <c r="A2970" s="34" t="s">
        <v>70</v>
      </c>
      <c r="B2970" s="34" t="s">
        <v>129</v>
      </c>
      <c r="C2970" s="34">
        <v>13.0</v>
      </c>
      <c r="D2970" s="34" t="s">
        <v>219</v>
      </c>
      <c r="E2970" s="34" t="s">
        <v>7057</v>
      </c>
      <c r="F2970" s="34" t="s">
        <v>7058</v>
      </c>
      <c r="G2970" s="34">
        <v>13213.0</v>
      </c>
      <c r="H2970" s="34" t="s">
        <v>225</v>
      </c>
      <c r="I2970" s="34" t="s">
        <v>17</v>
      </c>
      <c r="J2970" s="34" t="s">
        <v>13</v>
      </c>
      <c r="K2970" s="9"/>
      <c r="L2970" s="45">
        <v>73.8</v>
      </c>
      <c r="M2970" s="45">
        <v>73.8</v>
      </c>
    </row>
    <row r="2971">
      <c r="A2971" s="34" t="s">
        <v>70</v>
      </c>
      <c r="B2971" s="34" t="s">
        <v>129</v>
      </c>
      <c r="C2971" s="34">
        <v>13.0</v>
      </c>
      <c r="D2971" s="34" t="s">
        <v>219</v>
      </c>
      <c r="E2971" s="34" t="s">
        <v>7059</v>
      </c>
      <c r="F2971" s="34" t="s">
        <v>595</v>
      </c>
      <c r="G2971" s="34">
        <v>13004.0</v>
      </c>
      <c r="H2971" s="34" t="s">
        <v>3987</v>
      </c>
      <c r="I2971" s="34" t="s">
        <v>17</v>
      </c>
      <c r="J2971" s="34" t="s">
        <v>13</v>
      </c>
      <c r="K2971" s="9"/>
      <c r="L2971" s="45">
        <v>85.2</v>
      </c>
      <c r="M2971" s="45">
        <v>85.2</v>
      </c>
    </row>
    <row r="2972">
      <c r="A2972" s="34" t="s">
        <v>70</v>
      </c>
      <c r="B2972" s="34" t="s">
        <v>129</v>
      </c>
      <c r="C2972" s="34">
        <v>13.0</v>
      </c>
      <c r="D2972" s="34" t="s">
        <v>219</v>
      </c>
      <c r="E2972" s="34" t="s">
        <v>7060</v>
      </c>
      <c r="F2972" s="34" t="s">
        <v>7061</v>
      </c>
      <c r="G2972" s="34">
        <v>13043.0</v>
      </c>
      <c r="H2972" s="34" t="s">
        <v>7062</v>
      </c>
      <c r="I2972" s="34" t="s">
        <v>17</v>
      </c>
      <c r="J2972" s="34" t="s">
        <v>15</v>
      </c>
      <c r="K2972" s="45">
        <v>129.4</v>
      </c>
      <c r="L2972" s="9"/>
      <c r="M2972" s="45">
        <v>129.4</v>
      </c>
    </row>
    <row r="2973">
      <c r="A2973" s="34" t="s">
        <v>70</v>
      </c>
      <c r="B2973" s="34" t="s">
        <v>129</v>
      </c>
      <c r="C2973" s="34">
        <v>13.0</v>
      </c>
      <c r="D2973" s="34" t="s">
        <v>219</v>
      </c>
      <c r="E2973" s="34" t="s">
        <v>7063</v>
      </c>
      <c r="F2973" s="34" t="s">
        <v>7064</v>
      </c>
      <c r="G2973" s="34">
        <v>13001.0</v>
      </c>
      <c r="H2973" s="34" t="s">
        <v>242</v>
      </c>
      <c r="I2973" s="34" t="s">
        <v>17</v>
      </c>
      <c r="J2973" s="34" t="s">
        <v>14</v>
      </c>
      <c r="K2973" s="45">
        <v>118.2</v>
      </c>
      <c r="L2973" s="45">
        <v>106.3</v>
      </c>
      <c r="M2973" s="45">
        <v>110.2</v>
      </c>
    </row>
    <row r="2974">
      <c r="A2974" s="34" t="s">
        <v>70</v>
      </c>
      <c r="B2974" s="34" t="s">
        <v>129</v>
      </c>
      <c r="C2974" s="34">
        <v>13.0</v>
      </c>
      <c r="D2974" s="34" t="s">
        <v>219</v>
      </c>
      <c r="E2974" s="34" t="s">
        <v>7065</v>
      </c>
      <c r="F2974" s="34" t="s">
        <v>7066</v>
      </c>
      <c r="G2974" s="34">
        <v>13206.0</v>
      </c>
      <c r="H2974" s="34" t="s">
        <v>222</v>
      </c>
      <c r="I2974" s="34" t="s">
        <v>17</v>
      </c>
      <c r="J2974" s="34" t="s">
        <v>15</v>
      </c>
      <c r="K2974" s="45">
        <v>124.3</v>
      </c>
      <c r="L2974" s="9"/>
      <c r="M2974" s="45">
        <v>124.3</v>
      </c>
    </row>
    <row r="2975">
      <c r="A2975" s="34" t="s">
        <v>70</v>
      </c>
      <c r="B2975" s="34" t="s">
        <v>269</v>
      </c>
      <c r="C2975" s="34">
        <v>14.0</v>
      </c>
      <c r="D2975" s="34" t="s">
        <v>270</v>
      </c>
      <c r="E2975" s="34" t="s">
        <v>7067</v>
      </c>
      <c r="F2975" s="34" t="s">
        <v>7068</v>
      </c>
      <c r="G2975" s="34">
        <v>14118.0</v>
      </c>
      <c r="H2975" s="34" t="s">
        <v>273</v>
      </c>
      <c r="I2975" s="34" t="s">
        <v>18</v>
      </c>
      <c r="J2975" s="34" t="s">
        <v>13</v>
      </c>
      <c r="K2975" s="9"/>
      <c r="L2975" s="45">
        <v>84.2</v>
      </c>
      <c r="M2975" s="45">
        <v>84.2</v>
      </c>
    </row>
    <row r="2976">
      <c r="A2976" s="34" t="s">
        <v>70</v>
      </c>
      <c r="B2976" s="34" t="s">
        <v>269</v>
      </c>
      <c r="C2976" s="34">
        <v>14.0</v>
      </c>
      <c r="D2976" s="34" t="s">
        <v>270</v>
      </c>
      <c r="E2976" s="34" t="s">
        <v>7069</v>
      </c>
      <c r="F2976" s="34" t="s">
        <v>7070</v>
      </c>
      <c r="G2976" s="34">
        <v>14118.0</v>
      </c>
      <c r="H2976" s="34" t="s">
        <v>273</v>
      </c>
      <c r="I2976" s="34" t="s">
        <v>18</v>
      </c>
      <c r="J2976" s="34" t="s">
        <v>13</v>
      </c>
      <c r="K2976" s="9"/>
      <c r="L2976" s="45">
        <v>79.8</v>
      </c>
      <c r="M2976" s="45">
        <v>79.8</v>
      </c>
    </row>
    <row r="2977">
      <c r="A2977" s="34" t="s">
        <v>70</v>
      </c>
      <c r="B2977" s="34" t="s">
        <v>269</v>
      </c>
      <c r="C2977" s="34">
        <v>14.0</v>
      </c>
      <c r="D2977" s="34" t="s">
        <v>270</v>
      </c>
      <c r="E2977" s="34" t="s">
        <v>7071</v>
      </c>
      <c r="F2977" s="34" t="s">
        <v>7072</v>
      </c>
      <c r="G2977" s="34">
        <v>14228.0</v>
      </c>
      <c r="H2977" s="34" t="s">
        <v>4060</v>
      </c>
      <c r="I2977" s="34" t="s">
        <v>17</v>
      </c>
      <c r="J2977" s="34" t="s">
        <v>15</v>
      </c>
      <c r="K2977" s="45">
        <v>119.6</v>
      </c>
      <c r="L2977" s="9"/>
      <c r="M2977" s="45">
        <v>119.6</v>
      </c>
    </row>
    <row r="2978">
      <c r="A2978" s="34" t="s">
        <v>70</v>
      </c>
      <c r="B2978" s="34" t="s">
        <v>269</v>
      </c>
      <c r="C2978" s="34">
        <v>14.0</v>
      </c>
      <c r="D2978" s="34" t="s">
        <v>270</v>
      </c>
      <c r="E2978" s="34" t="s">
        <v>7073</v>
      </c>
      <c r="F2978" s="34" t="s">
        <v>7074</v>
      </c>
      <c r="G2978" s="34">
        <v>14118.0</v>
      </c>
      <c r="H2978" s="34" t="s">
        <v>273</v>
      </c>
      <c r="I2978" s="34" t="s">
        <v>17</v>
      </c>
      <c r="J2978" s="34" t="s">
        <v>15</v>
      </c>
      <c r="K2978" s="45">
        <v>113.3</v>
      </c>
      <c r="L2978" s="9"/>
      <c r="M2978" s="45">
        <v>113.3</v>
      </c>
    </row>
    <row r="2979">
      <c r="A2979" s="34" t="s">
        <v>70</v>
      </c>
      <c r="B2979" s="34" t="s">
        <v>269</v>
      </c>
      <c r="C2979" s="34">
        <v>14.0</v>
      </c>
      <c r="D2979" s="34" t="s">
        <v>270</v>
      </c>
      <c r="E2979" s="34" t="s">
        <v>7075</v>
      </c>
      <c r="F2979" s="34" t="s">
        <v>218</v>
      </c>
      <c r="G2979" s="34">
        <v>14220.0</v>
      </c>
      <c r="H2979" s="34" t="s">
        <v>4042</v>
      </c>
      <c r="I2979" s="34" t="s">
        <v>17</v>
      </c>
      <c r="J2979" s="34" t="s">
        <v>13</v>
      </c>
      <c r="K2979" s="9"/>
      <c r="L2979" s="45">
        <v>78.3</v>
      </c>
      <c r="M2979" s="45">
        <v>78.3</v>
      </c>
    </row>
    <row r="2980">
      <c r="A2980" s="34" t="s">
        <v>70</v>
      </c>
      <c r="B2980" s="34" t="s">
        <v>269</v>
      </c>
      <c r="C2980" s="34">
        <v>14.0</v>
      </c>
      <c r="D2980" s="34" t="s">
        <v>270</v>
      </c>
      <c r="E2980" s="34" t="s">
        <v>7076</v>
      </c>
      <c r="F2980" s="34" t="s">
        <v>7077</v>
      </c>
      <c r="G2980" s="34">
        <v>14228.0</v>
      </c>
      <c r="H2980" s="34" t="s">
        <v>4060</v>
      </c>
      <c r="I2980" s="34" t="s">
        <v>17</v>
      </c>
      <c r="J2980" s="34" t="s">
        <v>13</v>
      </c>
      <c r="K2980" s="9"/>
      <c r="L2980" s="45">
        <v>101.0</v>
      </c>
      <c r="M2980" s="45">
        <v>101.0</v>
      </c>
    </row>
    <row r="2981">
      <c r="A2981" s="34" t="s">
        <v>70</v>
      </c>
      <c r="B2981" s="34" t="s">
        <v>269</v>
      </c>
      <c r="C2981" s="34">
        <v>14.0</v>
      </c>
      <c r="D2981" s="34" t="s">
        <v>270</v>
      </c>
      <c r="E2981" s="34" t="s">
        <v>7078</v>
      </c>
      <c r="F2981" s="34" t="s">
        <v>7079</v>
      </c>
      <c r="G2981" s="34">
        <v>14366.0</v>
      </c>
      <c r="H2981" s="34" t="s">
        <v>2301</v>
      </c>
      <c r="I2981" s="34" t="s">
        <v>17</v>
      </c>
      <c r="J2981" s="34" t="s">
        <v>13</v>
      </c>
      <c r="K2981" s="9"/>
      <c r="L2981" s="45">
        <v>69.7</v>
      </c>
      <c r="M2981" s="45">
        <v>69.7</v>
      </c>
    </row>
    <row r="2982">
      <c r="A2982" s="34" t="s">
        <v>70</v>
      </c>
      <c r="B2982" s="34" t="s">
        <v>269</v>
      </c>
      <c r="C2982" s="34">
        <v>14.0</v>
      </c>
      <c r="D2982" s="34" t="s">
        <v>270</v>
      </c>
      <c r="E2982" s="34" t="s">
        <v>7080</v>
      </c>
      <c r="F2982" s="34" t="s">
        <v>7081</v>
      </c>
      <c r="G2982" s="34">
        <v>14225.0</v>
      </c>
      <c r="H2982" s="34" t="s">
        <v>7082</v>
      </c>
      <c r="I2982" s="34" t="s">
        <v>18</v>
      </c>
      <c r="J2982" s="34" t="s">
        <v>13</v>
      </c>
      <c r="K2982" s="9"/>
      <c r="L2982" s="45">
        <v>83.7</v>
      </c>
      <c r="M2982" s="45">
        <v>83.7</v>
      </c>
    </row>
    <row r="2983">
      <c r="A2983" s="34" t="s">
        <v>70</v>
      </c>
      <c r="B2983" s="34" t="s">
        <v>269</v>
      </c>
      <c r="C2983" s="34">
        <v>14.0</v>
      </c>
      <c r="D2983" s="34" t="s">
        <v>270</v>
      </c>
      <c r="E2983" s="34" t="s">
        <v>7083</v>
      </c>
      <c r="F2983" s="34" t="s">
        <v>6475</v>
      </c>
      <c r="G2983" s="34">
        <v>14118.0</v>
      </c>
      <c r="H2983" s="34" t="s">
        <v>273</v>
      </c>
      <c r="I2983" s="34" t="s">
        <v>18</v>
      </c>
      <c r="J2983" s="34" t="s">
        <v>15</v>
      </c>
      <c r="K2983" s="45">
        <v>130.4</v>
      </c>
      <c r="L2983" s="9"/>
      <c r="M2983" s="45">
        <v>130.4</v>
      </c>
    </row>
    <row r="2984">
      <c r="A2984" s="34" t="s">
        <v>70</v>
      </c>
      <c r="B2984" s="34" t="s">
        <v>269</v>
      </c>
      <c r="C2984" s="34">
        <v>14.0</v>
      </c>
      <c r="D2984" s="34" t="s">
        <v>270</v>
      </c>
      <c r="E2984" s="34" t="s">
        <v>7084</v>
      </c>
      <c r="F2984" s="34" t="s">
        <v>7085</v>
      </c>
      <c r="G2984" s="34">
        <v>14341.0</v>
      </c>
      <c r="H2984" s="34" t="s">
        <v>7086</v>
      </c>
      <c r="I2984" s="34" t="s">
        <v>18</v>
      </c>
      <c r="J2984" s="34" t="s">
        <v>14</v>
      </c>
      <c r="K2984" s="45">
        <v>122.1</v>
      </c>
      <c r="L2984" s="45">
        <v>95.1</v>
      </c>
      <c r="M2984" s="45">
        <v>99.2</v>
      </c>
    </row>
    <row r="2985">
      <c r="A2985" s="34" t="s">
        <v>70</v>
      </c>
      <c r="B2985" s="34" t="s">
        <v>116</v>
      </c>
      <c r="C2985" s="34">
        <v>15.0</v>
      </c>
      <c r="D2985" s="34" t="s">
        <v>2304</v>
      </c>
      <c r="E2985" s="34" t="s">
        <v>7087</v>
      </c>
      <c r="F2985" s="34" t="s">
        <v>7088</v>
      </c>
      <c r="G2985" s="34">
        <v>15014.0</v>
      </c>
      <c r="H2985" s="34" t="s">
        <v>2307</v>
      </c>
      <c r="I2985" s="34" t="s">
        <v>18</v>
      </c>
      <c r="J2985" s="34" t="s">
        <v>14</v>
      </c>
      <c r="K2985" s="45">
        <v>111.5</v>
      </c>
      <c r="L2985" s="45">
        <v>97.4</v>
      </c>
      <c r="M2985" s="45">
        <v>108.4</v>
      </c>
    </row>
    <row r="2986">
      <c r="A2986" s="34" t="s">
        <v>70</v>
      </c>
      <c r="B2986" s="34" t="s">
        <v>116</v>
      </c>
      <c r="C2986" s="34">
        <v>15.0</v>
      </c>
      <c r="D2986" s="34" t="s">
        <v>2304</v>
      </c>
      <c r="E2986" s="34" t="s">
        <v>7089</v>
      </c>
      <c r="F2986" s="34" t="s">
        <v>7090</v>
      </c>
      <c r="G2986" s="34">
        <v>15187.0</v>
      </c>
      <c r="H2986" s="34" t="s">
        <v>2310</v>
      </c>
      <c r="I2986" s="34" t="s">
        <v>17</v>
      </c>
      <c r="J2986" s="34" t="s">
        <v>15</v>
      </c>
      <c r="K2986" s="45">
        <v>104.4</v>
      </c>
      <c r="L2986" s="9"/>
      <c r="M2986" s="45">
        <v>104.4</v>
      </c>
    </row>
    <row r="2987">
      <c r="A2987" s="34" t="s">
        <v>70</v>
      </c>
      <c r="B2987" s="34" t="s">
        <v>284</v>
      </c>
      <c r="C2987" s="34">
        <v>16.0</v>
      </c>
      <c r="D2987" s="34" t="s">
        <v>285</v>
      </c>
      <c r="E2987" s="34" t="s">
        <v>7091</v>
      </c>
      <c r="F2987" s="34" t="s">
        <v>7092</v>
      </c>
      <c r="G2987" s="34">
        <v>16015.0</v>
      </c>
      <c r="H2987" s="34" t="s">
        <v>288</v>
      </c>
      <c r="I2987" s="34" t="s">
        <v>18</v>
      </c>
      <c r="J2987" s="34" t="s">
        <v>15</v>
      </c>
      <c r="K2987" s="45">
        <v>115.0</v>
      </c>
      <c r="L2987" s="9"/>
      <c r="M2987" s="45">
        <v>115.0</v>
      </c>
    </row>
    <row r="2988">
      <c r="A2988" s="34" t="s">
        <v>70</v>
      </c>
      <c r="B2988" s="34" t="s">
        <v>284</v>
      </c>
      <c r="C2988" s="34">
        <v>16.0</v>
      </c>
      <c r="D2988" s="34" t="s">
        <v>285</v>
      </c>
      <c r="E2988" s="34" t="s">
        <v>7093</v>
      </c>
      <c r="F2988" s="34" t="s">
        <v>7094</v>
      </c>
      <c r="G2988" s="34">
        <v>16291.0</v>
      </c>
      <c r="H2988" s="34" t="s">
        <v>7095</v>
      </c>
      <c r="I2988" s="34" t="s">
        <v>18</v>
      </c>
      <c r="J2988" s="34" t="s">
        <v>13</v>
      </c>
      <c r="K2988" s="9"/>
      <c r="L2988" s="45">
        <v>82.3</v>
      </c>
      <c r="M2988" s="45">
        <v>82.3</v>
      </c>
    </row>
    <row r="2989">
      <c r="A2989" s="34" t="s">
        <v>70</v>
      </c>
      <c r="B2989" s="34" t="s">
        <v>284</v>
      </c>
      <c r="C2989" s="34">
        <v>16.0</v>
      </c>
      <c r="D2989" s="34" t="s">
        <v>285</v>
      </c>
      <c r="E2989" s="34" t="s">
        <v>7096</v>
      </c>
      <c r="F2989" s="34" t="s">
        <v>7097</v>
      </c>
      <c r="G2989" s="34">
        <v>16102.0</v>
      </c>
      <c r="H2989" s="34" t="s">
        <v>2317</v>
      </c>
      <c r="I2989" s="34" t="s">
        <v>18</v>
      </c>
      <c r="J2989" s="34" t="s">
        <v>13</v>
      </c>
      <c r="K2989" s="9"/>
      <c r="L2989" s="45">
        <v>83.6</v>
      </c>
      <c r="M2989" s="45">
        <v>83.6</v>
      </c>
    </row>
    <row r="2990">
      <c r="A2990" s="34" t="s">
        <v>70</v>
      </c>
      <c r="B2990" s="34" t="s">
        <v>284</v>
      </c>
      <c r="C2990" s="34">
        <v>16.0</v>
      </c>
      <c r="D2990" s="34" t="s">
        <v>285</v>
      </c>
      <c r="E2990" s="34" t="s">
        <v>7098</v>
      </c>
      <c r="F2990" s="34" t="s">
        <v>7099</v>
      </c>
      <c r="G2990" s="34">
        <v>16015.0</v>
      </c>
      <c r="H2990" s="34" t="s">
        <v>288</v>
      </c>
      <c r="I2990" s="34" t="s">
        <v>18</v>
      </c>
      <c r="J2990" s="34" t="s">
        <v>13</v>
      </c>
      <c r="K2990" s="9"/>
      <c r="L2990" s="45">
        <v>90.9</v>
      </c>
      <c r="M2990" s="45">
        <v>90.9</v>
      </c>
    </row>
    <row r="2991">
      <c r="A2991" s="34" t="s">
        <v>70</v>
      </c>
      <c r="B2991" s="34" t="s">
        <v>284</v>
      </c>
      <c r="C2991" s="34">
        <v>16.0</v>
      </c>
      <c r="D2991" s="34" t="s">
        <v>285</v>
      </c>
      <c r="E2991" s="34" t="s">
        <v>7100</v>
      </c>
      <c r="F2991" s="34" t="s">
        <v>7101</v>
      </c>
      <c r="G2991" s="34">
        <v>16374.0</v>
      </c>
      <c r="H2991" s="34" t="s">
        <v>7102</v>
      </c>
      <c r="I2991" s="34" t="s">
        <v>18</v>
      </c>
      <c r="J2991" s="34" t="s">
        <v>13</v>
      </c>
      <c r="K2991" s="9"/>
      <c r="L2991" s="45">
        <v>87.8</v>
      </c>
      <c r="M2991" s="45">
        <v>87.8</v>
      </c>
    </row>
    <row r="2992">
      <c r="A2992" s="34" t="s">
        <v>70</v>
      </c>
      <c r="B2992" s="34" t="s">
        <v>284</v>
      </c>
      <c r="C2992" s="34">
        <v>16.0</v>
      </c>
      <c r="D2992" s="34" t="s">
        <v>285</v>
      </c>
      <c r="E2992" s="34" t="s">
        <v>7103</v>
      </c>
      <c r="F2992" s="34" t="s">
        <v>7104</v>
      </c>
      <c r="G2992" s="34">
        <v>16015.0</v>
      </c>
      <c r="H2992" s="34" t="s">
        <v>288</v>
      </c>
      <c r="I2992" s="34" t="s">
        <v>17</v>
      </c>
      <c r="J2992" s="34" t="s">
        <v>13</v>
      </c>
      <c r="K2992" s="9"/>
      <c r="L2992" s="45">
        <v>103.7</v>
      </c>
      <c r="M2992" s="45">
        <v>103.7</v>
      </c>
    </row>
    <row r="2993">
      <c r="A2993" s="34" t="s">
        <v>70</v>
      </c>
      <c r="B2993" s="34" t="s">
        <v>284</v>
      </c>
      <c r="C2993" s="34">
        <v>17.0</v>
      </c>
      <c r="D2993" s="34" t="s">
        <v>291</v>
      </c>
      <c r="E2993" s="34" t="s">
        <v>7105</v>
      </c>
      <c r="F2993" s="34" t="s">
        <v>7106</v>
      </c>
      <c r="G2993" s="34">
        <v>17300.0</v>
      </c>
      <c r="H2993" s="34" t="s">
        <v>297</v>
      </c>
      <c r="I2993" s="34" t="s">
        <v>18</v>
      </c>
      <c r="J2993" s="34" t="s">
        <v>15</v>
      </c>
      <c r="K2993" s="45">
        <v>122.1</v>
      </c>
      <c r="L2993" s="9"/>
      <c r="M2993" s="45">
        <v>122.1</v>
      </c>
    </row>
    <row r="2994">
      <c r="A2994" s="34" t="s">
        <v>70</v>
      </c>
      <c r="B2994" s="34" t="s">
        <v>284</v>
      </c>
      <c r="C2994" s="34">
        <v>17.0</v>
      </c>
      <c r="D2994" s="34" t="s">
        <v>291</v>
      </c>
      <c r="E2994" s="34" t="s">
        <v>7107</v>
      </c>
      <c r="F2994" s="34" t="s">
        <v>7108</v>
      </c>
      <c r="G2994" s="34">
        <v>17415.0</v>
      </c>
      <c r="H2994" s="34" t="s">
        <v>2329</v>
      </c>
      <c r="I2994" s="34" t="s">
        <v>18</v>
      </c>
      <c r="J2994" s="34" t="s">
        <v>15</v>
      </c>
      <c r="K2994" s="45">
        <v>119.3</v>
      </c>
      <c r="L2994" s="9"/>
      <c r="M2994" s="45">
        <v>119.3</v>
      </c>
    </row>
    <row r="2995">
      <c r="A2995" s="34" t="s">
        <v>70</v>
      </c>
      <c r="B2995" s="34" t="s">
        <v>284</v>
      </c>
      <c r="C2995" s="34">
        <v>17.0</v>
      </c>
      <c r="D2995" s="34" t="s">
        <v>291</v>
      </c>
      <c r="E2995" s="34" t="s">
        <v>7109</v>
      </c>
      <c r="F2995" s="34" t="s">
        <v>823</v>
      </c>
      <c r="G2995" s="34">
        <v>17415.0</v>
      </c>
      <c r="H2995" s="34" t="s">
        <v>2329</v>
      </c>
      <c r="I2995" s="34" t="s">
        <v>18</v>
      </c>
      <c r="J2995" s="34" t="s">
        <v>15</v>
      </c>
      <c r="K2995" s="45">
        <v>114.5</v>
      </c>
      <c r="L2995" s="9"/>
      <c r="M2995" s="45">
        <v>114.5</v>
      </c>
    </row>
    <row r="2996">
      <c r="A2996" s="34" t="s">
        <v>70</v>
      </c>
      <c r="B2996" s="34" t="s">
        <v>313</v>
      </c>
      <c r="C2996" s="34">
        <v>18.0</v>
      </c>
      <c r="D2996" s="34" t="s">
        <v>314</v>
      </c>
      <c r="E2996" s="34" t="s">
        <v>7110</v>
      </c>
      <c r="F2996" s="34" t="s">
        <v>7111</v>
      </c>
      <c r="G2996" s="34">
        <v>18033.0</v>
      </c>
      <c r="H2996" s="34" t="s">
        <v>4105</v>
      </c>
      <c r="I2996" s="34" t="s">
        <v>18</v>
      </c>
      <c r="J2996" s="34" t="s">
        <v>15</v>
      </c>
      <c r="K2996" s="45">
        <v>116.3</v>
      </c>
      <c r="L2996" s="9"/>
      <c r="M2996" s="45">
        <v>116.3</v>
      </c>
    </row>
    <row r="2997">
      <c r="A2997" s="34" t="s">
        <v>70</v>
      </c>
      <c r="B2997" s="34" t="s">
        <v>313</v>
      </c>
      <c r="C2997" s="34">
        <v>18.0</v>
      </c>
      <c r="D2997" s="34" t="s">
        <v>314</v>
      </c>
      <c r="E2997" s="34" t="s">
        <v>7112</v>
      </c>
      <c r="F2997" s="34" t="s">
        <v>7113</v>
      </c>
      <c r="G2997" s="34">
        <v>18033.0</v>
      </c>
      <c r="H2997" s="34" t="s">
        <v>4105</v>
      </c>
      <c r="I2997" s="34" t="s">
        <v>18</v>
      </c>
      <c r="J2997" s="34" t="s">
        <v>14</v>
      </c>
      <c r="K2997" s="45">
        <v>115.9</v>
      </c>
      <c r="L2997" s="45">
        <v>93.0</v>
      </c>
      <c r="M2997" s="45">
        <v>105.3</v>
      </c>
    </row>
    <row r="2998">
      <c r="A2998" s="34" t="s">
        <v>70</v>
      </c>
      <c r="B2998" s="34" t="s">
        <v>313</v>
      </c>
      <c r="C2998" s="34">
        <v>18.0</v>
      </c>
      <c r="D2998" s="34" t="s">
        <v>314</v>
      </c>
      <c r="E2998" s="34" t="s">
        <v>7114</v>
      </c>
      <c r="F2998" s="34" t="s">
        <v>7115</v>
      </c>
      <c r="G2998" s="34">
        <v>18033.0</v>
      </c>
      <c r="H2998" s="34" t="s">
        <v>4105</v>
      </c>
      <c r="I2998" s="34" t="s">
        <v>18</v>
      </c>
      <c r="J2998" s="34" t="s">
        <v>13</v>
      </c>
      <c r="K2998" s="9"/>
      <c r="L2998" s="45">
        <v>76.6</v>
      </c>
      <c r="M2998" s="45">
        <v>76.6</v>
      </c>
    </row>
    <row r="2999">
      <c r="A2999" s="34" t="s">
        <v>70</v>
      </c>
      <c r="B2999" s="34" t="s">
        <v>313</v>
      </c>
      <c r="C2999" s="34">
        <v>18.0</v>
      </c>
      <c r="D2999" s="34" t="s">
        <v>314</v>
      </c>
      <c r="E2999" s="34" t="s">
        <v>7116</v>
      </c>
      <c r="F2999" s="34" t="s">
        <v>7117</v>
      </c>
      <c r="G2999" s="34">
        <v>18279.0</v>
      </c>
      <c r="H2999" s="34" t="s">
        <v>320</v>
      </c>
      <c r="I2999" s="34" t="s">
        <v>18</v>
      </c>
      <c r="J2999" s="34" t="s">
        <v>14</v>
      </c>
      <c r="K2999" s="45">
        <v>100.9</v>
      </c>
      <c r="L2999" s="45">
        <v>79.3</v>
      </c>
      <c r="M2999" s="45">
        <v>95.0</v>
      </c>
    </row>
    <row r="3000">
      <c r="A3000" s="34" t="s">
        <v>70</v>
      </c>
      <c r="B3000" s="34" t="s">
        <v>313</v>
      </c>
      <c r="C3000" s="34">
        <v>18.0</v>
      </c>
      <c r="D3000" s="34" t="s">
        <v>314</v>
      </c>
      <c r="E3000" s="34" t="s">
        <v>7118</v>
      </c>
      <c r="F3000" s="34" t="s">
        <v>7119</v>
      </c>
      <c r="G3000" s="34">
        <v>18033.0</v>
      </c>
      <c r="H3000" s="34" t="s">
        <v>4105</v>
      </c>
      <c r="I3000" s="34" t="s">
        <v>18</v>
      </c>
      <c r="J3000" s="34" t="s">
        <v>13</v>
      </c>
      <c r="K3000" s="9"/>
      <c r="L3000" s="45">
        <v>92.6</v>
      </c>
      <c r="M3000" s="45">
        <v>92.6</v>
      </c>
    </row>
    <row r="3001">
      <c r="A3001" s="34" t="s">
        <v>70</v>
      </c>
      <c r="B3001" s="34" t="s">
        <v>313</v>
      </c>
      <c r="C3001" s="34">
        <v>18.0</v>
      </c>
      <c r="D3001" s="34" t="s">
        <v>314</v>
      </c>
      <c r="E3001" s="34" t="s">
        <v>7120</v>
      </c>
      <c r="F3001" s="34" t="s">
        <v>7121</v>
      </c>
      <c r="G3001" s="34">
        <v>18033.0</v>
      </c>
      <c r="H3001" s="34" t="s">
        <v>4105</v>
      </c>
      <c r="I3001" s="34" t="s">
        <v>17</v>
      </c>
      <c r="J3001" s="34" t="s">
        <v>13</v>
      </c>
      <c r="K3001" s="9"/>
      <c r="L3001" s="45">
        <v>98.1</v>
      </c>
      <c r="M3001" s="45">
        <v>98.1</v>
      </c>
    </row>
    <row r="3002">
      <c r="A3002" s="34" t="s">
        <v>70</v>
      </c>
      <c r="B3002" s="34" t="s">
        <v>322</v>
      </c>
      <c r="C3002" s="34">
        <v>19.0</v>
      </c>
      <c r="D3002" s="34" t="s">
        <v>323</v>
      </c>
      <c r="E3002" s="34" t="s">
        <v>7122</v>
      </c>
      <c r="F3002" s="34" t="s">
        <v>7123</v>
      </c>
      <c r="G3002" s="34">
        <v>19031.0</v>
      </c>
      <c r="H3002" s="34" t="s">
        <v>332</v>
      </c>
      <c r="I3002" s="34" t="s">
        <v>18</v>
      </c>
      <c r="J3002" s="34" t="s">
        <v>15</v>
      </c>
      <c r="K3002" s="45">
        <v>117.3</v>
      </c>
      <c r="L3002" s="9"/>
      <c r="M3002" s="45">
        <v>117.3</v>
      </c>
    </row>
    <row r="3003">
      <c r="A3003" s="34" t="s">
        <v>70</v>
      </c>
      <c r="B3003" s="34" t="s">
        <v>322</v>
      </c>
      <c r="C3003" s="34">
        <v>19.0</v>
      </c>
      <c r="D3003" s="34" t="s">
        <v>323</v>
      </c>
      <c r="E3003" s="34" t="s">
        <v>7124</v>
      </c>
      <c r="F3003" s="34" t="s">
        <v>7125</v>
      </c>
      <c r="G3003" s="34">
        <v>19031.0</v>
      </c>
      <c r="H3003" s="34" t="s">
        <v>332</v>
      </c>
      <c r="I3003" s="34" t="s">
        <v>17</v>
      </c>
      <c r="J3003" s="34" t="s">
        <v>14</v>
      </c>
      <c r="K3003" s="45">
        <v>107.2</v>
      </c>
      <c r="L3003" s="45">
        <v>104.0</v>
      </c>
      <c r="M3003" s="45">
        <v>105.3</v>
      </c>
    </row>
    <row r="3004">
      <c r="A3004" s="34" t="s">
        <v>70</v>
      </c>
      <c r="B3004" s="34" t="s">
        <v>333</v>
      </c>
      <c r="C3004" s="34">
        <v>21.0</v>
      </c>
      <c r="D3004" s="34" t="s">
        <v>334</v>
      </c>
      <c r="E3004" s="34" t="s">
        <v>7126</v>
      </c>
      <c r="F3004" s="34" t="s">
        <v>2670</v>
      </c>
      <c r="G3004" s="34">
        <v>21231.0</v>
      </c>
      <c r="H3004" s="34" t="s">
        <v>333</v>
      </c>
      <c r="I3004" s="34" t="s">
        <v>18</v>
      </c>
      <c r="J3004" s="34" t="s">
        <v>15</v>
      </c>
      <c r="K3004" s="45">
        <v>125.4</v>
      </c>
      <c r="L3004" s="9"/>
      <c r="M3004" s="45">
        <v>125.4</v>
      </c>
    </row>
    <row r="3005">
      <c r="A3005" s="34" t="s">
        <v>70</v>
      </c>
      <c r="B3005" s="34" t="s">
        <v>333</v>
      </c>
      <c r="C3005" s="34">
        <v>21.0</v>
      </c>
      <c r="D3005" s="34" t="s">
        <v>334</v>
      </c>
      <c r="E3005" s="34" t="s">
        <v>7127</v>
      </c>
      <c r="F3005" s="34" t="s">
        <v>7128</v>
      </c>
      <c r="G3005" s="34">
        <v>21231.0</v>
      </c>
      <c r="H3005" s="34" t="s">
        <v>333</v>
      </c>
      <c r="I3005" s="34" t="s">
        <v>18</v>
      </c>
      <c r="J3005" s="34" t="s">
        <v>14</v>
      </c>
      <c r="K3005" s="45">
        <v>98.9</v>
      </c>
      <c r="L3005" s="45">
        <v>88.8</v>
      </c>
      <c r="M3005" s="45">
        <v>95.7</v>
      </c>
    </row>
    <row r="3006">
      <c r="A3006" s="34" t="s">
        <v>70</v>
      </c>
      <c r="B3006" s="34" t="s">
        <v>333</v>
      </c>
      <c r="C3006" s="34">
        <v>21.0</v>
      </c>
      <c r="D3006" s="34" t="s">
        <v>334</v>
      </c>
      <c r="E3006" s="34" t="s">
        <v>7129</v>
      </c>
      <c r="F3006" s="34" t="s">
        <v>7130</v>
      </c>
      <c r="G3006" s="34">
        <v>21231.0</v>
      </c>
      <c r="H3006" s="34" t="s">
        <v>333</v>
      </c>
      <c r="I3006" s="34" t="s">
        <v>17</v>
      </c>
      <c r="J3006" s="34" t="s">
        <v>14</v>
      </c>
      <c r="K3006" s="45">
        <v>107.7</v>
      </c>
      <c r="L3006" s="45">
        <v>96.4</v>
      </c>
      <c r="M3006" s="45">
        <v>103.5</v>
      </c>
    </row>
    <row r="3007">
      <c r="A3007" s="34" t="s">
        <v>70</v>
      </c>
      <c r="B3007" s="34" t="s">
        <v>333</v>
      </c>
      <c r="C3007" s="34">
        <v>21.0</v>
      </c>
      <c r="D3007" s="34" t="s">
        <v>334</v>
      </c>
      <c r="E3007" s="34" t="s">
        <v>7131</v>
      </c>
      <c r="F3007" s="34" t="s">
        <v>7132</v>
      </c>
      <c r="G3007" s="34">
        <v>21231.0</v>
      </c>
      <c r="H3007" s="34" t="s">
        <v>333</v>
      </c>
      <c r="I3007" s="34" t="s">
        <v>17</v>
      </c>
      <c r="J3007" s="34" t="s">
        <v>14</v>
      </c>
      <c r="K3007" s="45">
        <v>108.3</v>
      </c>
      <c r="L3007" s="45">
        <v>94.1</v>
      </c>
      <c r="M3007" s="45">
        <v>101.4</v>
      </c>
    </row>
    <row r="3008">
      <c r="A3008" s="34" t="s">
        <v>70</v>
      </c>
      <c r="B3008" s="34" t="s">
        <v>333</v>
      </c>
      <c r="C3008" s="34">
        <v>21.0</v>
      </c>
      <c r="D3008" s="34" t="s">
        <v>334</v>
      </c>
      <c r="E3008" s="34" t="s">
        <v>7133</v>
      </c>
      <c r="F3008" s="34" t="s">
        <v>7134</v>
      </c>
      <c r="G3008" s="34">
        <v>21166.0</v>
      </c>
      <c r="H3008" s="34" t="s">
        <v>7135</v>
      </c>
      <c r="I3008" s="34" t="s">
        <v>18</v>
      </c>
      <c r="J3008" s="34" t="s">
        <v>13</v>
      </c>
      <c r="K3008" s="9"/>
      <c r="L3008" s="45">
        <v>82.9</v>
      </c>
      <c r="M3008" s="45">
        <v>82.9</v>
      </c>
    </row>
    <row r="3009">
      <c r="A3009" s="34" t="s">
        <v>70</v>
      </c>
      <c r="B3009" s="34" t="s">
        <v>354</v>
      </c>
      <c r="C3009" s="34">
        <v>22.0</v>
      </c>
      <c r="D3009" s="34" t="s">
        <v>355</v>
      </c>
      <c r="E3009" s="34" t="s">
        <v>7136</v>
      </c>
      <c r="F3009" s="34" t="s">
        <v>7137</v>
      </c>
      <c r="G3009" s="34">
        <v>22113.0</v>
      </c>
      <c r="H3009" s="34" t="s">
        <v>358</v>
      </c>
      <c r="I3009" s="34" t="s">
        <v>18</v>
      </c>
      <c r="J3009" s="34" t="s">
        <v>15</v>
      </c>
      <c r="K3009" s="45">
        <v>128.0</v>
      </c>
      <c r="L3009" s="9"/>
      <c r="M3009" s="45">
        <v>128.0</v>
      </c>
    </row>
    <row r="3010">
      <c r="A3010" s="34" t="s">
        <v>70</v>
      </c>
      <c r="B3010" s="34" t="s">
        <v>354</v>
      </c>
      <c r="C3010" s="34">
        <v>22.0</v>
      </c>
      <c r="D3010" s="34" t="s">
        <v>355</v>
      </c>
      <c r="E3010" s="34" t="s">
        <v>7138</v>
      </c>
      <c r="F3010" s="34" t="s">
        <v>7139</v>
      </c>
      <c r="G3010" s="34">
        <v>22136.0</v>
      </c>
      <c r="H3010" s="34" t="s">
        <v>367</v>
      </c>
      <c r="I3010" s="34" t="s">
        <v>18</v>
      </c>
      <c r="J3010" s="34" t="s">
        <v>14</v>
      </c>
      <c r="K3010" s="45">
        <v>105.2</v>
      </c>
      <c r="L3010" s="45">
        <v>86.4</v>
      </c>
      <c r="M3010" s="45">
        <v>97.6</v>
      </c>
    </row>
    <row r="3011">
      <c r="A3011" s="34" t="s">
        <v>70</v>
      </c>
      <c r="B3011" s="34" t="s">
        <v>354</v>
      </c>
      <c r="C3011" s="34">
        <v>22.0</v>
      </c>
      <c r="D3011" s="34" t="s">
        <v>355</v>
      </c>
      <c r="E3011" s="34" t="s">
        <v>7140</v>
      </c>
      <c r="F3011" s="34" t="s">
        <v>7141</v>
      </c>
      <c r="G3011" s="34">
        <v>22113.0</v>
      </c>
      <c r="H3011" s="34" t="s">
        <v>358</v>
      </c>
      <c r="I3011" s="34" t="s">
        <v>17</v>
      </c>
      <c r="J3011" s="34" t="s">
        <v>13</v>
      </c>
      <c r="K3011" s="9"/>
      <c r="L3011" s="45">
        <v>98.4</v>
      </c>
      <c r="M3011" s="45">
        <v>98.4</v>
      </c>
    </row>
    <row r="3012">
      <c r="A3012" s="34" t="s">
        <v>70</v>
      </c>
      <c r="B3012" s="34" t="s">
        <v>377</v>
      </c>
      <c r="C3012" s="34">
        <v>24.0</v>
      </c>
      <c r="D3012" s="34" t="s">
        <v>378</v>
      </c>
      <c r="E3012" s="34" t="s">
        <v>7142</v>
      </c>
      <c r="F3012" s="34" t="s">
        <v>7143</v>
      </c>
      <c r="G3012" s="34">
        <v>24520.0</v>
      </c>
      <c r="H3012" s="34" t="s">
        <v>386</v>
      </c>
      <c r="I3012" s="34" t="s">
        <v>18</v>
      </c>
      <c r="J3012" s="34" t="s">
        <v>15</v>
      </c>
      <c r="K3012" s="45">
        <v>112.1</v>
      </c>
      <c r="L3012" s="9"/>
      <c r="M3012" s="45">
        <v>112.1</v>
      </c>
    </row>
    <row r="3013">
      <c r="A3013" s="34" t="s">
        <v>70</v>
      </c>
      <c r="B3013" s="34" t="s">
        <v>377</v>
      </c>
      <c r="C3013" s="34">
        <v>24.0</v>
      </c>
      <c r="D3013" s="34" t="s">
        <v>378</v>
      </c>
      <c r="E3013" s="34" t="s">
        <v>7144</v>
      </c>
      <c r="F3013" s="34" t="s">
        <v>7145</v>
      </c>
      <c r="G3013" s="34">
        <v>24551.0</v>
      </c>
      <c r="H3013" s="34" t="s">
        <v>7146</v>
      </c>
      <c r="I3013" s="34" t="s">
        <v>18</v>
      </c>
      <c r="J3013" s="34" t="s">
        <v>13</v>
      </c>
      <c r="K3013" s="9"/>
      <c r="L3013" s="45">
        <v>97.0</v>
      </c>
      <c r="M3013" s="45">
        <v>97.0</v>
      </c>
    </row>
    <row r="3014">
      <c r="A3014" s="34" t="s">
        <v>70</v>
      </c>
      <c r="B3014" s="34" t="s">
        <v>377</v>
      </c>
      <c r="C3014" s="34">
        <v>24.0</v>
      </c>
      <c r="D3014" s="34" t="s">
        <v>378</v>
      </c>
      <c r="E3014" s="34" t="s">
        <v>7147</v>
      </c>
      <c r="F3014" s="34" t="s">
        <v>3119</v>
      </c>
      <c r="G3014" s="34">
        <v>24322.0</v>
      </c>
      <c r="H3014" s="34" t="s">
        <v>2384</v>
      </c>
      <c r="I3014" s="34" t="s">
        <v>17</v>
      </c>
      <c r="J3014" s="34" t="s">
        <v>13</v>
      </c>
      <c r="K3014" s="9"/>
      <c r="L3014" s="45">
        <v>104.0</v>
      </c>
      <c r="M3014" s="45">
        <v>104.0</v>
      </c>
    </row>
    <row r="3015">
      <c r="A3015" s="34" t="s">
        <v>70</v>
      </c>
      <c r="B3015" s="34" t="s">
        <v>393</v>
      </c>
      <c r="C3015" s="34">
        <v>25.0</v>
      </c>
      <c r="D3015" s="34" t="s">
        <v>394</v>
      </c>
      <c r="E3015" s="34" t="s">
        <v>7148</v>
      </c>
      <c r="F3015" s="34" t="s">
        <v>7149</v>
      </c>
      <c r="G3015" s="34">
        <v>25031.0</v>
      </c>
      <c r="H3015" s="34" t="s">
        <v>7150</v>
      </c>
      <c r="I3015" s="34" t="s">
        <v>18</v>
      </c>
      <c r="J3015" s="34" t="s">
        <v>13</v>
      </c>
      <c r="K3015" s="9"/>
      <c r="L3015" s="45">
        <v>75.6</v>
      </c>
      <c r="M3015" s="45">
        <v>75.6</v>
      </c>
    </row>
    <row r="3016">
      <c r="A3016" s="34" t="s">
        <v>70</v>
      </c>
      <c r="B3016" s="34" t="s">
        <v>393</v>
      </c>
      <c r="C3016" s="34">
        <v>25.0</v>
      </c>
      <c r="D3016" s="34" t="s">
        <v>394</v>
      </c>
      <c r="E3016" s="34" t="s">
        <v>7151</v>
      </c>
      <c r="F3016" s="34" t="s">
        <v>6160</v>
      </c>
      <c r="G3016" s="34">
        <v>25056.0</v>
      </c>
      <c r="H3016" s="34" t="s">
        <v>393</v>
      </c>
      <c r="I3016" s="34" t="s">
        <v>18</v>
      </c>
      <c r="J3016" s="34" t="s">
        <v>15</v>
      </c>
      <c r="K3016" s="45">
        <v>122.7</v>
      </c>
      <c r="L3016" s="9"/>
      <c r="M3016" s="45">
        <v>122.7</v>
      </c>
    </row>
    <row r="3017">
      <c r="A3017" s="34" t="s">
        <v>70</v>
      </c>
      <c r="B3017" s="34" t="s">
        <v>393</v>
      </c>
      <c r="C3017" s="34">
        <v>25.0</v>
      </c>
      <c r="D3017" s="34" t="s">
        <v>394</v>
      </c>
      <c r="E3017" s="34" t="s">
        <v>7152</v>
      </c>
      <c r="F3017" s="34" t="s">
        <v>7153</v>
      </c>
      <c r="G3017" s="34">
        <v>25056.0</v>
      </c>
      <c r="H3017" s="34" t="s">
        <v>393</v>
      </c>
      <c r="I3017" s="34" t="s">
        <v>18</v>
      </c>
      <c r="J3017" s="34" t="s">
        <v>15</v>
      </c>
      <c r="K3017" s="45">
        <v>112.5</v>
      </c>
      <c r="L3017" s="9"/>
      <c r="M3017" s="45">
        <v>112.5</v>
      </c>
    </row>
    <row r="3018">
      <c r="A3018" s="34" t="s">
        <v>70</v>
      </c>
      <c r="B3018" s="34" t="s">
        <v>393</v>
      </c>
      <c r="C3018" s="34">
        <v>25.0</v>
      </c>
      <c r="D3018" s="34" t="s">
        <v>394</v>
      </c>
      <c r="E3018" s="34" t="s">
        <v>7154</v>
      </c>
      <c r="F3018" s="34" t="s">
        <v>7155</v>
      </c>
      <c r="G3018" s="34">
        <v>25388.0</v>
      </c>
      <c r="H3018" s="34" t="s">
        <v>2403</v>
      </c>
      <c r="I3018" s="34" t="s">
        <v>18</v>
      </c>
      <c r="J3018" s="34" t="s">
        <v>15</v>
      </c>
      <c r="K3018" s="45">
        <v>109.8</v>
      </c>
      <c r="L3018" s="9"/>
      <c r="M3018" s="45">
        <v>109.8</v>
      </c>
    </row>
    <row r="3019">
      <c r="A3019" s="34" t="s">
        <v>70</v>
      </c>
      <c r="B3019" s="34" t="s">
        <v>393</v>
      </c>
      <c r="C3019" s="34">
        <v>25.0</v>
      </c>
      <c r="D3019" s="34" t="s">
        <v>394</v>
      </c>
      <c r="E3019" s="34" t="s">
        <v>7156</v>
      </c>
      <c r="F3019" s="34" t="s">
        <v>7157</v>
      </c>
      <c r="G3019" s="34">
        <v>25056.0</v>
      </c>
      <c r="H3019" s="34" t="s">
        <v>393</v>
      </c>
      <c r="I3019" s="34" t="s">
        <v>17</v>
      </c>
      <c r="J3019" s="34" t="s">
        <v>13</v>
      </c>
      <c r="K3019" s="9"/>
      <c r="L3019" s="45">
        <v>84.7</v>
      </c>
      <c r="M3019" s="45">
        <v>84.7</v>
      </c>
    </row>
    <row r="3020">
      <c r="A3020" s="34" t="s">
        <v>70</v>
      </c>
      <c r="B3020" s="34" t="s">
        <v>393</v>
      </c>
      <c r="C3020" s="34">
        <v>25.0</v>
      </c>
      <c r="D3020" s="34" t="s">
        <v>394</v>
      </c>
      <c r="E3020" s="34" t="s">
        <v>7158</v>
      </c>
      <c r="F3020" s="34" t="s">
        <v>7159</v>
      </c>
      <c r="G3020" s="34">
        <v>25056.0</v>
      </c>
      <c r="H3020" s="34" t="s">
        <v>393</v>
      </c>
      <c r="I3020" s="34" t="s">
        <v>18</v>
      </c>
      <c r="J3020" s="34" t="s">
        <v>13</v>
      </c>
      <c r="K3020" s="9"/>
      <c r="L3020" s="45">
        <v>80.0</v>
      </c>
      <c r="M3020" s="45">
        <v>80.0</v>
      </c>
    </row>
    <row r="3021">
      <c r="A3021" s="34" t="s">
        <v>70</v>
      </c>
      <c r="B3021" s="34" t="s">
        <v>393</v>
      </c>
      <c r="C3021" s="34">
        <v>25.0</v>
      </c>
      <c r="D3021" s="34" t="s">
        <v>394</v>
      </c>
      <c r="E3021" s="34" t="s">
        <v>7160</v>
      </c>
      <c r="F3021" s="34" t="s">
        <v>7161</v>
      </c>
      <c r="G3021" s="34">
        <v>25462.0</v>
      </c>
      <c r="H3021" s="34" t="s">
        <v>399</v>
      </c>
      <c r="I3021" s="34" t="s">
        <v>17</v>
      </c>
      <c r="J3021" s="34" t="s">
        <v>13</v>
      </c>
      <c r="K3021" s="9"/>
      <c r="L3021" s="45">
        <v>98.6</v>
      </c>
      <c r="M3021" s="45">
        <v>98.6</v>
      </c>
    </row>
    <row r="3022">
      <c r="A3022" s="34" t="s">
        <v>70</v>
      </c>
      <c r="B3022" s="34" t="s">
        <v>393</v>
      </c>
      <c r="C3022" s="34">
        <v>25.0</v>
      </c>
      <c r="D3022" s="34" t="s">
        <v>394</v>
      </c>
      <c r="E3022" s="34" t="s">
        <v>7162</v>
      </c>
      <c r="F3022" s="34" t="s">
        <v>7163</v>
      </c>
      <c r="G3022" s="34">
        <v>25462.0</v>
      </c>
      <c r="H3022" s="34" t="s">
        <v>399</v>
      </c>
      <c r="I3022" s="34" t="s">
        <v>18</v>
      </c>
      <c r="J3022" s="34" t="s">
        <v>13</v>
      </c>
      <c r="K3022" s="9"/>
      <c r="L3022" s="45">
        <v>90.2</v>
      </c>
      <c r="M3022" s="45">
        <v>90.2</v>
      </c>
    </row>
    <row r="3023">
      <c r="A3023" s="34" t="s">
        <v>70</v>
      </c>
      <c r="B3023" s="34" t="s">
        <v>393</v>
      </c>
      <c r="C3023" s="34">
        <v>25.0</v>
      </c>
      <c r="D3023" s="34" t="s">
        <v>394</v>
      </c>
      <c r="E3023" s="34" t="s">
        <v>7164</v>
      </c>
      <c r="F3023" s="34" t="s">
        <v>7165</v>
      </c>
      <c r="G3023" s="34">
        <v>25056.0</v>
      </c>
      <c r="H3023" s="34" t="s">
        <v>393</v>
      </c>
      <c r="I3023" s="34" t="s">
        <v>18</v>
      </c>
      <c r="J3023" s="34" t="s">
        <v>14</v>
      </c>
      <c r="K3023" s="45">
        <v>120.4</v>
      </c>
      <c r="L3023" s="45">
        <v>111.5</v>
      </c>
      <c r="M3023" s="45">
        <v>119.5</v>
      </c>
    </row>
    <row r="3024">
      <c r="A3024" s="34" t="s">
        <v>70</v>
      </c>
      <c r="B3024" s="34" t="s">
        <v>161</v>
      </c>
      <c r="C3024" s="34">
        <v>26.0</v>
      </c>
      <c r="D3024" s="34" t="s">
        <v>402</v>
      </c>
      <c r="E3024" s="34" t="s">
        <v>7166</v>
      </c>
      <c r="F3024" s="34" t="s">
        <v>7167</v>
      </c>
      <c r="G3024" s="34">
        <v>26281.0</v>
      </c>
      <c r="H3024" s="34" t="s">
        <v>2414</v>
      </c>
      <c r="I3024" s="34" t="s">
        <v>18</v>
      </c>
      <c r="J3024" s="34" t="s">
        <v>15</v>
      </c>
      <c r="K3024" s="45">
        <v>117.7</v>
      </c>
      <c r="L3024" s="9"/>
      <c r="M3024" s="45">
        <v>117.7</v>
      </c>
    </row>
    <row r="3025">
      <c r="A3025" s="34" t="s">
        <v>70</v>
      </c>
      <c r="B3025" s="34" t="s">
        <v>161</v>
      </c>
      <c r="C3025" s="34">
        <v>26.0</v>
      </c>
      <c r="D3025" s="34" t="s">
        <v>402</v>
      </c>
      <c r="E3025" s="34" t="s">
        <v>7168</v>
      </c>
      <c r="F3025" s="34" t="s">
        <v>7169</v>
      </c>
      <c r="G3025" s="34">
        <v>26362.0</v>
      </c>
      <c r="H3025" s="34" t="s">
        <v>411</v>
      </c>
      <c r="I3025" s="34" t="s">
        <v>18</v>
      </c>
      <c r="J3025" s="34" t="s">
        <v>13</v>
      </c>
      <c r="K3025" s="9"/>
      <c r="L3025" s="45">
        <v>77.0</v>
      </c>
      <c r="M3025" s="45">
        <v>77.0</v>
      </c>
    </row>
    <row r="3026">
      <c r="A3026" s="34" t="s">
        <v>70</v>
      </c>
      <c r="B3026" s="34" t="s">
        <v>269</v>
      </c>
      <c r="C3026" s="34">
        <v>27.0</v>
      </c>
      <c r="D3026" s="34" t="s">
        <v>417</v>
      </c>
      <c r="E3026" s="34" t="s">
        <v>7170</v>
      </c>
      <c r="F3026" s="34" t="s">
        <v>7171</v>
      </c>
      <c r="G3026" s="34">
        <v>27229.0</v>
      </c>
      <c r="H3026" s="34" t="s">
        <v>420</v>
      </c>
      <c r="I3026" s="34" t="s">
        <v>18</v>
      </c>
      <c r="J3026" s="34" t="s">
        <v>13</v>
      </c>
      <c r="K3026" s="9"/>
      <c r="L3026" s="45">
        <v>93.0</v>
      </c>
      <c r="M3026" s="45">
        <v>93.0</v>
      </c>
    </row>
    <row r="3027">
      <c r="A3027" s="34" t="s">
        <v>70</v>
      </c>
      <c r="B3027" s="34" t="s">
        <v>269</v>
      </c>
      <c r="C3027" s="34">
        <v>27.0</v>
      </c>
      <c r="D3027" s="34" t="s">
        <v>417</v>
      </c>
      <c r="E3027" s="34" t="s">
        <v>7172</v>
      </c>
      <c r="F3027" s="34" t="s">
        <v>7173</v>
      </c>
      <c r="G3027" s="34">
        <v>27467.0</v>
      </c>
      <c r="H3027" s="34" t="s">
        <v>426</v>
      </c>
      <c r="I3027" s="34" t="s">
        <v>17</v>
      </c>
      <c r="J3027" s="34" t="s">
        <v>13</v>
      </c>
      <c r="K3027" s="9"/>
      <c r="L3027" s="45">
        <v>92.1</v>
      </c>
      <c r="M3027" s="45">
        <v>92.1</v>
      </c>
    </row>
    <row r="3028">
      <c r="A3028" s="34" t="s">
        <v>70</v>
      </c>
      <c r="B3028" s="34" t="s">
        <v>269</v>
      </c>
      <c r="C3028" s="34">
        <v>27.0</v>
      </c>
      <c r="D3028" s="34" t="s">
        <v>417</v>
      </c>
      <c r="E3028" s="34" t="s">
        <v>7174</v>
      </c>
      <c r="F3028" s="34" t="s">
        <v>7175</v>
      </c>
      <c r="G3028" s="34">
        <v>27056.0</v>
      </c>
      <c r="H3028" s="34" t="s">
        <v>2427</v>
      </c>
      <c r="I3028" s="34" t="s">
        <v>17</v>
      </c>
      <c r="J3028" s="34" t="s">
        <v>15</v>
      </c>
      <c r="K3028" s="45">
        <v>110.4</v>
      </c>
      <c r="L3028" s="9"/>
      <c r="M3028" s="45">
        <v>110.4</v>
      </c>
    </row>
    <row r="3029">
      <c r="A3029" s="34" t="s">
        <v>70</v>
      </c>
      <c r="B3029" s="34" t="s">
        <v>269</v>
      </c>
      <c r="C3029" s="34">
        <v>27.0</v>
      </c>
      <c r="D3029" s="34" t="s">
        <v>417</v>
      </c>
      <c r="E3029" s="34" t="s">
        <v>7176</v>
      </c>
      <c r="F3029" s="34" t="s">
        <v>7177</v>
      </c>
      <c r="G3029" s="34">
        <v>27701.0</v>
      </c>
      <c r="H3029" s="34" t="s">
        <v>7178</v>
      </c>
      <c r="I3029" s="34" t="s">
        <v>18</v>
      </c>
      <c r="J3029" s="34" t="s">
        <v>15</v>
      </c>
      <c r="K3029" s="45">
        <v>105.0</v>
      </c>
      <c r="L3029" s="9"/>
      <c r="M3029" s="45">
        <v>105.0</v>
      </c>
    </row>
    <row r="3030">
      <c r="A3030" s="34" t="s">
        <v>70</v>
      </c>
      <c r="B3030" s="34" t="s">
        <v>313</v>
      </c>
      <c r="C3030" s="34">
        <v>28.0</v>
      </c>
      <c r="D3030" s="34" t="s">
        <v>434</v>
      </c>
      <c r="E3030" s="34" t="s">
        <v>7179</v>
      </c>
      <c r="F3030" s="34" t="s">
        <v>7180</v>
      </c>
      <c r="G3030" s="34">
        <v>28218.0</v>
      </c>
      <c r="H3030" s="34" t="s">
        <v>7181</v>
      </c>
      <c r="I3030" s="34" t="s">
        <v>18</v>
      </c>
      <c r="J3030" s="34" t="s">
        <v>13</v>
      </c>
      <c r="K3030" s="9"/>
      <c r="L3030" s="45">
        <v>86.4</v>
      </c>
      <c r="M3030" s="45">
        <v>86.4</v>
      </c>
    </row>
    <row r="3031">
      <c r="A3031" s="34" t="s">
        <v>70</v>
      </c>
      <c r="B3031" s="34" t="s">
        <v>313</v>
      </c>
      <c r="C3031" s="34">
        <v>28.0</v>
      </c>
      <c r="D3031" s="34" t="s">
        <v>434</v>
      </c>
      <c r="E3031" s="34" t="s">
        <v>7182</v>
      </c>
      <c r="F3031" s="34" t="s">
        <v>7183</v>
      </c>
      <c r="G3031" s="34">
        <v>28134.0</v>
      </c>
      <c r="H3031" s="34" t="s">
        <v>440</v>
      </c>
      <c r="I3031" s="34" t="s">
        <v>18</v>
      </c>
      <c r="J3031" s="34" t="s">
        <v>15</v>
      </c>
      <c r="K3031" s="45">
        <v>103.9</v>
      </c>
      <c r="L3031" s="9"/>
      <c r="M3031" s="45">
        <v>103.9</v>
      </c>
    </row>
    <row r="3032">
      <c r="A3032" s="34" t="s">
        <v>70</v>
      </c>
      <c r="B3032" s="34" t="s">
        <v>313</v>
      </c>
      <c r="C3032" s="34">
        <v>28.0</v>
      </c>
      <c r="D3032" s="34" t="s">
        <v>434</v>
      </c>
      <c r="E3032" s="34" t="s">
        <v>7184</v>
      </c>
      <c r="F3032" s="34" t="s">
        <v>7185</v>
      </c>
      <c r="G3032" s="34">
        <v>28134.0</v>
      </c>
      <c r="H3032" s="34" t="s">
        <v>440</v>
      </c>
      <c r="I3032" s="34" t="s">
        <v>18</v>
      </c>
      <c r="J3032" s="34" t="s">
        <v>14</v>
      </c>
      <c r="K3032" s="45">
        <v>107.5</v>
      </c>
      <c r="L3032" s="45">
        <v>88.8</v>
      </c>
      <c r="M3032" s="45">
        <v>104.5</v>
      </c>
    </row>
    <row r="3033">
      <c r="A3033" s="34" t="s">
        <v>70</v>
      </c>
      <c r="B3033" s="34" t="s">
        <v>313</v>
      </c>
      <c r="C3033" s="34">
        <v>28.0</v>
      </c>
      <c r="D3033" s="34" t="s">
        <v>434</v>
      </c>
      <c r="E3033" s="34" t="s">
        <v>7186</v>
      </c>
      <c r="F3033" s="34" t="s">
        <v>7187</v>
      </c>
      <c r="G3033" s="34">
        <v>28218.0</v>
      </c>
      <c r="H3033" s="34" t="s">
        <v>7181</v>
      </c>
      <c r="I3033" s="34" t="s">
        <v>18</v>
      </c>
      <c r="J3033" s="34" t="s">
        <v>13</v>
      </c>
      <c r="K3033" s="9"/>
      <c r="L3033" s="45">
        <v>88.5</v>
      </c>
      <c r="M3033" s="45">
        <v>88.5</v>
      </c>
    </row>
    <row r="3034">
      <c r="A3034" s="34" t="s">
        <v>70</v>
      </c>
      <c r="B3034" s="34" t="s">
        <v>354</v>
      </c>
      <c r="C3034" s="34">
        <v>29.0</v>
      </c>
      <c r="D3034" s="34" t="s">
        <v>446</v>
      </c>
      <c r="E3034" s="34" t="s">
        <v>7188</v>
      </c>
      <c r="F3034" s="34" t="s">
        <v>7189</v>
      </c>
      <c r="G3034" s="34">
        <v>29232.0</v>
      </c>
      <c r="H3034" s="34" t="s">
        <v>466</v>
      </c>
      <c r="I3034" s="34" t="s">
        <v>18</v>
      </c>
      <c r="J3034" s="34" t="s">
        <v>14</v>
      </c>
      <c r="K3034" s="45">
        <v>113.3</v>
      </c>
      <c r="L3034" s="45">
        <v>96.8</v>
      </c>
      <c r="M3034" s="45">
        <v>106.0</v>
      </c>
    </row>
    <row r="3035">
      <c r="A3035" s="34" t="s">
        <v>70</v>
      </c>
      <c r="B3035" s="34" t="s">
        <v>354</v>
      </c>
      <c r="C3035" s="34">
        <v>29.0</v>
      </c>
      <c r="D3035" s="34" t="s">
        <v>446</v>
      </c>
      <c r="E3035" s="34" t="s">
        <v>7190</v>
      </c>
      <c r="F3035" s="34" t="s">
        <v>7191</v>
      </c>
      <c r="G3035" s="34">
        <v>29302.0</v>
      </c>
      <c r="H3035" s="34" t="s">
        <v>7192</v>
      </c>
      <c r="I3035" s="34" t="s">
        <v>18</v>
      </c>
      <c r="J3035" s="34" t="s">
        <v>13</v>
      </c>
      <c r="K3035" s="9"/>
      <c r="L3035" s="45">
        <v>84.7</v>
      </c>
      <c r="M3035" s="45">
        <v>84.7</v>
      </c>
    </row>
    <row r="3036">
      <c r="A3036" s="34" t="s">
        <v>70</v>
      </c>
      <c r="B3036" s="34" t="s">
        <v>354</v>
      </c>
      <c r="C3036" s="34">
        <v>29.0</v>
      </c>
      <c r="D3036" s="34" t="s">
        <v>446</v>
      </c>
      <c r="E3036" s="34" t="s">
        <v>7193</v>
      </c>
      <c r="F3036" s="34" t="s">
        <v>7194</v>
      </c>
      <c r="G3036" s="34">
        <v>29232.0</v>
      </c>
      <c r="H3036" s="34" t="s">
        <v>466</v>
      </c>
      <c r="I3036" s="34" t="s">
        <v>18</v>
      </c>
      <c r="J3036" s="34" t="s">
        <v>15</v>
      </c>
      <c r="K3036" s="45">
        <v>111.5</v>
      </c>
      <c r="L3036" s="9"/>
      <c r="M3036" s="45">
        <v>111.5</v>
      </c>
    </row>
    <row r="3037">
      <c r="A3037" s="34" t="s">
        <v>70</v>
      </c>
      <c r="B3037" s="34" t="s">
        <v>354</v>
      </c>
      <c r="C3037" s="34">
        <v>29.0</v>
      </c>
      <c r="D3037" s="34" t="s">
        <v>446</v>
      </c>
      <c r="E3037" s="34" t="s">
        <v>7195</v>
      </c>
      <c r="F3037" s="34" t="s">
        <v>7196</v>
      </c>
      <c r="G3037" s="34">
        <v>29103.0</v>
      </c>
      <c r="H3037" s="34" t="s">
        <v>460</v>
      </c>
      <c r="I3037" s="34" t="s">
        <v>17</v>
      </c>
      <c r="J3037" s="34" t="s">
        <v>15</v>
      </c>
      <c r="K3037" s="45">
        <v>120.7</v>
      </c>
      <c r="L3037" s="9"/>
      <c r="M3037" s="45">
        <v>120.7</v>
      </c>
    </row>
    <row r="3038">
      <c r="A3038" s="34" t="s">
        <v>70</v>
      </c>
      <c r="B3038" s="34" t="s">
        <v>354</v>
      </c>
      <c r="C3038" s="34">
        <v>29.0</v>
      </c>
      <c r="D3038" s="34" t="s">
        <v>446</v>
      </c>
      <c r="E3038" s="34" t="s">
        <v>7197</v>
      </c>
      <c r="F3038" s="34" t="s">
        <v>212</v>
      </c>
      <c r="G3038" s="34">
        <v>29220.0</v>
      </c>
      <c r="H3038" s="34" t="s">
        <v>463</v>
      </c>
      <c r="I3038" s="34" t="s">
        <v>17</v>
      </c>
      <c r="J3038" s="34" t="s">
        <v>14</v>
      </c>
      <c r="K3038" s="45">
        <v>113.2</v>
      </c>
      <c r="L3038" s="45">
        <v>96.2</v>
      </c>
      <c r="M3038" s="45">
        <v>103.6</v>
      </c>
    </row>
    <row r="3039">
      <c r="A3039" s="34" t="s">
        <v>70</v>
      </c>
      <c r="B3039" s="34" t="s">
        <v>354</v>
      </c>
      <c r="C3039" s="34">
        <v>29.0</v>
      </c>
      <c r="D3039" s="34" t="s">
        <v>446</v>
      </c>
      <c r="E3039" s="34" t="s">
        <v>7198</v>
      </c>
      <c r="F3039" s="34" t="s">
        <v>7199</v>
      </c>
      <c r="G3039" s="34">
        <v>29233.0</v>
      </c>
      <c r="H3039" s="34" t="s">
        <v>4207</v>
      </c>
      <c r="I3039" s="34" t="s">
        <v>17</v>
      </c>
      <c r="J3039" s="34" t="s">
        <v>15</v>
      </c>
      <c r="K3039" s="45">
        <v>113.8</v>
      </c>
      <c r="L3039" s="9"/>
      <c r="M3039" s="45">
        <v>113.8</v>
      </c>
    </row>
    <row r="3040">
      <c r="A3040" s="34" t="s">
        <v>70</v>
      </c>
      <c r="B3040" s="34" t="s">
        <v>354</v>
      </c>
      <c r="C3040" s="34">
        <v>29.0</v>
      </c>
      <c r="D3040" s="34" t="s">
        <v>446</v>
      </c>
      <c r="E3040" s="34" t="s">
        <v>7200</v>
      </c>
      <c r="F3040" s="34" t="s">
        <v>7201</v>
      </c>
      <c r="G3040" s="34">
        <v>29019.0</v>
      </c>
      <c r="H3040" s="34" t="s">
        <v>449</v>
      </c>
      <c r="I3040" s="34" t="s">
        <v>17</v>
      </c>
      <c r="J3040" s="34" t="s">
        <v>15</v>
      </c>
      <c r="K3040" s="45">
        <v>116.0</v>
      </c>
      <c r="L3040" s="9"/>
      <c r="M3040" s="45">
        <v>116.0</v>
      </c>
    </row>
    <row r="3041">
      <c r="A3041" s="34" t="s">
        <v>70</v>
      </c>
      <c r="B3041" s="34" t="s">
        <v>354</v>
      </c>
      <c r="C3041" s="34">
        <v>29.0</v>
      </c>
      <c r="D3041" s="34" t="s">
        <v>446</v>
      </c>
      <c r="E3041" s="34" t="s">
        <v>7202</v>
      </c>
      <c r="F3041" s="34" t="s">
        <v>80</v>
      </c>
      <c r="G3041" s="34">
        <v>29039.0</v>
      </c>
      <c r="H3041" s="34" t="s">
        <v>4202</v>
      </c>
      <c r="I3041" s="34" t="s">
        <v>17</v>
      </c>
      <c r="J3041" s="34" t="s">
        <v>15</v>
      </c>
      <c r="K3041" s="45">
        <v>115.9</v>
      </c>
      <c r="L3041" s="9"/>
      <c r="M3041" s="45">
        <v>115.9</v>
      </c>
    </row>
    <row r="3042">
      <c r="A3042" s="34" t="s">
        <v>70</v>
      </c>
      <c r="B3042" s="34" t="s">
        <v>354</v>
      </c>
      <c r="C3042" s="34">
        <v>29.0</v>
      </c>
      <c r="D3042" s="34" t="s">
        <v>446</v>
      </c>
      <c r="E3042" s="34" t="s">
        <v>7203</v>
      </c>
      <c r="F3042" s="34" t="s">
        <v>7204</v>
      </c>
      <c r="G3042" s="34">
        <v>29105.0</v>
      </c>
      <c r="H3042" s="34" t="s">
        <v>5731</v>
      </c>
      <c r="I3042" s="34" t="s">
        <v>18</v>
      </c>
      <c r="J3042" s="34" t="s">
        <v>15</v>
      </c>
      <c r="K3042" s="45">
        <v>110.4</v>
      </c>
      <c r="L3042" s="9"/>
      <c r="M3042" s="45">
        <v>110.4</v>
      </c>
    </row>
    <row r="3043">
      <c r="A3043" s="34" t="s">
        <v>70</v>
      </c>
      <c r="B3043" s="34" t="s">
        <v>354</v>
      </c>
      <c r="C3043" s="34">
        <v>29.0</v>
      </c>
      <c r="D3043" s="34" t="s">
        <v>446</v>
      </c>
      <c r="E3043" s="34" t="s">
        <v>7205</v>
      </c>
      <c r="F3043" s="34" t="s">
        <v>2257</v>
      </c>
      <c r="G3043" s="34">
        <v>29046.0</v>
      </c>
      <c r="H3043" s="34" t="s">
        <v>480</v>
      </c>
      <c r="I3043" s="34" t="s">
        <v>17</v>
      </c>
      <c r="J3043" s="34" t="s">
        <v>13</v>
      </c>
      <c r="K3043" s="9"/>
      <c r="L3043" s="45">
        <v>67.2</v>
      </c>
      <c r="M3043" s="45">
        <v>67.2</v>
      </c>
    </row>
    <row r="3044">
      <c r="A3044" s="34" t="s">
        <v>70</v>
      </c>
      <c r="B3044" s="34" t="s">
        <v>483</v>
      </c>
      <c r="C3044" s="34">
        <v>30.0</v>
      </c>
      <c r="D3044" s="34" t="s">
        <v>484</v>
      </c>
      <c r="E3044" s="34" t="s">
        <v>7206</v>
      </c>
      <c r="F3044" s="34" t="s">
        <v>7207</v>
      </c>
      <c r="G3044" s="34">
        <v>30350.0</v>
      </c>
      <c r="H3044" s="34" t="s">
        <v>7208</v>
      </c>
      <c r="I3044" s="34" t="s">
        <v>18</v>
      </c>
      <c r="J3044" s="34" t="s">
        <v>14</v>
      </c>
      <c r="K3044" s="45">
        <v>114.0</v>
      </c>
      <c r="L3044" s="45">
        <v>87.7</v>
      </c>
      <c r="M3044" s="45">
        <v>109.4</v>
      </c>
    </row>
    <row r="3045">
      <c r="A3045" s="34" t="s">
        <v>70</v>
      </c>
      <c r="B3045" s="34" t="s">
        <v>483</v>
      </c>
      <c r="C3045" s="34">
        <v>30.0</v>
      </c>
      <c r="D3045" s="34" t="s">
        <v>484</v>
      </c>
      <c r="E3045" s="34" t="s">
        <v>7209</v>
      </c>
      <c r="F3045" s="34" t="s">
        <v>7210</v>
      </c>
      <c r="G3045" s="34">
        <v>30007.0</v>
      </c>
      <c r="H3045" s="34" t="s">
        <v>2476</v>
      </c>
      <c r="I3045" s="34" t="s">
        <v>17</v>
      </c>
      <c r="J3045" s="34" t="s">
        <v>14</v>
      </c>
      <c r="K3045" s="45">
        <v>114.5</v>
      </c>
      <c r="L3045" s="45">
        <v>98.2</v>
      </c>
      <c r="M3045" s="45">
        <v>106.9</v>
      </c>
    </row>
    <row r="3046">
      <c r="A3046" s="34" t="s">
        <v>70</v>
      </c>
      <c r="B3046" s="34" t="s">
        <v>483</v>
      </c>
      <c r="C3046" s="34">
        <v>30.0</v>
      </c>
      <c r="D3046" s="34" t="s">
        <v>484</v>
      </c>
      <c r="E3046" s="34" t="s">
        <v>7211</v>
      </c>
      <c r="F3046" s="34" t="s">
        <v>7212</v>
      </c>
      <c r="G3046" s="34">
        <v>30032.0</v>
      </c>
      <c r="H3046" s="34" t="s">
        <v>487</v>
      </c>
      <c r="I3046" s="34" t="s">
        <v>17</v>
      </c>
      <c r="J3046" s="34" t="s">
        <v>13</v>
      </c>
      <c r="K3046" s="9"/>
      <c r="L3046" s="45">
        <v>99.5</v>
      </c>
      <c r="M3046" s="45">
        <v>99.5</v>
      </c>
    </row>
    <row r="3047">
      <c r="A3047" s="34" t="s">
        <v>70</v>
      </c>
      <c r="B3047" s="34" t="s">
        <v>483</v>
      </c>
      <c r="C3047" s="34">
        <v>30.0</v>
      </c>
      <c r="D3047" s="34" t="s">
        <v>484</v>
      </c>
      <c r="E3047" s="34" t="s">
        <v>7213</v>
      </c>
      <c r="F3047" s="34" t="s">
        <v>7214</v>
      </c>
      <c r="G3047" s="34">
        <v>30189.0</v>
      </c>
      <c r="H3047" s="34" t="s">
        <v>490</v>
      </c>
      <c r="I3047" s="34" t="s">
        <v>18</v>
      </c>
      <c r="J3047" s="34" t="s">
        <v>15</v>
      </c>
      <c r="K3047" s="45">
        <v>101.7</v>
      </c>
      <c r="L3047" s="9"/>
      <c r="M3047" s="45">
        <v>101.7</v>
      </c>
    </row>
    <row r="3048">
      <c r="A3048" s="34" t="s">
        <v>70</v>
      </c>
      <c r="B3048" s="34" t="s">
        <v>182</v>
      </c>
      <c r="C3048" s="34">
        <v>31.0</v>
      </c>
      <c r="D3048" s="34" t="s">
        <v>508</v>
      </c>
      <c r="E3048" s="34" t="s">
        <v>7215</v>
      </c>
      <c r="F3048" s="34" t="s">
        <v>7216</v>
      </c>
      <c r="G3048" s="34">
        <v>31483.0</v>
      </c>
      <c r="H3048" s="34" t="s">
        <v>4238</v>
      </c>
      <c r="I3048" s="34" t="s">
        <v>18</v>
      </c>
      <c r="J3048" s="34" t="s">
        <v>13</v>
      </c>
      <c r="K3048" s="9"/>
      <c r="L3048" s="45">
        <v>87.6</v>
      </c>
      <c r="M3048" s="45">
        <v>87.6</v>
      </c>
    </row>
    <row r="3049">
      <c r="A3049" s="34" t="s">
        <v>70</v>
      </c>
      <c r="B3049" s="34" t="s">
        <v>182</v>
      </c>
      <c r="C3049" s="34">
        <v>31.0</v>
      </c>
      <c r="D3049" s="34" t="s">
        <v>508</v>
      </c>
      <c r="E3049" s="34" t="s">
        <v>7217</v>
      </c>
      <c r="F3049" s="34" t="s">
        <v>7218</v>
      </c>
      <c r="G3049" s="34">
        <v>31555.0</v>
      </c>
      <c r="H3049" s="34" t="s">
        <v>182</v>
      </c>
      <c r="I3049" s="34" t="s">
        <v>18</v>
      </c>
      <c r="J3049" s="34" t="s">
        <v>14</v>
      </c>
      <c r="K3049" s="45">
        <v>124.4</v>
      </c>
      <c r="L3049" s="45">
        <v>109.7</v>
      </c>
      <c r="M3049" s="45">
        <v>117.1</v>
      </c>
    </row>
    <row r="3050">
      <c r="A3050" s="34" t="s">
        <v>70</v>
      </c>
      <c r="B3050" s="34" t="s">
        <v>182</v>
      </c>
      <c r="C3050" s="34">
        <v>31.0</v>
      </c>
      <c r="D3050" s="34" t="s">
        <v>508</v>
      </c>
      <c r="E3050" s="34" t="s">
        <v>7219</v>
      </c>
      <c r="F3050" s="34" t="s">
        <v>7220</v>
      </c>
      <c r="G3050" s="34">
        <v>31069.0</v>
      </c>
      <c r="H3050" s="34" t="s">
        <v>4262</v>
      </c>
      <c r="I3050" s="34" t="s">
        <v>17</v>
      </c>
      <c r="J3050" s="34" t="s">
        <v>15</v>
      </c>
      <c r="K3050" s="45">
        <v>145.2</v>
      </c>
      <c r="L3050" s="9"/>
      <c r="M3050" s="45">
        <v>145.2</v>
      </c>
    </row>
    <row r="3051">
      <c r="A3051" s="34" t="s">
        <v>70</v>
      </c>
      <c r="B3051" s="34" t="s">
        <v>182</v>
      </c>
      <c r="C3051" s="34">
        <v>31.0</v>
      </c>
      <c r="D3051" s="34" t="s">
        <v>508</v>
      </c>
      <c r="E3051" s="34" t="s">
        <v>7221</v>
      </c>
      <c r="F3051" s="34" t="s">
        <v>7222</v>
      </c>
      <c r="G3051" s="34">
        <v>31555.0</v>
      </c>
      <c r="H3051" s="34" t="s">
        <v>182</v>
      </c>
      <c r="I3051" s="34" t="s">
        <v>18</v>
      </c>
      <c r="J3051" s="34" t="s">
        <v>13</v>
      </c>
      <c r="K3051" s="9"/>
      <c r="L3051" s="45">
        <v>78.8</v>
      </c>
      <c r="M3051" s="45">
        <v>78.8</v>
      </c>
    </row>
    <row r="3052">
      <c r="A3052" s="34" t="s">
        <v>70</v>
      </c>
      <c r="B3052" s="34" t="s">
        <v>182</v>
      </c>
      <c r="C3052" s="34">
        <v>31.0</v>
      </c>
      <c r="D3052" s="34" t="s">
        <v>508</v>
      </c>
      <c r="E3052" s="34" t="s">
        <v>7223</v>
      </c>
      <c r="F3052" s="34" t="s">
        <v>7224</v>
      </c>
      <c r="G3052" s="34">
        <v>31555.0</v>
      </c>
      <c r="H3052" s="34" t="s">
        <v>182</v>
      </c>
      <c r="I3052" s="34" t="s">
        <v>17</v>
      </c>
      <c r="J3052" s="34" t="s">
        <v>13</v>
      </c>
      <c r="K3052" s="9"/>
      <c r="L3052" s="45">
        <v>105.6</v>
      </c>
      <c r="M3052" s="45">
        <v>105.6</v>
      </c>
    </row>
    <row r="3053">
      <c r="A3053" s="34" t="s">
        <v>70</v>
      </c>
      <c r="B3053" s="34" t="s">
        <v>182</v>
      </c>
      <c r="C3053" s="34">
        <v>31.0</v>
      </c>
      <c r="D3053" s="34" t="s">
        <v>508</v>
      </c>
      <c r="E3053" s="34" t="s">
        <v>7225</v>
      </c>
      <c r="F3053" s="34" t="s">
        <v>7226</v>
      </c>
      <c r="G3053" s="34">
        <v>31149.0</v>
      </c>
      <c r="H3053" s="34" t="s">
        <v>521</v>
      </c>
      <c r="I3053" s="34" t="s">
        <v>17</v>
      </c>
      <c r="J3053" s="34" t="s">
        <v>13</v>
      </c>
      <c r="K3053" s="9"/>
      <c r="L3053" s="45">
        <v>105.0</v>
      </c>
      <c r="M3053" s="45">
        <v>105.0</v>
      </c>
    </row>
    <row r="3054">
      <c r="A3054" s="34" t="s">
        <v>70</v>
      </c>
      <c r="B3054" s="34" t="s">
        <v>182</v>
      </c>
      <c r="C3054" s="34">
        <v>31.0</v>
      </c>
      <c r="D3054" s="34" t="s">
        <v>508</v>
      </c>
      <c r="E3054" s="34" t="s">
        <v>7227</v>
      </c>
      <c r="F3054" s="34" t="s">
        <v>7228</v>
      </c>
      <c r="G3054" s="34">
        <v>31555.0</v>
      </c>
      <c r="H3054" s="34" t="s">
        <v>182</v>
      </c>
      <c r="I3054" s="34" t="s">
        <v>17</v>
      </c>
      <c r="J3054" s="34" t="s">
        <v>15</v>
      </c>
      <c r="K3054" s="45">
        <v>117.7</v>
      </c>
      <c r="L3054" s="9"/>
      <c r="M3054" s="45">
        <v>117.7</v>
      </c>
    </row>
    <row r="3055">
      <c r="A3055" s="34" t="s">
        <v>70</v>
      </c>
      <c r="B3055" s="34" t="s">
        <v>182</v>
      </c>
      <c r="C3055" s="34">
        <v>31.0</v>
      </c>
      <c r="D3055" s="34" t="s">
        <v>508</v>
      </c>
      <c r="E3055" s="34" t="s">
        <v>7229</v>
      </c>
      <c r="F3055" s="34" t="s">
        <v>7230</v>
      </c>
      <c r="G3055" s="34">
        <v>31202.0</v>
      </c>
      <c r="H3055" s="34" t="s">
        <v>7231</v>
      </c>
      <c r="I3055" s="34" t="s">
        <v>18</v>
      </c>
      <c r="J3055" s="34" t="s">
        <v>15</v>
      </c>
      <c r="K3055" s="45">
        <v>131.5</v>
      </c>
      <c r="L3055" s="9"/>
      <c r="M3055" s="45">
        <v>131.5</v>
      </c>
    </row>
    <row r="3056">
      <c r="A3056" s="34" t="s">
        <v>70</v>
      </c>
      <c r="B3056" s="34" t="s">
        <v>182</v>
      </c>
      <c r="C3056" s="34">
        <v>31.0</v>
      </c>
      <c r="D3056" s="34" t="s">
        <v>508</v>
      </c>
      <c r="E3056" s="34" t="s">
        <v>7232</v>
      </c>
      <c r="F3056" s="34" t="s">
        <v>7233</v>
      </c>
      <c r="G3056" s="34">
        <v>31187.0</v>
      </c>
      <c r="H3056" s="34" t="s">
        <v>7234</v>
      </c>
      <c r="I3056" s="34" t="s">
        <v>18</v>
      </c>
      <c r="J3056" s="34" t="s">
        <v>15</v>
      </c>
      <c r="K3056" s="45">
        <v>128.1</v>
      </c>
      <c r="L3056" s="9"/>
      <c r="M3056" s="45">
        <v>128.1</v>
      </c>
    </row>
    <row r="3057">
      <c r="A3057" s="34" t="s">
        <v>70</v>
      </c>
      <c r="B3057" s="34" t="s">
        <v>182</v>
      </c>
      <c r="C3057" s="34">
        <v>32.0</v>
      </c>
      <c r="D3057" s="34" t="s">
        <v>539</v>
      </c>
      <c r="E3057" s="34" t="s">
        <v>7235</v>
      </c>
      <c r="F3057" s="34" t="s">
        <v>7236</v>
      </c>
      <c r="G3057" s="34">
        <v>32208.0</v>
      </c>
      <c r="H3057" s="34" t="s">
        <v>556</v>
      </c>
      <c r="I3057" s="34" t="s">
        <v>18</v>
      </c>
      <c r="J3057" s="34" t="s">
        <v>14</v>
      </c>
      <c r="K3057" s="45">
        <v>113.8</v>
      </c>
      <c r="L3057" s="45">
        <v>81.5</v>
      </c>
      <c r="M3057" s="45">
        <v>106.1</v>
      </c>
    </row>
    <row r="3058">
      <c r="A3058" s="34" t="s">
        <v>70</v>
      </c>
      <c r="B3058" s="34" t="s">
        <v>377</v>
      </c>
      <c r="C3058" s="34">
        <v>33.0</v>
      </c>
      <c r="D3058" s="34" t="s">
        <v>560</v>
      </c>
      <c r="E3058" s="34" t="s">
        <v>7237</v>
      </c>
      <c r="F3058" s="34" t="s">
        <v>7238</v>
      </c>
      <c r="G3058" s="34">
        <v>33036.0</v>
      </c>
      <c r="H3058" s="34" t="s">
        <v>566</v>
      </c>
      <c r="I3058" s="34" t="s">
        <v>18</v>
      </c>
      <c r="J3058" s="34" t="s">
        <v>15</v>
      </c>
      <c r="K3058" s="45">
        <v>108.9</v>
      </c>
      <c r="L3058" s="9"/>
      <c r="M3058" s="45">
        <v>108.9</v>
      </c>
    </row>
    <row r="3059">
      <c r="A3059" s="34" t="s">
        <v>70</v>
      </c>
      <c r="B3059" s="34" t="s">
        <v>377</v>
      </c>
      <c r="C3059" s="34">
        <v>33.0</v>
      </c>
      <c r="D3059" s="34" t="s">
        <v>560</v>
      </c>
      <c r="E3059" s="34" t="s">
        <v>7239</v>
      </c>
      <c r="F3059" s="34" t="s">
        <v>7240</v>
      </c>
      <c r="G3059" s="34">
        <v>33227.0</v>
      </c>
      <c r="H3059" s="34" t="s">
        <v>2527</v>
      </c>
      <c r="I3059" s="34" t="s">
        <v>18</v>
      </c>
      <c r="J3059" s="34" t="s">
        <v>13</v>
      </c>
      <c r="K3059" s="9"/>
      <c r="L3059" s="45">
        <v>89.8</v>
      </c>
      <c r="M3059" s="45">
        <v>89.8</v>
      </c>
    </row>
    <row r="3060">
      <c r="A3060" s="34" t="s">
        <v>70</v>
      </c>
      <c r="B3060" s="34" t="s">
        <v>377</v>
      </c>
      <c r="C3060" s="34">
        <v>33.0</v>
      </c>
      <c r="D3060" s="34" t="s">
        <v>560</v>
      </c>
      <c r="E3060" s="34" t="s">
        <v>7241</v>
      </c>
      <c r="F3060" s="34" t="s">
        <v>7242</v>
      </c>
      <c r="G3060" s="34">
        <v>33243.0</v>
      </c>
      <c r="H3060" s="34" t="s">
        <v>593</v>
      </c>
      <c r="I3060" s="34" t="s">
        <v>18</v>
      </c>
      <c r="J3060" s="34" t="s">
        <v>15</v>
      </c>
      <c r="K3060" s="45">
        <v>112.4</v>
      </c>
      <c r="L3060" s="9"/>
      <c r="M3060" s="45">
        <v>112.4</v>
      </c>
    </row>
    <row r="3061">
      <c r="A3061" s="34" t="s">
        <v>70</v>
      </c>
      <c r="B3061" s="34" t="s">
        <v>377</v>
      </c>
      <c r="C3061" s="34">
        <v>33.0</v>
      </c>
      <c r="D3061" s="34" t="s">
        <v>560</v>
      </c>
      <c r="E3061" s="34" t="s">
        <v>7243</v>
      </c>
      <c r="F3061" s="34" t="s">
        <v>7244</v>
      </c>
      <c r="G3061" s="34">
        <v>33314.0</v>
      </c>
      <c r="H3061" s="34" t="s">
        <v>608</v>
      </c>
      <c r="I3061" s="34" t="s">
        <v>18</v>
      </c>
      <c r="J3061" s="34" t="s">
        <v>13</v>
      </c>
      <c r="K3061" s="9"/>
      <c r="L3061" s="45">
        <v>83.3</v>
      </c>
      <c r="M3061" s="45">
        <v>83.3</v>
      </c>
    </row>
    <row r="3062">
      <c r="A3062" s="34" t="s">
        <v>70</v>
      </c>
      <c r="B3062" s="34" t="s">
        <v>377</v>
      </c>
      <c r="C3062" s="34">
        <v>33.0</v>
      </c>
      <c r="D3062" s="34" t="s">
        <v>560</v>
      </c>
      <c r="E3062" s="34" t="s">
        <v>7245</v>
      </c>
      <c r="F3062" s="34" t="s">
        <v>7246</v>
      </c>
      <c r="G3062" s="34">
        <v>33009.0</v>
      </c>
      <c r="H3062" s="34" t="s">
        <v>563</v>
      </c>
      <c r="I3062" s="34" t="s">
        <v>17</v>
      </c>
      <c r="J3062" s="34" t="s">
        <v>15</v>
      </c>
      <c r="K3062" s="45">
        <v>127.4</v>
      </c>
      <c r="L3062" s="9"/>
      <c r="M3062" s="45">
        <v>127.4</v>
      </c>
    </row>
    <row r="3063">
      <c r="A3063" s="34" t="s">
        <v>70</v>
      </c>
      <c r="B3063" s="34" t="s">
        <v>377</v>
      </c>
      <c r="C3063" s="34">
        <v>33.0</v>
      </c>
      <c r="D3063" s="34" t="s">
        <v>560</v>
      </c>
      <c r="E3063" s="34" t="s">
        <v>7247</v>
      </c>
      <c r="F3063" s="34" t="s">
        <v>7248</v>
      </c>
      <c r="G3063" s="34">
        <v>33063.0</v>
      </c>
      <c r="H3063" s="34" t="s">
        <v>377</v>
      </c>
      <c r="I3063" s="34" t="s">
        <v>17</v>
      </c>
      <c r="J3063" s="34" t="s">
        <v>15</v>
      </c>
      <c r="K3063" s="45">
        <v>123.8</v>
      </c>
      <c r="L3063" s="9"/>
      <c r="M3063" s="45">
        <v>123.8</v>
      </c>
    </row>
    <row r="3064">
      <c r="A3064" s="34" t="s">
        <v>70</v>
      </c>
      <c r="B3064" s="34" t="s">
        <v>377</v>
      </c>
      <c r="C3064" s="34">
        <v>33.0</v>
      </c>
      <c r="D3064" s="34" t="s">
        <v>560</v>
      </c>
      <c r="E3064" s="34" t="s">
        <v>7249</v>
      </c>
      <c r="F3064" s="34" t="s">
        <v>7250</v>
      </c>
      <c r="G3064" s="34">
        <v>33213.0</v>
      </c>
      <c r="H3064" s="34" t="s">
        <v>7251</v>
      </c>
      <c r="I3064" s="34" t="s">
        <v>17</v>
      </c>
      <c r="J3064" s="34" t="s">
        <v>15</v>
      </c>
      <c r="K3064" s="45">
        <v>131.1</v>
      </c>
      <c r="L3064" s="9"/>
      <c r="M3064" s="45">
        <v>131.1</v>
      </c>
    </row>
    <row r="3065">
      <c r="A3065" s="34" t="s">
        <v>70</v>
      </c>
      <c r="B3065" s="34" t="s">
        <v>377</v>
      </c>
      <c r="C3065" s="34">
        <v>33.0</v>
      </c>
      <c r="D3065" s="34" t="s">
        <v>560</v>
      </c>
      <c r="E3065" s="34" t="s">
        <v>7252</v>
      </c>
      <c r="F3065" s="34" t="s">
        <v>1009</v>
      </c>
      <c r="G3065" s="34">
        <v>33063.0</v>
      </c>
      <c r="H3065" s="34" t="s">
        <v>377</v>
      </c>
      <c r="I3065" s="34" t="s">
        <v>17</v>
      </c>
      <c r="J3065" s="34" t="s">
        <v>15</v>
      </c>
      <c r="K3065" s="45">
        <v>117.7</v>
      </c>
      <c r="L3065" s="9"/>
      <c r="M3065" s="45">
        <v>117.7</v>
      </c>
    </row>
    <row r="3066">
      <c r="A3066" s="34" t="s">
        <v>70</v>
      </c>
      <c r="B3066" s="34" t="s">
        <v>377</v>
      </c>
      <c r="C3066" s="34">
        <v>33.0</v>
      </c>
      <c r="D3066" s="34" t="s">
        <v>560</v>
      </c>
      <c r="E3066" s="34" t="s">
        <v>7253</v>
      </c>
      <c r="F3066" s="34" t="s">
        <v>7254</v>
      </c>
      <c r="G3066" s="34">
        <v>33039.0</v>
      </c>
      <c r="H3066" s="34" t="s">
        <v>7255</v>
      </c>
      <c r="I3066" s="34" t="s">
        <v>18</v>
      </c>
      <c r="J3066" s="34" t="s">
        <v>13</v>
      </c>
      <c r="K3066" s="9"/>
      <c r="L3066" s="45">
        <v>85.2</v>
      </c>
      <c r="M3066" s="45">
        <v>85.2</v>
      </c>
    </row>
    <row r="3067">
      <c r="A3067" s="34" t="s">
        <v>70</v>
      </c>
      <c r="B3067" s="34" t="s">
        <v>377</v>
      </c>
      <c r="C3067" s="34">
        <v>33.0</v>
      </c>
      <c r="D3067" s="34" t="s">
        <v>560</v>
      </c>
      <c r="E3067" s="34" t="s">
        <v>7256</v>
      </c>
      <c r="F3067" s="34" t="s">
        <v>7257</v>
      </c>
      <c r="G3067" s="34">
        <v>33314.0</v>
      </c>
      <c r="H3067" s="34" t="s">
        <v>608</v>
      </c>
      <c r="I3067" s="34" t="s">
        <v>18</v>
      </c>
      <c r="J3067" s="34" t="s">
        <v>15</v>
      </c>
      <c r="K3067" s="45">
        <v>107.5</v>
      </c>
      <c r="L3067" s="9"/>
      <c r="M3067" s="45">
        <v>107.5</v>
      </c>
    </row>
    <row r="3068">
      <c r="A3068" s="34" t="s">
        <v>70</v>
      </c>
      <c r="B3068" s="34" t="s">
        <v>377</v>
      </c>
      <c r="C3068" s="34">
        <v>33.0</v>
      </c>
      <c r="D3068" s="34" t="s">
        <v>560</v>
      </c>
      <c r="E3068" s="34" t="s">
        <v>7258</v>
      </c>
      <c r="F3068" s="34" t="s">
        <v>7259</v>
      </c>
      <c r="G3068" s="34">
        <v>33243.0</v>
      </c>
      <c r="H3068" s="34" t="s">
        <v>593</v>
      </c>
      <c r="I3068" s="34" t="s">
        <v>18</v>
      </c>
      <c r="J3068" s="34" t="s">
        <v>13</v>
      </c>
      <c r="K3068" s="9"/>
      <c r="L3068" s="45">
        <v>86.3</v>
      </c>
      <c r="M3068" s="45">
        <v>86.3</v>
      </c>
    </row>
    <row r="3069">
      <c r="A3069" s="34" t="s">
        <v>70</v>
      </c>
      <c r="B3069" s="34" t="s">
        <v>377</v>
      </c>
      <c r="C3069" s="34">
        <v>33.0</v>
      </c>
      <c r="D3069" s="34" t="s">
        <v>560</v>
      </c>
      <c r="E3069" s="34" t="s">
        <v>7260</v>
      </c>
      <c r="F3069" s="34" t="s">
        <v>7261</v>
      </c>
      <c r="G3069" s="34">
        <v>33366.0</v>
      </c>
      <c r="H3069" s="34" t="s">
        <v>5823</v>
      </c>
      <c r="I3069" s="34" t="s">
        <v>18</v>
      </c>
      <c r="J3069" s="34" t="s">
        <v>13</v>
      </c>
      <c r="K3069" s="9"/>
      <c r="L3069" s="45">
        <v>93.0</v>
      </c>
      <c r="M3069" s="45">
        <v>93.0</v>
      </c>
    </row>
    <row r="3070">
      <c r="A3070" s="34" t="s">
        <v>70</v>
      </c>
      <c r="B3070" s="34" t="s">
        <v>377</v>
      </c>
      <c r="C3070" s="34">
        <v>33.0</v>
      </c>
      <c r="D3070" s="34" t="s">
        <v>560</v>
      </c>
      <c r="E3070" s="34" t="s">
        <v>7262</v>
      </c>
      <c r="F3070" s="34" t="s">
        <v>7263</v>
      </c>
      <c r="G3070" s="34">
        <v>33063.0</v>
      </c>
      <c r="H3070" s="34" t="s">
        <v>377</v>
      </c>
      <c r="I3070" s="34" t="s">
        <v>17</v>
      </c>
      <c r="J3070" s="34" t="s">
        <v>13</v>
      </c>
      <c r="K3070" s="9"/>
      <c r="L3070" s="45">
        <v>112.0</v>
      </c>
      <c r="M3070" s="45">
        <v>112.0</v>
      </c>
    </row>
    <row r="3071">
      <c r="A3071" s="34" t="s">
        <v>70</v>
      </c>
      <c r="B3071" s="34" t="s">
        <v>377</v>
      </c>
      <c r="C3071" s="34">
        <v>33.0</v>
      </c>
      <c r="D3071" s="34" t="s">
        <v>560</v>
      </c>
      <c r="E3071" s="34" t="s">
        <v>7264</v>
      </c>
      <c r="F3071" s="34" t="s">
        <v>218</v>
      </c>
      <c r="G3071" s="34">
        <v>33056.0</v>
      </c>
      <c r="H3071" s="34" t="s">
        <v>4278</v>
      </c>
      <c r="I3071" s="34" t="s">
        <v>17</v>
      </c>
      <c r="J3071" s="34" t="s">
        <v>13</v>
      </c>
      <c r="K3071" s="9"/>
      <c r="L3071" s="45">
        <v>78.7</v>
      </c>
      <c r="M3071" s="45">
        <v>78.7</v>
      </c>
    </row>
    <row r="3072">
      <c r="A3072" s="34" t="s">
        <v>70</v>
      </c>
      <c r="B3072" s="34" t="s">
        <v>377</v>
      </c>
      <c r="C3072" s="34">
        <v>33.0</v>
      </c>
      <c r="D3072" s="34" t="s">
        <v>560</v>
      </c>
      <c r="E3072" s="34" t="s">
        <v>7265</v>
      </c>
      <c r="F3072" s="34" t="s">
        <v>7266</v>
      </c>
      <c r="G3072" s="34">
        <v>33063.0</v>
      </c>
      <c r="H3072" s="34" t="s">
        <v>377</v>
      </c>
      <c r="I3072" s="34" t="s">
        <v>17</v>
      </c>
      <c r="J3072" s="34" t="s">
        <v>13</v>
      </c>
      <c r="K3072" s="9"/>
      <c r="L3072" s="45">
        <v>109.9</v>
      </c>
      <c r="M3072" s="45">
        <v>109.9</v>
      </c>
    </row>
    <row r="3073">
      <c r="A3073" s="34" t="s">
        <v>70</v>
      </c>
      <c r="B3073" s="34" t="s">
        <v>377</v>
      </c>
      <c r="C3073" s="34">
        <v>33.0</v>
      </c>
      <c r="D3073" s="34" t="s">
        <v>560</v>
      </c>
      <c r="E3073" s="34" t="s">
        <v>7267</v>
      </c>
      <c r="F3073" s="34" t="s">
        <v>7268</v>
      </c>
      <c r="G3073" s="34">
        <v>33056.0</v>
      </c>
      <c r="H3073" s="34" t="s">
        <v>4278</v>
      </c>
      <c r="I3073" s="34" t="s">
        <v>18</v>
      </c>
      <c r="J3073" s="34" t="s">
        <v>15</v>
      </c>
      <c r="K3073" s="45">
        <v>124.6</v>
      </c>
      <c r="L3073" s="9"/>
      <c r="M3073" s="45">
        <v>124.6</v>
      </c>
    </row>
    <row r="3074">
      <c r="A3074" s="34" t="s">
        <v>70</v>
      </c>
      <c r="B3074" s="34" t="s">
        <v>377</v>
      </c>
      <c r="C3074" s="34">
        <v>33.0</v>
      </c>
      <c r="D3074" s="34" t="s">
        <v>560</v>
      </c>
      <c r="E3074" s="34" t="s">
        <v>7269</v>
      </c>
      <c r="F3074" s="34" t="s">
        <v>7270</v>
      </c>
      <c r="G3074" s="34">
        <v>33249.0</v>
      </c>
      <c r="H3074" s="34" t="s">
        <v>2530</v>
      </c>
      <c r="I3074" s="34" t="s">
        <v>18</v>
      </c>
      <c r="J3074" s="34" t="s">
        <v>14</v>
      </c>
      <c r="K3074" s="45">
        <v>114.8</v>
      </c>
      <c r="L3074" s="45">
        <v>93.3</v>
      </c>
      <c r="M3074" s="45">
        <v>112.2</v>
      </c>
    </row>
    <row r="3075">
      <c r="A3075" s="34" t="s">
        <v>70</v>
      </c>
      <c r="B3075" s="34" t="s">
        <v>377</v>
      </c>
      <c r="C3075" s="34">
        <v>33.0</v>
      </c>
      <c r="D3075" s="34" t="s">
        <v>560</v>
      </c>
      <c r="E3075" s="34" t="s">
        <v>7271</v>
      </c>
      <c r="F3075" s="34" t="s">
        <v>7272</v>
      </c>
      <c r="G3075" s="34">
        <v>33366.0</v>
      </c>
      <c r="H3075" s="34" t="s">
        <v>5823</v>
      </c>
      <c r="I3075" s="34" t="s">
        <v>18</v>
      </c>
      <c r="J3075" s="34" t="s">
        <v>15</v>
      </c>
      <c r="K3075" s="45">
        <v>115.1</v>
      </c>
      <c r="L3075" s="9"/>
      <c r="M3075" s="45">
        <v>115.1</v>
      </c>
    </row>
    <row r="3076">
      <c r="A3076" s="34" t="s">
        <v>70</v>
      </c>
      <c r="B3076" s="34" t="s">
        <v>377</v>
      </c>
      <c r="C3076" s="34">
        <v>33.0</v>
      </c>
      <c r="D3076" s="34" t="s">
        <v>560</v>
      </c>
      <c r="E3076" s="34" t="s">
        <v>7273</v>
      </c>
      <c r="F3076" s="34" t="s">
        <v>7274</v>
      </c>
      <c r="G3076" s="34">
        <v>33199.0</v>
      </c>
      <c r="H3076" s="34" t="s">
        <v>7275</v>
      </c>
      <c r="I3076" s="34" t="s">
        <v>18</v>
      </c>
      <c r="J3076" s="34" t="s">
        <v>14</v>
      </c>
      <c r="K3076" s="45">
        <v>126.4</v>
      </c>
      <c r="L3076" s="45">
        <v>101.8</v>
      </c>
      <c r="M3076" s="45">
        <v>119.2</v>
      </c>
    </row>
    <row r="3077">
      <c r="A3077" s="34" t="s">
        <v>70</v>
      </c>
      <c r="B3077" s="34" t="s">
        <v>377</v>
      </c>
      <c r="C3077" s="34">
        <v>33.0</v>
      </c>
      <c r="D3077" s="34" t="s">
        <v>560</v>
      </c>
      <c r="E3077" s="34" t="s">
        <v>7276</v>
      </c>
      <c r="F3077" s="34" t="s">
        <v>7277</v>
      </c>
      <c r="G3077" s="34">
        <v>33039.0</v>
      </c>
      <c r="H3077" s="34" t="s">
        <v>7255</v>
      </c>
      <c r="I3077" s="34" t="s">
        <v>18</v>
      </c>
      <c r="J3077" s="34" t="s">
        <v>14</v>
      </c>
      <c r="K3077" s="45">
        <v>117.9</v>
      </c>
      <c r="L3077" s="45">
        <v>91.9</v>
      </c>
      <c r="M3077" s="45">
        <v>115.1</v>
      </c>
    </row>
    <row r="3078">
      <c r="A3078" s="34" t="s">
        <v>70</v>
      </c>
      <c r="B3078" s="34" t="s">
        <v>483</v>
      </c>
      <c r="C3078" s="34">
        <v>34.0</v>
      </c>
      <c r="D3078" s="34" t="s">
        <v>609</v>
      </c>
      <c r="E3078" s="34" t="s">
        <v>7278</v>
      </c>
      <c r="F3078" s="34" t="s">
        <v>7279</v>
      </c>
      <c r="G3078" s="34">
        <v>34003.0</v>
      </c>
      <c r="H3078" s="34" t="s">
        <v>7280</v>
      </c>
      <c r="I3078" s="34" t="s">
        <v>18</v>
      </c>
      <c r="J3078" s="34" t="s">
        <v>14</v>
      </c>
      <c r="K3078" s="45">
        <v>101.2</v>
      </c>
      <c r="L3078" s="45">
        <v>79.3</v>
      </c>
      <c r="M3078" s="45">
        <v>98.9</v>
      </c>
    </row>
    <row r="3079">
      <c r="A3079" s="34" t="s">
        <v>70</v>
      </c>
      <c r="B3079" s="34" t="s">
        <v>483</v>
      </c>
      <c r="C3079" s="34">
        <v>34.0</v>
      </c>
      <c r="D3079" s="34" t="s">
        <v>609</v>
      </c>
      <c r="E3079" s="34" t="s">
        <v>7281</v>
      </c>
      <c r="F3079" s="34" t="s">
        <v>7282</v>
      </c>
      <c r="G3079" s="34">
        <v>34172.0</v>
      </c>
      <c r="H3079" s="34" t="s">
        <v>483</v>
      </c>
      <c r="I3079" s="34" t="s">
        <v>18</v>
      </c>
      <c r="J3079" s="34" t="s">
        <v>15</v>
      </c>
      <c r="K3079" s="45">
        <v>126.4</v>
      </c>
      <c r="L3079" s="9"/>
      <c r="M3079" s="45">
        <v>126.4</v>
      </c>
    </row>
    <row r="3080">
      <c r="A3080" s="34" t="s">
        <v>70</v>
      </c>
      <c r="B3080" s="34" t="s">
        <v>483</v>
      </c>
      <c r="C3080" s="34">
        <v>34.0</v>
      </c>
      <c r="D3080" s="34" t="s">
        <v>609</v>
      </c>
      <c r="E3080" s="34" t="s">
        <v>7283</v>
      </c>
      <c r="F3080" s="34" t="s">
        <v>7284</v>
      </c>
      <c r="G3080" s="34">
        <v>34284.0</v>
      </c>
      <c r="H3080" s="34" t="s">
        <v>7285</v>
      </c>
      <c r="I3080" s="34" t="s">
        <v>18</v>
      </c>
      <c r="J3080" s="34" t="s">
        <v>13</v>
      </c>
      <c r="K3080" s="9"/>
      <c r="L3080" s="45">
        <v>90.3</v>
      </c>
      <c r="M3080" s="45">
        <v>90.3</v>
      </c>
    </row>
    <row r="3081">
      <c r="A3081" s="34" t="s">
        <v>70</v>
      </c>
      <c r="B3081" s="34" t="s">
        <v>483</v>
      </c>
      <c r="C3081" s="34">
        <v>34.0</v>
      </c>
      <c r="D3081" s="34" t="s">
        <v>609</v>
      </c>
      <c r="E3081" s="34" t="s">
        <v>7286</v>
      </c>
      <c r="F3081" s="34" t="s">
        <v>7287</v>
      </c>
      <c r="G3081" s="34">
        <v>34301.0</v>
      </c>
      <c r="H3081" s="34" t="s">
        <v>615</v>
      </c>
      <c r="I3081" s="34" t="s">
        <v>18</v>
      </c>
      <c r="J3081" s="34" t="s">
        <v>15</v>
      </c>
      <c r="K3081" s="45">
        <v>116.8</v>
      </c>
      <c r="L3081" s="9"/>
      <c r="M3081" s="45">
        <v>116.8</v>
      </c>
    </row>
    <row r="3082">
      <c r="A3082" s="34" t="s">
        <v>70</v>
      </c>
      <c r="B3082" s="34" t="s">
        <v>483</v>
      </c>
      <c r="C3082" s="34">
        <v>34.0</v>
      </c>
      <c r="D3082" s="34" t="s">
        <v>609</v>
      </c>
      <c r="E3082" s="34" t="s">
        <v>7288</v>
      </c>
      <c r="F3082" s="34" t="s">
        <v>7289</v>
      </c>
      <c r="G3082" s="34">
        <v>34172.0</v>
      </c>
      <c r="H3082" s="34" t="s">
        <v>483</v>
      </c>
      <c r="I3082" s="34" t="s">
        <v>17</v>
      </c>
      <c r="J3082" s="34" t="s">
        <v>14</v>
      </c>
      <c r="K3082" s="45">
        <v>101.4</v>
      </c>
      <c r="L3082" s="45">
        <v>93.3</v>
      </c>
      <c r="M3082" s="45">
        <v>95.5</v>
      </c>
    </row>
    <row r="3083">
      <c r="A3083" s="34" t="s">
        <v>70</v>
      </c>
      <c r="B3083" s="34" t="s">
        <v>483</v>
      </c>
      <c r="C3083" s="34">
        <v>34.0</v>
      </c>
      <c r="D3083" s="34" t="s">
        <v>609</v>
      </c>
      <c r="E3083" s="34" t="s">
        <v>7290</v>
      </c>
      <c r="F3083" s="34" t="s">
        <v>7291</v>
      </c>
      <c r="G3083" s="34">
        <v>34172.0</v>
      </c>
      <c r="H3083" s="34" t="s">
        <v>483</v>
      </c>
      <c r="I3083" s="34" t="s">
        <v>18</v>
      </c>
      <c r="J3083" s="34" t="s">
        <v>15</v>
      </c>
      <c r="K3083" s="45">
        <v>131.8</v>
      </c>
      <c r="L3083" s="9"/>
      <c r="M3083" s="45">
        <v>131.8</v>
      </c>
    </row>
    <row r="3084">
      <c r="A3084" s="34" t="s">
        <v>70</v>
      </c>
      <c r="B3084" s="34" t="s">
        <v>483</v>
      </c>
      <c r="C3084" s="34">
        <v>34.0</v>
      </c>
      <c r="D3084" s="34" t="s">
        <v>609</v>
      </c>
      <c r="E3084" s="34" t="s">
        <v>7292</v>
      </c>
      <c r="F3084" s="34" t="s">
        <v>7293</v>
      </c>
      <c r="G3084" s="34">
        <v>34299.0</v>
      </c>
      <c r="H3084" s="34" t="s">
        <v>7294</v>
      </c>
      <c r="I3084" s="34" t="s">
        <v>18</v>
      </c>
      <c r="J3084" s="34" t="s">
        <v>14</v>
      </c>
      <c r="K3084" s="45">
        <v>106.2</v>
      </c>
      <c r="L3084" s="45">
        <v>75.9</v>
      </c>
      <c r="M3084" s="45">
        <v>102.2</v>
      </c>
    </row>
    <row r="3085">
      <c r="A3085" s="34" t="s">
        <v>70</v>
      </c>
      <c r="B3085" s="34" t="s">
        <v>483</v>
      </c>
      <c r="C3085" s="34">
        <v>34.0</v>
      </c>
      <c r="D3085" s="34" t="s">
        <v>609</v>
      </c>
      <c r="E3085" s="34" t="s">
        <v>7295</v>
      </c>
      <c r="F3085" s="34" t="s">
        <v>7296</v>
      </c>
      <c r="G3085" s="34">
        <v>34344.0</v>
      </c>
      <c r="H3085" s="34" t="s">
        <v>7297</v>
      </c>
      <c r="I3085" s="34" t="s">
        <v>17</v>
      </c>
      <c r="J3085" s="34" t="s">
        <v>14</v>
      </c>
      <c r="K3085" s="45">
        <v>115.5</v>
      </c>
      <c r="L3085" s="45">
        <v>108.4</v>
      </c>
      <c r="M3085" s="45">
        <v>114.1</v>
      </c>
    </row>
    <row r="3086">
      <c r="A3086" s="34" t="s">
        <v>70</v>
      </c>
      <c r="B3086" s="34" t="s">
        <v>483</v>
      </c>
      <c r="C3086" s="34">
        <v>34.0</v>
      </c>
      <c r="D3086" s="34" t="s">
        <v>609</v>
      </c>
      <c r="E3086" s="34" t="s">
        <v>7298</v>
      </c>
      <c r="F3086" s="34" t="s">
        <v>7299</v>
      </c>
      <c r="G3086" s="34">
        <v>34079.0</v>
      </c>
      <c r="H3086" s="34" t="s">
        <v>612</v>
      </c>
      <c r="I3086" s="34" t="s">
        <v>17</v>
      </c>
      <c r="J3086" s="34" t="s">
        <v>15</v>
      </c>
      <c r="K3086" s="45">
        <v>126.8</v>
      </c>
      <c r="L3086" s="9"/>
      <c r="M3086" s="45">
        <v>126.8</v>
      </c>
    </row>
    <row r="3087">
      <c r="A3087" s="34" t="s">
        <v>70</v>
      </c>
      <c r="B3087" s="34" t="s">
        <v>354</v>
      </c>
      <c r="C3087" s="34">
        <v>35.0</v>
      </c>
      <c r="D3087" s="34" t="s">
        <v>622</v>
      </c>
      <c r="E3087" s="34" t="s">
        <v>7300</v>
      </c>
      <c r="F3087" s="34" t="s">
        <v>7301</v>
      </c>
      <c r="G3087" s="34">
        <v>35238.0</v>
      </c>
      <c r="H3087" s="34" t="s">
        <v>354</v>
      </c>
      <c r="I3087" s="34" t="s">
        <v>18</v>
      </c>
      <c r="J3087" s="34" t="s">
        <v>15</v>
      </c>
      <c r="K3087" s="45">
        <v>120.3</v>
      </c>
      <c r="L3087" s="9"/>
      <c r="M3087" s="45">
        <v>120.3</v>
      </c>
    </row>
    <row r="3088">
      <c r="A3088" s="34" t="s">
        <v>70</v>
      </c>
      <c r="B3088" s="34" t="s">
        <v>354</v>
      </c>
      <c r="C3088" s="34">
        <v>35.0</v>
      </c>
      <c r="D3088" s="34" t="s">
        <v>622</v>
      </c>
      <c r="E3088" s="34" t="s">
        <v>7302</v>
      </c>
      <c r="F3088" s="34" t="s">
        <v>7303</v>
      </c>
      <c r="G3088" s="34">
        <v>35288.0</v>
      </c>
      <c r="H3088" s="34" t="s">
        <v>2559</v>
      </c>
      <c r="I3088" s="34" t="s">
        <v>18</v>
      </c>
      <c r="J3088" s="34" t="s">
        <v>15</v>
      </c>
      <c r="K3088" s="45">
        <v>110.7</v>
      </c>
      <c r="L3088" s="9"/>
      <c r="M3088" s="45">
        <v>110.7</v>
      </c>
    </row>
    <row r="3089">
      <c r="A3089" s="34" t="s">
        <v>70</v>
      </c>
      <c r="B3089" s="34" t="s">
        <v>354</v>
      </c>
      <c r="C3089" s="34">
        <v>35.0</v>
      </c>
      <c r="D3089" s="34" t="s">
        <v>622</v>
      </c>
      <c r="E3089" s="34" t="s">
        <v>7304</v>
      </c>
      <c r="F3089" s="34" t="s">
        <v>7305</v>
      </c>
      <c r="G3089" s="34">
        <v>35360.0</v>
      </c>
      <c r="H3089" s="34" t="s">
        <v>4353</v>
      </c>
      <c r="I3089" s="34" t="s">
        <v>18</v>
      </c>
      <c r="J3089" s="34" t="s">
        <v>13</v>
      </c>
      <c r="K3089" s="9"/>
      <c r="L3089" s="45">
        <v>81.0</v>
      </c>
      <c r="M3089" s="45">
        <v>81.0</v>
      </c>
    </row>
    <row r="3090">
      <c r="A3090" s="34" t="s">
        <v>70</v>
      </c>
      <c r="B3090" s="34" t="s">
        <v>354</v>
      </c>
      <c r="C3090" s="34">
        <v>35.0</v>
      </c>
      <c r="D3090" s="34" t="s">
        <v>622</v>
      </c>
      <c r="E3090" s="34" t="s">
        <v>7306</v>
      </c>
      <c r="F3090" s="34" t="s">
        <v>7307</v>
      </c>
      <c r="G3090" s="34">
        <v>35238.0</v>
      </c>
      <c r="H3090" s="34" t="s">
        <v>354</v>
      </c>
      <c r="I3090" s="34" t="s">
        <v>18</v>
      </c>
      <c r="J3090" s="34" t="s">
        <v>14</v>
      </c>
      <c r="K3090" s="45">
        <v>139.6</v>
      </c>
      <c r="L3090" s="45">
        <v>110.2</v>
      </c>
      <c r="M3090" s="45">
        <v>139.2</v>
      </c>
    </row>
    <row r="3091">
      <c r="A3091" s="34" t="s">
        <v>70</v>
      </c>
      <c r="B3091" s="34" t="s">
        <v>354</v>
      </c>
      <c r="C3091" s="34">
        <v>35.0</v>
      </c>
      <c r="D3091" s="34" t="s">
        <v>622</v>
      </c>
      <c r="E3091" s="34" t="s">
        <v>7308</v>
      </c>
      <c r="F3091" s="34" t="s">
        <v>7309</v>
      </c>
      <c r="G3091" s="34">
        <v>35236.0</v>
      </c>
      <c r="H3091" s="34" t="s">
        <v>2563</v>
      </c>
      <c r="I3091" s="34" t="s">
        <v>17</v>
      </c>
      <c r="J3091" s="34" t="s">
        <v>15</v>
      </c>
      <c r="K3091" s="45">
        <v>114.5</v>
      </c>
      <c r="L3091" s="9"/>
      <c r="M3091" s="45">
        <v>114.5</v>
      </c>
    </row>
    <row r="3092">
      <c r="A3092" s="34" t="s">
        <v>70</v>
      </c>
      <c r="B3092" s="34" t="s">
        <v>354</v>
      </c>
      <c r="C3092" s="34">
        <v>35.0</v>
      </c>
      <c r="D3092" s="34" t="s">
        <v>622</v>
      </c>
      <c r="E3092" s="34" t="s">
        <v>7310</v>
      </c>
      <c r="F3092" s="34" t="s">
        <v>3250</v>
      </c>
      <c r="G3092" s="34">
        <v>35051.0</v>
      </c>
      <c r="H3092" s="34" t="s">
        <v>7311</v>
      </c>
      <c r="I3092" s="34" t="s">
        <v>17</v>
      </c>
      <c r="J3092" s="34" t="s">
        <v>14</v>
      </c>
      <c r="K3092" s="45">
        <v>124.3</v>
      </c>
      <c r="L3092" s="45">
        <v>109.6</v>
      </c>
      <c r="M3092" s="45">
        <v>117.4</v>
      </c>
    </row>
    <row r="3093">
      <c r="A3093" s="34" t="s">
        <v>70</v>
      </c>
      <c r="B3093" s="34" t="s">
        <v>354</v>
      </c>
      <c r="C3093" s="34">
        <v>35.0</v>
      </c>
      <c r="D3093" s="34" t="s">
        <v>622</v>
      </c>
      <c r="E3093" s="34" t="s">
        <v>7312</v>
      </c>
      <c r="F3093" s="34" t="s">
        <v>7313</v>
      </c>
      <c r="G3093" s="34">
        <v>35360.0</v>
      </c>
      <c r="H3093" s="34" t="s">
        <v>4353</v>
      </c>
      <c r="I3093" s="34" t="s">
        <v>17</v>
      </c>
      <c r="J3093" s="34" t="s">
        <v>14</v>
      </c>
      <c r="K3093" s="45">
        <v>111.3</v>
      </c>
      <c r="L3093" s="45">
        <v>93.2</v>
      </c>
      <c r="M3093" s="45">
        <v>105.1</v>
      </c>
    </row>
    <row r="3094">
      <c r="A3094" s="34" t="s">
        <v>70</v>
      </c>
      <c r="B3094" s="34" t="s">
        <v>354</v>
      </c>
      <c r="C3094" s="34">
        <v>35.0</v>
      </c>
      <c r="D3094" s="34" t="s">
        <v>622</v>
      </c>
      <c r="E3094" s="34" t="s">
        <v>7314</v>
      </c>
      <c r="F3094" s="34" t="s">
        <v>1069</v>
      </c>
      <c r="G3094" s="34">
        <v>35051.0</v>
      </c>
      <c r="H3094" s="34" t="s">
        <v>7311</v>
      </c>
      <c r="I3094" s="34" t="s">
        <v>18</v>
      </c>
      <c r="J3094" s="34" t="s">
        <v>15</v>
      </c>
      <c r="K3094" s="45">
        <v>136.1</v>
      </c>
      <c r="L3094" s="9"/>
      <c r="M3094" s="45">
        <v>136.1</v>
      </c>
    </row>
    <row r="3095">
      <c r="A3095" s="34" t="s">
        <v>70</v>
      </c>
      <c r="B3095" s="34" t="s">
        <v>354</v>
      </c>
      <c r="C3095" s="34">
        <v>35.0</v>
      </c>
      <c r="D3095" s="34" t="s">
        <v>622</v>
      </c>
      <c r="E3095" s="34" t="s">
        <v>7315</v>
      </c>
      <c r="F3095" s="34" t="s">
        <v>7316</v>
      </c>
      <c r="G3095" s="34">
        <v>35125.0</v>
      </c>
      <c r="H3095" s="34" t="s">
        <v>7317</v>
      </c>
      <c r="I3095" s="34" t="s">
        <v>17</v>
      </c>
      <c r="J3095" s="34" t="s">
        <v>13</v>
      </c>
      <c r="K3095" s="9"/>
      <c r="L3095" s="45">
        <v>100.8</v>
      </c>
      <c r="M3095" s="45">
        <v>100.8</v>
      </c>
    </row>
    <row r="3096">
      <c r="A3096" s="34" t="s">
        <v>70</v>
      </c>
      <c r="B3096" s="34" t="s">
        <v>354</v>
      </c>
      <c r="C3096" s="34">
        <v>35.0</v>
      </c>
      <c r="D3096" s="34" t="s">
        <v>622</v>
      </c>
      <c r="E3096" s="34" t="s">
        <v>7318</v>
      </c>
      <c r="F3096" s="34" t="s">
        <v>7319</v>
      </c>
      <c r="G3096" s="34">
        <v>35047.0</v>
      </c>
      <c r="H3096" s="34" t="s">
        <v>5861</v>
      </c>
      <c r="I3096" s="34" t="s">
        <v>18</v>
      </c>
      <c r="J3096" s="34" t="s">
        <v>15</v>
      </c>
      <c r="K3096" s="45">
        <v>124.0</v>
      </c>
      <c r="L3096" s="9"/>
      <c r="M3096" s="45">
        <v>124.0</v>
      </c>
    </row>
    <row r="3097">
      <c r="A3097" s="34" t="s">
        <v>70</v>
      </c>
      <c r="B3097" s="34" t="s">
        <v>354</v>
      </c>
      <c r="C3097" s="34">
        <v>35.0</v>
      </c>
      <c r="D3097" s="34" t="s">
        <v>622</v>
      </c>
      <c r="E3097" s="34" t="s">
        <v>7320</v>
      </c>
      <c r="F3097" s="34" t="s">
        <v>7321</v>
      </c>
      <c r="G3097" s="34">
        <v>35240.0</v>
      </c>
      <c r="H3097" s="34" t="s">
        <v>7322</v>
      </c>
      <c r="I3097" s="34" t="s">
        <v>18</v>
      </c>
      <c r="J3097" s="34" t="s">
        <v>15</v>
      </c>
      <c r="K3097" s="45">
        <v>129.3</v>
      </c>
      <c r="L3097" s="9"/>
      <c r="M3097" s="45">
        <v>129.3</v>
      </c>
    </row>
    <row r="3098">
      <c r="A3098" s="34" t="s">
        <v>70</v>
      </c>
      <c r="B3098" s="34" t="s">
        <v>313</v>
      </c>
      <c r="C3098" s="34">
        <v>36.0</v>
      </c>
      <c r="D3098" s="34" t="s">
        <v>628</v>
      </c>
      <c r="E3098" s="34" t="s">
        <v>7323</v>
      </c>
      <c r="F3098" s="34" t="s">
        <v>7324</v>
      </c>
      <c r="G3098" s="34">
        <v>36046.0</v>
      </c>
      <c r="H3098" s="34" t="s">
        <v>7325</v>
      </c>
      <c r="I3098" s="34" t="s">
        <v>18</v>
      </c>
      <c r="J3098" s="34" t="s">
        <v>14</v>
      </c>
      <c r="K3098" s="45">
        <v>111.3</v>
      </c>
      <c r="L3098" s="45">
        <v>82.6</v>
      </c>
      <c r="M3098" s="45">
        <v>102.0</v>
      </c>
    </row>
    <row r="3099">
      <c r="A3099" s="34" t="s">
        <v>70</v>
      </c>
      <c r="B3099" s="34" t="s">
        <v>313</v>
      </c>
      <c r="C3099" s="34">
        <v>36.0</v>
      </c>
      <c r="D3099" s="34" t="s">
        <v>628</v>
      </c>
      <c r="E3099" s="34" t="s">
        <v>7326</v>
      </c>
      <c r="F3099" s="34" t="s">
        <v>1566</v>
      </c>
      <c r="G3099" s="34">
        <v>36044.0</v>
      </c>
      <c r="H3099" s="34" t="s">
        <v>634</v>
      </c>
      <c r="I3099" s="34" t="s">
        <v>18</v>
      </c>
      <c r="J3099" s="34" t="s">
        <v>14</v>
      </c>
      <c r="K3099" s="45">
        <v>101.4</v>
      </c>
      <c r="L3099" s="45">
        <v>79.7</v>
      </c>
      <c r="M3099" s="45">
        <v>95.1</v>
      </c>
    </row>
    <row r="3100">
      <c r="A3100" s="34" t="s">
        <v>70</v>
      </c>
      <c r="B3100" s="34" t="s">
        <v>313</v>
      </c>
      <c r="C3100" s="34">
        <v>37.0</v>
      </c>
      <c r="D3100" s="34" t="s">
        <v>637</v>
      </c>
      <c r="E3100" s="34" t="s">
        <v>7327</v>
      </c>
      <c r="F3100" s="34" t="s">
        <v>7328</v>
      </c>
      <c r="G3100" s="34">
        <v>37261.0</v>
      </c>
      <c r="H3100" s="34" t="s">
        <v>640</v>
      </c>
      <c r="I3100" s="34" t="s">
        <v>18</v>
      </c>
      <c r="J3100" s="34" t="s">
        <v>15</v>
      </c>
      <c r="K3100" s="45">
        <v>120.7</v>
      </c>
      <c r="L3100" s="9"/>
      <c r="M3100" s="45">
        <v>120.7</v>
      </c>
    </row>
    <row r="3101">
      <c r="A3101" s="34" t="s">
        <v>70</v>
      </c>
      <c r="B3101" s="34" t="s">
        <v>313</v>
      </c>
      <c r="C3101" s="34">
        <v>37.0</v>
      </c>
      <c r="D3101" s="34" t="s">
        <v>637</v>
      </c>
      <c r="E3101" s="34" t="s">
        <v>7329</v>
      </c>
      <c r="F3101" s="34" t="s">
        <v>7330</v>
      </c>
      <c r="G3101" s="34">
        <v>37261.0</v>
      </c>
      <c r="H3101" s="34" t="s">
        <v>640</v>
      </c>
      <c r="I3101" s="34" t="s">
        <v>18</v>
      </c>
      <c r="J3101" s="34" t="s">
        <v>15</v>
      </c>
      <c r="K3101" s="45">
        <v>120.1</v>
      </c>
      <c r="L3101" s="9"/>
      <c r="M3101" s="45">
        <v>120.1</v>
      </c>
    </row>
    <row r="3102">
      <c r="A3102" s="34" t="s">
        <v>70</v>
      </c>
      <c r="B3102" s="34" t="s">
        <v>313</v>
      </c>
      <c r="C3102" s="34">
        <v>37.0</v>
      </c>
      <c r="D3102" s="34" t="s">
        <v>637</v>
      </c>
      <c r="E3102" s="34" t="s">
        <v>7331</v>
      </c>
      <c r="F3102" s="34" t="s">
        <v>7332</v>
      </c>
      <c r="G3102" s="34">
        <v>37132.0</v>
      </c>
      <c r="H3102" s="34" t="s">
        <v>4389</v>
      </c>
      <c r="I3102" s="34" t="s">
        <v>17</v>
      </c>
      <c r="J3102" s="34" t="s">
        <v>15</v>
      </c>
      <c r="K3102" s="45">
        <v>129.1</v>
      </c>
      <c r="L3102" s="9"/>
      <c r="M3102" s="45">
        <v>129.1</v>
      </c>
    </row>
    <row r="3103">
      <c r="A3103" s="34" t="s">
        <v>70</v>
      </c>
      <c r="B3103" s="34" t="s">
        <v>313</v>
      </c>
      <c r="C3103" s="34">
        <v>37.0</v>
      </c>
      <c r="D3103" s="34" t="s">
        <v>637</v>
      </c>
      <c r="E3103" s="34" t="s">
        <v>7333</v>
      </c>
      <c r="F3103" s="34" t="s">
        <v>7334</v>
      </c>
      <c r="G3103" s="34">
        <v>37261.0</v>
      </c>
      <c r="H3103" s="34" t="s">
        <v>640</v>
      </c>
      <c r="I3103" s="34" t="s">
        <v>17</v>
      </c>
      <c r="J3103" s="34" t="s">
        <v>15</v>
      </c>
      <c r="K3103" s="45">
        <v>123.8</v>
      </c>
      <c r="L3103" s="9"/>
      <c r="M3103" s="45">
        <v>123.8</v>
      </c>
    </row>
    <row r="3104">
      <c r="A3104" s="34" t="s">
        <v>70</v>
      </c>
      <c r="B3104" s="34" t="s">
        <v>313</v>
      </c>
      <c r="C3104" s="34">
        <v>37.0</v>
      </c>
      <c r="D3104" s="34" t="s">
        <v>637</v>
      </c>
      <c r="E3104" s="34" t="s">
        <v>7335</v>
      </c>
      <c r="F3104" s="34" t="s">
        <v>7336</v>
      </c>
      <c r="G3104" s="34">
        <v>37261.0</v>
      </c>
      <c r="H3104" s="34" t="s">
        <v>640</v>
      </c>
      <c r="I3104" s="34" t="s">
        <v>17</v>
      </c>
      <c r="J3104" s="34" t="s">
        <v>13</v>
      </c>
      <c r="K3104" s="9"/>
      <c r="L3104" s="45">
        <v>107.1</v>
      </c>
      <c r="M3104" s="45">
        <v>107.1</v>
      </c>
    </row>
    <row r="3105">
      <c r="A3105" s="34" t="s">
        <v>70</v>
      </c>
      <c r="B3105" s="34" t="s">
        <v>161</v>
      </c>
      <c r="C3105" s="34">
        <v>38.0</v>
      </c>
      <c r="D3105" s="34" t="s">
        <v>663</v>
      </c>
      <c r="E3105" s="34" t="s">
        <v>7337</v>
      </c>
      <c r="F3105" s="34" t="s">
        <v>7338</v>
      </c>
      <c r="G3105" s="34">
        <v>38053.0</v>
      </c>
      <c r="H3105" s="34" t="s">
        <v>2597</v>
      </c>
      <c r="I3105" s="34" t="s">
        <v>18</v>
      </c>
      <c r="J3105" s="34" t="s">
        <v>15</v>
      </c>
      <c r="K3105" s="45">
        <v>112.9</v>
      </c>
      <c r="L3105" s="9"/>
      <c r="M3105" s="45">
        <v>112.9</v>
      </c>
    </row>
    <row r="3106">
      <c r="A3106" s="34" t="s">
        <v>70</v>
      </c>
      <c r="B3106" s="34" t="s">
        <v>161</v>
      </c>
      <c r="C3106" s="34">
        <v>38.0</v>
      </c>
      <c r="D3106" s="34" t="s">
        <v>663</v>
      </c>
      <c r="E3106" s="34" t="s">
        <v>7339</v>
      </c>
      <c r="F3106" s="34" t="s">
        <v>7340</v>
      </c>
      <c r="G3106" s="34">
        <v>38185.0</v>
      </c>
      <c r="H3106" s="34" t="s">
        <v>161</v>
      </c>
      <c r="I3106" s="34" t="s">
        <v>18</v>
      </c>
      <c r="J3106" s="34" t="s">
        <v>14</v>
      </c>
      <c r="K3106" s="45">
        <v>101.2</v>
      </c>
      <c r="L3106" s="45">
        <v>82.7</v>
      </c>
      <c r="M3106" s="45">
        <v>94.9</v>
      </c>
    </row>
    <row r="3107">
      <c r="A3107" s="34" t="s">
        <v>70</v>
      </c>
      <c r="B3107" s="34" t="s">
        <v>161</v>
      </c>
      <c r="C3107" s="34">
        <v>38.0</v>
      </c>
      <c r="D3107" s="34" t="s">
        <v>663</v>
      </c>
      <c r="E3107" s="34" t="s">
        <v>7341</v>
      </c>
      <c r="F3107" s="34" t="s">
        <v>7342</v>
      </c>
      <c r="G3107" s="34">
        <v>38315.0</v>
      </c>
      <c r="H3107" s="34" t="s">
        <v>7343</v>
      </c>
      <c r="I3107" s="34" t="s">
        <v>18</v>
      </c>
      <c r="J3107" s="34" t="s">
        <v>14</v>
      </c>
      <c r="K3107" s="45">
        <v>113.3</v>
      </c>
      <c r="L3107" s="45">
        <v>90.8</v>
      </c>
      <c r="M3107" s="45">
        <v>106.8</v>
      </c>
    </row>
    <row r="3108">
      <c r="A3108" s="34" t="s">
        <v>70</v>
      </c>
      <c r="B3108" s="34" t="s">
        <v>161</v>
      </c>
      <c r="C3108" s="34">
        <v>38.0</v>
      </c>
      <c r="D3108" s="34" t="s">
        <v>663</v>
      </c>
      <c r="E3108" s="34" t="s">
        <v>7344</v>
      </c>
      <c r="F3108" s="34" t="s">
        <v>7345</v>
      </c>
      <c r="G3108" s="34">
        <v>38185.0</v>
      </c>
      <c r="H3108" s="34" t="s">
        <v>161</v>
      </c>
      <c r="I3108" s="34" t="s">
        <v>17</v>
      </c>
      <c r="J3108" s="34" t="s">
        <v>15</v>
      </c>
      <c r="K3108" s="45">
        <v>129.9</v>
      </c>
      <c r="L3108" s="9"/>
      <c r="M3108" s="45">
        <v>129.9</v>
      </c>
    </row>
    <row r="3109">
      <c r="A3109" s="34" t="s">
        <v>70</v>
      </c>
      <c r="B3109" s="34" t="s">
        <v>161</v>
      </c>
      <c r="C3109" s="34">
        <v>38.0</v>
      </c>
      <c r="D3109" s="34" t="s">
        <v>663</v>
      </c>
      <c r="E3109" s="34" t="s">
        <v>7346</v>
      </c>
      <c r="F3109" s="34" t="s">
        <v>7347</v>
      </c>
      <c r="G3109" s="34">
        <v>38544.0</v>
      </c>
      <c r="H3109" s="34" t="s">
        <v>695</v>
      </c>
      <c r="I3109" s="34" t="s">
        <v>17</v>
      </c>
      <c r="J3109" s="34" t="s">
        <v>14</v>
      </c>
      <c r="K3109" s="45">
        <v>122.9</v>
      </c>
      <c r="L3109" s="45">
        <v>101.3</v>
      </c>
      <c r="M3109" s="45">
        <v>116.7</v>
      </c>
    </row>
    <row r="3110">
      <c r="A3110" s="34" t="s">
        <v>70</v>
      </c>
      <c r="B3110" s="34" t="s">
        <v>161</v>
      </c>
      <c r="C3110" s="34">
        <v>38.0</v>
      </c>
      <c r="D3110" s="34" t="s">
        <v>663</v>
      </c>
      <c r="E3110" s="34" t="s">
        <v>7348</v>
      </c>
      <c r="F3110" s="34" t="s">
        <v>7349</v>
      </c>
      <c r="G3110" s="34">
        <v>38298.0</v>
      </c>
      <c r="H3110" s="34" t="s">
        <v>2613</v>
      </c>
      <c r="I3110" s="34" t="s">
        <v>17</v>
      </c>
      <c r="J3110" s="34" t="s">
        <v>13</v>
      </c>
      <c r="K3110" s="9"/>
      <c r="L3110" s="45">
        <v>88.7</v>
      </c>
      <c r="M3110" s="45">
        <v>88.7</v>
      </c>
    </row>
    <row r="3111">
      <c r="A3111" s="34" t="s">
        <v>70</v>
      </c>
      <c r="B3111" s="34" t="s">
        <v>161</v>
      </c>
      <c r="C3111" s="34">
        <v>38.0</v>
      </c>
      <c r="D3111" s="34" t="s">
        <v>663</v>
      </c>
      <c r="E3111" s="34" t="s">
        <v>7350</v>
      </c>
      <c r="F3111" s="34" t="s">
        <v>595</v>
      </c>
      <c r="G3111" s="34">
        <v>38298.0</v>
      </c>
      <c r="H3111" s="34" t="s">
        <v>2613</v>
      </c>
      <c r="I3111" s="34" t="s">
        <v>17</v>
      </c>
      <c r="J3111" s="34" t="s">
        <v>13</v>
      </c>
      <c r="K3111" s="9"/>
      <c r="L3111" s="45">
        <v>96.2</v>
      </c>
      <c r="M3111" s="45">
        <v>96.2</v>
      </c>
    </row>
    <row r="3112">
      <c r="A3112" s="34" t="s">
        <v>70</v>
      </c>
      <c r="B3112" s="34" t="s">
        <v>161</v>
      </c>
      <c r="C3112" s="34">
        <v>38.0</v>
      </c>
      <c r="D3112" s="34" t="s">
        <v>663</v>
      </c>
      <c r="E3112" s="34" t="s">
        <v>7351</v>
      </c>
      <c r="F3112" s="34" t="s">
        <v>7352</v>
      </c>
      <c r="G3112" s="34">
        <v>38170.0</v>
      </c>
      <c r="H3112" s="34" t="s">
        <v>7353</v>
      </c>
      <c r="I3112" s="34" t="s">
        <v>18</v>
      </c>
      <c r="J3112" s="34" t="s">
        <v>13</v>
      </c>
      <c r="K3112" s="9"/>
      <c r="L3112" s="45">
        <v>81.1</v>
      </c>
      <c r="M3112" s="45">
        <v>81.1</v>
      </c>
    </row>
    <row r="3113">
      <c r="A3113" s="34" t="s">
        <v>70</v>
      </c>
      <c r="B3113" s="34" t="s">
        <v>161</v>
      </c>
      <c r="C3113" s="34">
        <v>38.0</v>
      </c>
      <c r="D3113" s="34" t="s">
        <v>663</v>
      </c>
      <c r="E3113" s="34" t="s">
        <v>7354</v>
      </c>
      <c r="F3113" s="34" t="s">
        <v>7355</v>
      </c>
      <c r="G3113" s="34">
        <v>38130.0</v>
      </c>
      <c r="H3113" s="34" t="s">
        <v>666</v>
      </c>
      <c r="I3113" s="34" t="s">
        <v>17</v>
      </c>
      <c r="J3113" s="34" t="s">
        <v>13</v>
      </c>
      <c r="K3113" s="9"/>
      <c r="L3113" s="45">
        <v>85.4</v>
      </c>
      <c r="M3113" s="45">
        <v>85.4</v>
      </c>
    </row>
    <row r="3114">
      <c r="A3114" s="34" t="s">
        <v>70</v>
      </c>
      <c r="B3114" s="34" t="s">
        <v>161</v>
      </c>
      <c r="C3114" s="34">
        <v>38.0</v>
      </c>
      <c r="D3114" s="34" t="s">
        <v>663</v>
      </c>
      <c r="E3114" s="34" t="s">
        <v>7356</v>
      </c>
      <c r="F3114" s="34" t="s">
        <v>1251</v>
      </c>
      <c r="G3114" s="34">
        <v>38151.0</v>
      </c>
      <c r="H3114" s="34" t="s">
        <v>2621</v>
      </c>
      <c r="I3114" s="34" t="s">
        <v>18</v>
      </c>
      <c r="J3114" s="34" t="s">
        <v>15</v>
      </c>
      <c r="K3114" s="45">
        <v>106.5</v>
      </c>
      <c r="L3114" s="9"/>
      <c r="M3114" s="45">
        <v>106.5</v>
      </c>
    </row>
    <row r="3115">
      <c r="A3115" s="34" t="s">
        <v>70</v>
      </c>
      <c r="B3115" s="34" t="s">
        <v>161</v>
      </c>
      <c r="C3115" s="34">
        <v>38.0</v>
      </c>
      <c r="D3115" s="34" t="s">
        <v>663</v>
      </c>
      <c r="E3115" s="34" t="s">
        <v>7357</v>
      </c>
      <c r="F3115" s="34" t="s">
        <v>7358</v>
      </c>
      <c r="G3115" s="34">
        <v>38185.0</v>
      </c>
      <c r="H3115" s="34" t="s">
        <v>161</v>
      </c>
      <c r="I3115" s="34" t="s">
        <v>18</v>
      </c>
      <c r="J3115" s="34" t="s">
        <v>15</v>
      </c>
      <c r="K3115" s="45">
        <v>140.1</v>
      </c>
      <c r="L3115" s="9"/>
      <c r="M3115" s="45">
        <v>140.1</v>
      </c>
    </row>
    <row r="3116">
      <c r="A3116" s="34" t="s">
        <v>70</v>
      </c>
      <c r="B3116" s="34" t="s">
        <v>393</v>
      </c>
      <c r="C3116" s="34">
        <v>39.0</v>
      </c>
      <c r="D3116" s="34" t="s">
        <v>708</v>
      </c>
      <c r="E3116" s="34" t="s">
        <v>7359</v>
      </c>
      <c r="F3116" s="34" t="s">
        <v>7360</v>
      </c>
      <c r="G3116" s="34">
        <v>39300.0</v>
      </c>
      <c r="H3116" s="34" t="s">
        <v>2637</v>
      </c>
      <c r="I3116" s="34" t="s">
        <v>18</v>
      </c>
      <c r="J3116" s="34" t="s">
        <v>13</v>
      </c>
      <c r="K3116" s="9"/>
      <c r="L3116" s="45">
        <v>79.4</v>
      </c>
      <c r="M3116" s="45">
        <v>79.4</v>
      </c>
    </row>
    <row r="3117">
      <c r="A3117" s="34" t="s">
        <v>70</v>
      </c>
      <c r="B3117" s="34" t="s">
        <v>393</v>
      </c>
      <c r="C3117" s="34">
        <v>39.0</v>
      </c>
      <c r="D3117" s="34" t="s">
        <v>708</v>
      </c>
      <c r="E3117" s="34" t="s">
        <v>7361</v>
      </c>
      <c r="F3117" s="34" t="s">
        <v>7362</v>
      </c>
      <c r="G3117" s="34">
        <v>39368.0</v>
      </c>
      <c r="H3117" s="34" t="s">
        <v>7363</v>
      </c>
      <c r="I3117" s="34" t="s">
        <v>18</v>
      </c>
      <c r="J3117" s="34" t="s">
        <v>14</v>
      </c>
      <c r="K3117" s="45">
        <v>114.9</v>
      </c>
      <c r="L3117" s="45">
        <v>93.9</v>
      </c>
      <c r="M3117" s="45">
        <v>109.2</v>
      </c>
    </row>
    <row r="3118">
      <c r="A3118" s="34" t="s">
        <v>70</v>
      </c>
      <c r="B3118" s="34" t="s">
        <v>393</v>
      </c>
      <c r="C3118" s="34">
        <v>39.0</v>
      </c>
      <c r="D3118" s="34" t="s">
        <v>708</v>
      </c>
      <c r="E3118" s="34" t="s">
        <v>7364</v>
      </c>
      <c r="F3118" s="34" t="s">
        <v>7365</v>
      </c>
      <c r="G3118" s="34">
        <v>39370.0</v>
      </c>
      <c r="H3118" s="34" t="s">
        <v>716</v>
      </c>
      <c r="I3118" s="34" t="s">
        <v>18</v>
      </c>
      <c r="J3118" s="34" t="s">
        <v>14</v>
      </c>
      <c r="K3118" s="45">
        <v>113.0</v>
      </c>
      <c r="L3118" s="45">
        <v>108.4</v>
      </c>
      <c r="M3118" s="45">
        <v>108.6</v>
      </c>
    </row>
    <row r="3119">
      <c r="A3119" s="34" t="s">
        <v>70</v>
      </c>
      <c r="B3119" s="34" t="s">
        <v>393</v>
      </c>
      <c r="C3119" s="34">
        <v>39.0</v>
      </c>
      <c r="D3119" s="34" t="s">
        <v>708</v>
      </c>
      <c r="E3119" s="34" t="s">
        <v>7366</v>
      </c>
      <c r="F3119" s="34" t="s">
        <v>918</v>
      </c>
      <c r="G3119" s="34">
        <v>39300.0</v>
      </c>
      <c r="H3119" s="34" t="s">
        <v>2637</v>
      </c>
      <c r="I3119" s="34" t="s">
        <v>17</v>
      </c>
      <c r="J3119" s="34" t="s">
        <v>13</v>
      </c>
      <c r="K3119" s="9"/>
      <c r="L3119" s="45">
        <v>89.8</v>
      </c>
      <c r="M3119" s="45">
        <v>89.8</v>
      </c>
    </row>
    <row r="3120">
      <c r="A3120" s="34" t="s">
        <v>70</v>
      </c>
      <c r="B3120" s="34" t="s">
        <v>393</v>
      </c>
      <c r="C3120" s="34">
        <v>39.0</v>
      </c>
      <c r="D3120" s="34" t="s">
        <v>708</v>
      </c>
      <c r="E3120" s="34" t="s">
        <v>7367</v>
      </c>
      <c r="F3120" s="34" t="s">
        <v>595</v>
      </c>
      <c r="G3120" s="34">
        <v>39097.0</v>
      </c>
      <c r="H3120" s="34" t="s">
        <v>710</v>
      </c>
      <c r="I3120" s="34" t="s">
        <v>17</v>
      </c>
      <c r="J3120" s="34" t="s">
        <v>13</v>
      </c>
      <c r="K3120" s="9"/>
      <c r="L3120" s="45">
        <v>81.2</v>
      </c>
      <c r="M3120" s="45">
        <v>81.2</v>
      </c>
    </row>
    <row r="3121">
      <c r="A3121" s="34" t="s">
        <v>70</v>
      </c>
      <c r="B3121" s="34" t="s">
        <v>393</v>
      </c>
      <c r="C3121" s="34">
        <v>39.0</v>
      </c>
      <c r="D3121" s="34" t="s">
        <v>708</v>
      </c>
      <c r="E3121" s="34" t="s">
        <v>7368</v>
      </c>
      <c r="F3121" s="34" t="s">
        <v>7369</v>
      </c>
      <c r="G3121" s="34">
        <v>39097.0</v>
      </c>
      <c r="H3121" s="34" t="s">
        <v>710</v>
      </c>
      <c r="I3121" s="34" t="s">
        <v>18</v>
      </c>
      <c r="J3121" s="34" t="s">
        <v>14</v>
      </c>
      <c r="K3121" s="45">
        <v>114.5</v>
      </c>
      <c r="L3121" s="45">
        <v>91.3</v>
      </c>
      <c r="M3121" s="45">
        <v>108.3</v>
      </c>
    </row>
    <row r="3122">
      <c r="A3122" s="34" t="s">
        <v>70</v>
      </c>
      <c r="B3122" s="34" t="s">
        <v>377</v>
      </c>
      <c r="C3122" s="34">
        <v>40.0</v>
      </c>
      <c r="D3122" s="34" t="s">
        <v>717</v>
      </c>
      <c r="E3122" s="34" t="s">
        <v>7370</v>
      </c>
      <c r="F3122" s="34" t="s">
        <v>4808</v>
      </c>
      <c r="G3122" s="34">
        <v>40283.0</v>
      </c>
      <c r="H3122" s="34" t="s">
        <v>7371</v>
      </c>
      <c r="I3122" s="34" t="s">
        <v>17</v>
      </c>
      <c r="J3122" s="34" t="s">
        <v>13</v>
      </c>
      <c r="K3122" s="9"/>
      <c r="L3122" s="45">
        <v>87.4</v>
      </c>
      <c r="M3122" s="45">
        <v>87.4</v>
      </c>
    </row>
    <row r="3123">
      <c r="A3123" s="34" t="s">
        <v>70</v>
      </c>
      <c r="B3123" s="34" t="s">
        <v>313</v>
      </c>
      <c r="C3123" s="34">
        <v>41.0</v>
      </c>
      <c r="D3123" s="34" t="s">
        <v>732</v>
      </c>
      <c r="E3123" s="34" t="s">
        <v>7372</v>
      </c>
      <c r="F3123" s="34" t="s">
        <v>7373</v>
      </c>
      <c r="G3123" s="34">
        <v>41018.0</v>
      </c>
      <c r="H3123" s="34" t="s">
        <v>741</v>
      </c>
      <c r="I3123" s="34" t="s">
        <v>18</v>
      </c>
      <c r="J3123" s="34" t="s">
        <v>15</v>
      </c>
      <c r="K3123" s="45">
        <v>115.7</v>
      </c>
      <c r="L3123" s="9"/>
      <c r="M3123" s="45">
        <v>115.7</v>
      </c>
    </row>
    <row r="3124">
      <c r="A3124" s="34" t="s">
        <v>70</v>
      </c>
      <c r="B3124" s="34" t="s">
        <v>313</v>
      </c>
      <c r="C3124" s="34">
        <v>41.0</v>
      </c>
      <c r="D3124" s="34" t="s">
        <v>732</v>
      </c>
      <c r="E3124" s="34" t="s">
        <v>7374</v>
      </c>
      <c r="F3124" s="34" t="s">
        <v>7375</v>
      </c>
      <c r="G3124" s="34">
        <v>41269.0</v>
      </c>
      <c r="H3124" s="34" t="s">
        <v>738</v>
      </c>
      <c r="I3124" s="34" t="s">
        <v>18</v>
      </c>
      <c r="J3124" s="34" t="s">
        <v>15</v>
      </c>
      <c r="K3124" s="45">
        <v>112.2</v>
      </c>
      <c r="L3124" s="9"/>
      <c r="M3124" s="45">
        <v>112.2</v>
      </c>
    </row>
    <row r="3125">
      <c r="A3125" s="34" t="s">
        <v>70</v>
      </c>
      <c r="B3125" s="34" t="s">
        <v>313</v>
      </c>
      <c r="C3125" s="34">
        <v>41.0</v>
      </c>
      <c r="D3125" s="34" t="s">
        <v>732</v>
      </c>
      <c r="E3125" s="34" t="s">
        <v>7376</v>
      </c>
      <c r="F3125" s="34" t="s">
        <v>7377</v>
      </c>
      <c r="G3125" s="34">
        <v>41194.0</v>
      </c>
      <c r="H3125" s="34" t="s">
        <v>735</v>
      </c>
      <c r="I3125" s="34" t="s">
        <v>18</v>
      </c>
      <c r="J3125" s="34" t="s">
        <v>13</v>
      </c>
      <c r="K3125" s="9"/>
      <c r="L3125" s="45">
        <v>83.5</v>
      </c>
      <c r="M3125" s="45">
        <v>83.5</v>
      </c>
    </row>
    <row r="3126">
      <c r="A3126" s="34" t="s">
        <v>70</v>
      </c>
      <c r="B3126" s="34" t="s">
        <v>313</v>
      </c>
      <c r="C3126" s="34">
        <v>41.0</v>
      </c>
      <c r="D3126" s="34" t="s">
        <v>732</v>
      </c>
      <c r="E3126" s="34" t="s">
        <v>7378</v>
      </c>
      <c r="F3126" s="34" t="s">
        <v>7379</v>
      </c>
      <c r="G3126" s="34">
        <v>41018.0</v>
      </c>
      <c r="H3126" s="34" t="s">
        <v>741</v>
      </c>
      <c r="I3126" s="34" t="s">
        <v>17</v>
      </c>
      <c r="J3126" s="34" t="s">
        <v>14</v>
      </c>
      <c r="K3126" s="45">
        <v>107.8</v>
      </c>
      <c r="L3126" s="45">
        <v>89.8</v>
      </c>
      <c r="M3126" s="45">
        <v>96.0</v>
      </c>
    </row>
    <row r="3127">
      <c r="A3127" s="34" t="s">
        <v>70</v>
      </c>
      <c r="B3127" s="34" t="s">
        <v>313</v>
      </c>
      <c r="C3127" s="34">
        <v>41.0</v>
      </c>
      <c r="D3127" s="34" t="s">
        <v>732</v>
      </c>
      <c r="E3127" s="34" t="s">
        <v>7380</v>
      </c>
      <c r="F3127" s="34" t="s">
        <v>7381</v>
      </c>
      <c r="G3127" s="34">
        <v>41198.0</v>
      </c>
      <c r="H3127" s="34" t="s">
        <v>7382</v>
      </c>
      <c r="I3127" s="34" t="s">
        <v>18</v>
      </c>
      <c r="J3127" s="34" t="s">
        <v>13</v>
      </c>
      <c r="K3127" s="9"/>
      <c r="L3127" s="45">
        <v>86.5</v>
      </c>
      <c r="M3127" s="45">
        <v>86.5</v>
      </c>
    </row>
    <row r="3128">
      <c r="A3128" s="34" t="s">
        <v>70</v>
      </c>
      <c r="B3128" s="34" t="s">
        <v>313</v>
      </c>
      <c r="C3128" s="34">
        <v>41.0</v>
      </c>
      <c r="D3128" s="34" t="s">
        <v>732</v>
      </c>
      <c r="E3128" s="34" t="s">
        <v>7383</v>
      </c>
      <c r="F3128" s="34" t="s">
        <v>7384</v>
      </c>
      <c r="G3128" s="34">
        <v>41018.0</v>
      </c>
      <c r="H3128" s="34" t="s">
        <v>741</v>
      </c>
      <c r="I3128" s="34" t="s">
        <v>18</v>
      </c>
      <c r="J3128" s="34" t="s">
        <v>14</v>
      </c>
      <c r="K3128" s="45">
        <v>121.1</v>
      </c>
      <c r="L3128" s="45">
        <v>98.7</v>
      </c>
      <c r="M3128" s="45">
        <v>105.3</v>
      </c>
    </row>
    <row r="3129">
      <c r="A3129" s="34" t="s">
        <v>70</v>
      </c>
      <c r="B3129" s="34" t="s">
        <v>313</v>
      </c>
      <c r="C3129" s="34">
        <v>41.0</v>
      </c>
      <c r="D3129" s="34" t="s">
        <v>732</v>
      </c>
      <c r="E3129" s="34" t="s">
        <v>7385</v>
      </c>
      <c r="F3129" s="34" t="s">
        <v>7386</v>
      </c>
      <c r="G3129" s="34">
        <v>41180.0</v>
      </c>
      <c r="H3129" s="34" t="s">
        <v>7387</v>
      </c>
      <c r="I3129" s="34" t="s">
        <v>17</v>
      </c>
      <c r="J3129" s="34" t="s">
        <v>15</v>
      </c>
      <c r="K3129" s="45">
        <v>131.0</v>
      </c>
      <c r="L3129" s="9"/>
      <c r="M3129" s="45">
        <v>131.0</v>
      </c>
    </row>
    <row r="3130">
      <c r="A3130" s="34" t="s">
        <v>70</v>
      </c>
      <c r="B3130" s="34" t="s">
        <v>71</v>
      </c>
      <c r="C3130" s="34">
        <v>42.0</v>
      </c>
      <c r="D3130" s="34" t="s">
        <v>742</v>
      </c>
      <c r="E3130" s="34" t="s">
        <v>7388</v>
      </c>
      <c r="F3130" s="34" t="s">
        <v>489</v>
      </c>
      <c r="G3130" s="34">
        <v>42095.0</v>
      </c>
      <c r="H3130" s="34" t="s">
        <v>2675</v>
      </c>
      <c r="I3130" s="34" t="s">
        <v>18</v>
      </c>
      <c r="J3130" s="34" t="s">
        <v>15</v>
      </c>
      <c r="K3130" s="45">
        <v>98.9</v>
      </c>
      <c r="L3130" s="9"/>
      <c r="M3130" s="45">
        <v>98.9</v>
      </c>
    </row>
    <row r="3131">
      <c r="A3131" s="34" t="s">
        <v>70</v>
      </c>
      <c r="B3131" s="34" t="s">
        <v>71</v>
      </c>
      <c r="C3131" s="34">
        <v>42.0</v>
      </c>
      <c r="D3131" s="34" t="s">
        <v>742</v>
      </c>
      <c r="E3131" s="34" t="s">
        <v>7389</v>
      </c>
      <c r="F3131" s="34" t="s">
        <v>7390</v>
      </c>
      <c r="G3131" s="34">
        <v>42218.0</v>
      </c>
      <c r="H3131" s="34" t="s">
        <v>748</v>
      </c>
      <c r="I3131" s="34" t="s">
        <v>18</v>
      </c>
      <c r="J3131" s="34" t="s">
        <v>15</v>
      </c>
      <c r="K3131" s="45">
        <v>100.1</v>
      </c>
      <c r="L3131" s="9"/>
      <c r="M3131" s="45">
        <v>100.1</v>
      </c>
    </row>
    <row r="3132">
      <c r="A3132" s="34" t="s">
        <v>70</v>
      </c>
      <c r="B3132" s="34" t="s">
        <v>71</v>
      </c>
      <c r="C3132" s="34">
        <v>42.0</v>
      </c>
      <c r="D3132" s="34" t="s">
        <v>742</v>
      </c>
      <c r="E3132" s="34" t="s">
        <v>7391</v>
      </c>
      <c r="F3132" s="34" t="s">
        <v>4395</v>
      </c>
      <c r="G3132" s="34">
        <v>42218.0</v>
      </c>
      <c r="H3132" s="34" t="s">
        <v>748</v>
      </c>
      <c r="I3132" s="34" t="s">
        <v>18</v>
      </c>
      <c r="J3132" s="34" t="s">
        <v>15</v>
      </c>
      <c r="K3132" s="45">
        <v>106.3</v>
      </c>
      <c r="L3132" s="9"/>
      <c r="M3132" s="45">
        <v>106.3</v>
      </c>
    </row>
    <row r="3133">
      <c r="A3133" s="34" t="s">
        <v>70</v>
      </c>
      <c r="B3133" s="34" t="s">
        <v>71</v>
      </c>
      <c r="C3133" s="34">
        <v>42.0</v>
      </c>
      <c r="D3133" s="34" t="s">
        <v>742</v>
      </c>
      <c r="E3133" s="34" t="s">
        <v>7392</v>
      </c>
      <c r="F3133" s="34" t="s">
        <v>7393</v>
      </c>
      <c r="G3133" s="34">
        <v>42187.0</v>
      </c>
      <c r="H3133" s="34" t="s">
        <v>745</v>
      </c>
      <c r="I3133" s="34" t="s">
        <v>18</v>
      </c>
      <c r="J3133" s="34" t="s">
        <v>13</v>
      </c>
      <c r="K3133" s="9"/>
      <c r="L3133" s="45">
        <v>89.6</v>
      </c>
      <c r="M3133" s="45">
        <v>89.6</v>
      </c>
    </row>
    <row r="3134">
      <c r="A3134" s="34" t="s">
        <v>70</v>
      </c>
      <c r="B3134" s="34" t="s">
        <v>71</v>
      </c>
      <c r="C3134" s="34">
        <v>42.0</v>
      </c>
      <c r="D3134" s="34" t="s">
        <v>742</v>
      </c>
      <c r="E3134" s="34" t="s">
        <v>7394</v>
      </c>
      <c r="F3134" s="34" t="s">
        <v>7395</v>
      </c>
      <c r="G3134" s="34">
        <v>42218.0</v>
      </c>
      <c r="H3134" s="34" t="s">
        <v>748</v>
      </c>
      <c r="I3134" s="34" t="s">
        <v>18</v>
      </c>
      <c r="J3134" s="34" t="s">
        <v>13</v>
      </c>
      <c r="K3134" s="9"/>
      <c r="L3134" s="45">
        <v>83.4</v>
      </c>
      <c r="M3134" s="45">
        <v>83.4</v>
      </c>
    </row>
    <row r="3135">
      <c r="A3135" s="34" t="s">
        <v>70</v>
      </c>
      <c r="B3135" s="34" t="s">
        <v>71</v>
      </c>
      <c r="C3135" s="34">
        <v>42.0</v>
      </c>
      <c r="D3135" s="34" t="s">
        <v>742</v>
      </c>
      <c r="E3135" s="34" t="s">
        <v>7396</v>
      </c>
      <c r="F3135" s="34" t="s">
        <v>7397</v>
      </c>
      <c r="G3135" s="34">
        <v>42218.0</v>
      </c>
      <c r="H3135" s="34" t="s">
        <v>748</v>
      </c>
      <c r="I3135" s="34" t="s">
        <v>17</v>
      </c>
      <c r="J3135" s="34" t="s">
        <v>13</v>
      </c>
      <c r="K3135" s="9"/>
      <c r="L3135" s="45">
        <v>98.8</v>
      </c>
      <c r="M3135" s="45">
        <v>98.8</v>
      </c>
    </row>
    <row r="3136">
      <c r="A3136" s="34" t="s">
        <v>70</v>
      </c>
      <c r="B3136" s="34" t="s">
        <v>71</v>
      </c>
      <c r="C3136" s="34">
        <v>42.0</v>
      </c>
      <c r="D3136" s="34" t="s">
        <v>742</v>
      </c>
      <c r="E3136" s="34" t="s">
        <v>7398</v>
      </c>
      <c r="F3136" s="34" t="s">
        <v>7399</v>
      </c>
      <c r="G3136" s="34">
        <v>42147.0</v>
      </c>
      <c r="H3136" s="34" t="s">
        <v>2678</v>
      </c>
      <c r="I3136" s="34" t="s">
        <v>17</v>
      </c>
      <c r="J3136" s="34" t="s">
        <v>13</v>
      </c>
      <c r="K3136" s="9"/>
      <c r="L3136" s="45">
        <v>93.6</v>
      </c>
      <c r="M3136" s="45">
        <v>93.6</v>
      </c>
    </row>
    <row r="3137">
      <c r="A3137" s="34" t="s">
        <v>70</v>
      </c>
      <c r="B3137" s="34" t="s">
        <v>71</v>
      </c>
      <c r="C3137" s="34">
        <v>42.0</v>
      </c>
      <c r="D3137" s="34" t="s">
        <v>742</v>
      </c>
      <c r="E3137" s="34" t="s">
        <v>7400</v>
      </c>
      <c r="F3137" s="34" t="s">
        <v>4730</v>
      </c>
      <c r="G3137" s="34">
        <v>42218.0</v>
      </c>
      <c r="H3137" s="34" t="s">
        <v>748</v>
      </c>
      <c r="I3137" s="34" t="s">
        <v>17</v>
      </c>
      <c r="J3137" s="34" t="s">
        <v>15</v>
      </c>
      <c r="K3137" s="45">
        <v>103.1</v>
      </c>
      <c r="L3137" s="9"/>
      <c r="M3137" s="45">
        <v>103.1</v>
      </c>
    </row>
    <row r="3138">
      <c r="A3138" s="34" t="s">
        <v>70</v>
      </c>
      <c r="B3138" s="34" t="s">
        <v>71</v>
      </c>
      <c r="C3138" s="34">
        <v>42.0</v>
      </c>
      <c r="D3138" s="34" t="s">
        <v>742</v>
      </c>
      <c r="E3138" s="34" t="s">
        <v>7401</v>
      </c>
      <c r="F3138" s="34" t="s">
        <v>7402</v>
      </c>
      <c r="G3138" s="34">
        <v>42005.0</v>
      </c>
      <c r="H3138" s="34" t="s">
        <v>4465</v>
      </c>
      <c r="I3138" s="34" t="s">
        <v>18</v>
      </c>
      <c r="J3138" s="34" t="s">
        <v>15</v>
      </c>
      <c r="K3138" s="45">
        <v>121.2</v>
      </c>
      <c r="L3138" s="9"/>
      <c r="M3138" s="45">
        <v>121.2</v>
      </c>
    </row>
    <row r="3139">
      <c r="A3139" s="34" t="s">
        <v>70</v>
      </c>
      <c r="B3139" s="34" t="s">
        <v>71</v>
      </c>
      <c r="C3139" s="34">
        <v>42.0</v>
      </c>
      <c r="D3139" s="34" t="s">
        <v>742</v>
      </c>
      <c r="E3139" s="34" t="s">
        <v>7403</v>
      </c>
      <c r="F3139" s="34" t="s">
        <v>4618</v>
      </c>
      <c r="G3139" s="34">
        <v>42187.0</v>
      </c>
      <c r="H3139" s="34" t="s">
        <v>745</v>
      </c>
      <c r="I3139" s="34" t="s">
        <v>17</v>
      </c>
      <c r="J3139" s="34" t="s">
        <v>13</v>
      </c>
      <c r="K3139" s="9"/>
      <c r="L3139" s="45">
        <v>94.8</v>
      </c>
      <c r="M3139" s="45">
        <v>94.8</v>
      </c>
    </row>
    <row r="3140">
      <c r="A3140" s="34" t="s">
        <v>70</v>
      </c>
      <c r="B3140" s="34" t="s">
        <v>71</v>
      </c>
      <c r="C3140" s="34">
        <v>42.0</v>
      </c>
      <c r="D3140" s="34" t="s">
        <v>742</v>
      </c>
      <c r="E3140" s="34" t="s">
        <v>7404</v>
      </c>
      <c r="F3140" s="34" t="s">
        <v>7405</v>
      </c>
      <c r="G3140" s="34">
        <v>42019.0</v>
      </c>
      <c r="H3140" s="34" t="s">
        <v>7406</v>
      </c>
      <c r="I3140" s="34" t="s">
        <v>18</v>
      </c>
      <c r="J3140" s="34" t="s">
        <v>15</v>
      </c>
      <c r="K3140" s="45">
        <v>115.1</v>
      </c>
      <c r="L3140" s="9"/>
      <c r="M3140" s="45">
        <v>115.1</v>
      </c>
    </row>
    <row r="3141">
      <c r="A3141" s="34" t="s">
        <v>70</v>
      </c>
      <c r="B3141" s="34" t="s">
        <v>71</v>
      </c>
      <c r="C3141" s="34">
        <v>42.0</v>
      </c>
      <c r="D3141" s="34" t="s">
        <v>742</v>
      </c>
      <c r="E3141" s="34" t="s">
        <v>7407</v>
      </c>
      <c r="F3141" s="34" t="s">
        <v>3083</v>
      </c>
      <c r="G3141" s="34">
        <v>42149.0</v>
      </c>
      <c r="H3141" s="34" t="s">
        <v>7408</v>
      </c>
      <c r="I3141" s="34" t="s">
        <v>17</v>
      </c>
      <c r="J3141" s="34" t="s">
        <v>15</v>
      </c>
      <c r="K3141" s="45">
        <v>111.8</v>
      </c>
      <c r="L3141" s="9"/>
      <c r="M3141" s="45">
        <v>111.8</v>
      </c>
    </row>
    <row r="3142">
      <c r="A3142" s="34" t="s">
        <v>70</v>
      </c>
      <c r="B3142" s="34" t="s">
        <v>116</v>
      </c>
      <c r="C3142" s="34">
        <v>43.0</v>
      </c>
      <c r="D3142" s="34" t="s">
        <v>764</v>
      </c>
      <c r="E3142" s="34" t="s">
        <v>7409</v>
      </c>
      <c r="F3142" s="34" t="s">
        <v>212</v>
      </c>
      <c r="G3142" s="34">
        <v>43268.0</v>
      </c>
      <c r="H3142" s="34" t="s">
        <v>4478</v>
      </c>
      <c r="I3142" s="34" t="s">
        <v>17</v>
      </c>
      <c r="J3142" s="34" t="s">
        <v>15</v>
      </c>
      <c r="K3142" s="45">
        <v>105.6</v>
      </c>
      <c r="L3142" s="9"/>
      <c r="M3142" s="45">
        <v>105.6</v>
      </c>
    </row>
    <row r="3143">
      <c r="A3143" s="34" t="s">
        <v>70</v>
      </c>
      <c r="B3143" s="34" t="s">
        <v>116</v>
      </c>
      <c r="C3143" s="34">
        <v>43.0</v>
      </c>
      <c r="D3143" s="34" t="s">
        <v>764</v>
      </c>
      <c r="E3143" s="34" t="s">
        <v>7410</v>
      </c>
      <c r="F3143" s="34" t="s">
        <v>2581</v>
      </c>
      <c r="G3143" s="34">
        <v>43137.0</v>
      </c>
      <c r="H3143" s="34" t="s">
        <v>776</v>
      </c>
      <c r="I3143" s="34" t="s">
        <v>18</v>
      </c>
      <c r="J3143" s="34" t="s">
        <v>15</v>
      </c>
      <c r="K3143" s="45">
        <v>119.2</v>
      </c>
      <c r="L3143" s="9"/>
      <c r="M3143" s="45">
        <v>119.2</v>
      </c>
    </row>
    <row r="3144">
      <c r="A3144" s="34" t="s">
        <v>70</v>
      </c>
      <c r="B3144" s="34" t="s">
        <v>779</v>
      </c>
      <c r="C3144" s="34">
        <v>44.0</v>
      </c>
      <c r="D3144" s="34" t="s">
        <v>780</v>
      </c>
      <c r="E3144" s="34" t="s">
        <v>7411</v>
      </c>
      <c r="F3144" s="34" t="s">
        <v>7412</v>
      </c>
      <c r="G3144" s="34">
        <v>44109.0</v>
      </c>
      <c r="H3144" s="34" t="s">
        <v>779</v>
      </c>
      <c r="I3144" s="34" t="s">
        <v>18</v>
      </c>
      <c r="J3144" s="34" t="s">
        <v>15</v>
      </c>
      <c r="K3144" s="45">
        <v>140.0</v>
      </c>
      <c r="L3144" s="9"/>
      <c r="M3144" s="45">
        <v>140.0</v>
      </c>
    </row>
    <row r="3145">
      <c r="A3145" s="34" t="s">
        <v>70</v>
      </c>
      <c r="B3145" s="34" t="s">
        <v>779</v>
      </c>
      <c r="C3145" s="34">
        <v>44.0</v>
      </c>
      <c r="D3145" s="34" t="s">
        <v>780</v>
      </c>
      <c r="E3145" s="34" t="s">
        <v>7413</v>
      </c>
      <c r="F3145" s="34" t="s">
        <v>7414</v>
      </c>
      <c r="G3145" s="34">
        <v>44109.0</v>
      </c>
      <c r="H3145" s="34" t="s">
        <v>779</v>
      </c>
      <c r="I3145" s="34" t="s">
        <v>18</v>
      </c>
      <c r="J3145" s="34" t="s">
        <v>15</v>
      </c>
      <c r="K3145" s="45">
        <v>140.9</v>
      </c>
      <c r="L3145" s="9"/>
      <c r="M3145" s="45">
        <v>140.9</v>
      </c>
    </row>
    <row r="3146">
      <c r="A3146" s="34" t="s">
        <v>70</v>
      </c>
      <c r="B3146" s="34" t="s">
        <v>779</v>
      </c>
      <c r="C3146" s="34">
        <v>44.0</v>
      </c>
      <c r="D3146" s="34" t="s">
        <v>780</v>
      </c>
      <c r="E3146" s="34" t="s">
        <v>7415</v>
      </c>
      <c r="F3146" s="34" t="s">
        <v>7416</v>
      </c>
      <c r="G3146" s="34">
        <v>44109.0</v>
      </c>
      <c r="H3146" s="34" t="s">
        <v>779</v>
      </c>
      <c r="I3146" s="34" t="s">
        <v>18</v>
      </c>
      <c r="J3146" s="34" t="s">
        <v>15</v>
      </c>
      <c r="K3146" s="45">
        <v>126.8</v>
      </c>
      <c r="L3146" s="9"/>
      <c r="M3146" s="45">
        <v>126.8</v>
      </c>
    </row>
    <row r="3147">
      <c r="A3147" s="34" t="s">
        <v>70</v>
      </c>
      <c r="B3147" s="34" t="s">
        <v>779</v>
      </c>
      <c r="C3147" s="34">
        <v>44.0</v>
      </c>
      <c r="D3147" s="34" t="s">
        <v>780</v>
      </c>
      <c r="E3147" s="34" t="s">
        <v>7417</v>
      </c>
      <c r="F3147" s="34" t="s">
        <v>7418</v>
      </c>
      <c r="G3147" s="34">
        <v>44109.0</v>
      </c>
      <c r="H3147" s="34" t="s">
        <v>779</v>
      </c>
      <c r="I3147" s="34" t="s">
        <v>18</v>
      </c>
      <c r="J3147" s="34" t="s">
        <v>14</v>
      </c>
      <c r="K3147" s="45">
        <v>127.3</v>
      </c>
      <c r="L3147" s="45">
        <v>82.7</v>
      </c>
      <c r="M3147" s="45">
        <v>110.0</v>
      </c>
    </row>
    <row r="3148">
      <c r="A3148" s="34" t="s">
        <v>70</v>
      </c>
      <c r="B3148" s="34" t="s">
        <v>779</v>
      </c>
      <c r="C3148" s="34">
        <v>44.0</v>
      </c>
      <c r="D3148" s="34" t="s">
        <v>780</v>
      </c>
      <c r="E3148" s="34" t="s">
        <v>7419</v>
      </c>
      <c r="F3148" s="34" t="s">
        <v>7420</v>
      </c>
      <c r="G3148" s="34">
        <v>44109.0</v>
      </c>
      <c r="H3148" s="34" t="s">
        <v>779</v>
      </c>
      <c r="I3148" s="34" t="s">
        <v>18</v>
      </c>
      <c r="J3148" s="34" t="s">
        <v>13</v>
      </c>
      <c r="K3148" s="9"/>
      <c r="L3148" s="45">
        <v>83.9</v>
      </c>
      <c r="M3148" s="45">
        <v>83.9</v>
      </c>
    </row>
    <row r="3149">
      <c r="A3149" s="34" t="s">
        <v>70</v>
      </c>
      <c r="B3149" s="34" t="s">
        <v>779</v>
      </c>
      <c r="C3149" s="34">
        <v>44.0</v>
      </c>
      <c r="D3149" s="34" t="s">
        <v>780</v>
      </c>
      <c r="E3149" s="34" t="s">
        <v>7421</v>
      </c>
      <c r="F3149" s="34" t="s">
        <v>4185</v>
      </c>
      <c r="G3149" s="34">
        <v>44195.0</v>
      </c>
      <c r="H3149" s="34" t="s">
        <v>5982</v>
      </c>
      <c r="I3149" s="34" t="s">
        <v>18</v>
      </c>
      <c r="J3149" s="34" t="s">
        <v>15</v>
      </c>
      <c r="K3149" s="45">
        <v>119.0</v>
      </c>
      <c r="L3149" s="9"/>
      <c r="M3149" s="45">
        <v>119.0</v>
      </c>
    </row>
    <row r="3150">
      <c r="A3150" s="34" t="s">
        <v>70</v>
      </c>
      <c r="B3150" s="34" t="s">
        <v>779</v>
      </c>
      <c r="C3150" s="34">
        <v>44.0</v>
      </c>
      <c r="D3150" s="34" t="s">
        <v>780</v>
      </c>
      <c r="E3150" s="34" t="s">
        <v>7422</v>
      </c>
      <c r="F3150" s="34" t="s">
        <v>7423</v>
      </c>
      <c r="G3150" s="34">
        <v>44109.0</v>
      </c>
      <c r="H3150" s="34" t="s">
        <v>779</v>
      </c>
      <c r="I3150" s="34" t="s">
        <v>18</v>
      </c>
      <c r="J3150" s="34" t="s">
        <v>15</v>
      </c>
      <c r="K3150" s="45">
        <v>118.6</v>
      </c>
      <c r="L3150" s="9"/>
      <c r="M3150" s="45">
        <v>118.6</v>
      </c>
    </row>
    <row r="3151">
      <c r="A3151" s="34" t="s">
        <v>70</v>
      </c>
      <c r="B3151" s="34" t="s">
        <v>779</v>
      </c>
      <c r="C3151" s="34">
        <v>44.0</v>
      </c>
      <c r="D3151" s="34" t="s">
        <v>780</v>
      </c>
      <c r="E3151" s="34" t="s">
        <v>7424</v>
      </c>
      <c r="F3151" s="34" t="s">
        <v>7425</v>
      </c>
      <c r="G3151" s="34">
        <v>44109.0</v>
      </c>
      <c r="H3151" s="34" t="s">
        <v>779</v>
      </c>
      <c r="I3151" s="34" t="s">
        <v>17</v>
      </c>
      <c r="J3151" s="34" t="s">
        <v>15</v>
      </c>
      <c r="K3151" s="45">
        <v>130.8</v>
      </c>
      <c r="L3151" s="9"/>
      <c r="M3151" s="45">
        <v>130.8</v>
      </c>
    </row>
    <row r="3152">
      <c r="A3152" s="34" t="s">
        <v>70</v>
      </c>
      <c r="B3152" s="34" t="s">
        <v>779</v>
      </c>
      <c r="C3152" s="34">
        <v>44.0</v>
      </c>
      <c r="D3152" s="34" t="s">
        <v>780</v>
      </c>
      <c r="E3152" s="34" t="s">
        <v>7426</v>
      </c>
      <c r="F3152" s="34" t="s">
        <v>7427</v>
      </c>
      <c r="G3152" s="34">
        <v>44161.0</v>
      </c>
      <c r="H3152" s="34" t="s">
        <v>7428</v>
      </c>
      <c r="I3152" s="34" t="s">
        <v>17</v>
      </c>
      <c r="J3152" s="34" t="s">
        <v>15</v>
      </c>
      <c r="K3152" s="45">
        <v>110.5</v>
      </c>
      <c r="L3152" s="9"/>
      <c r="M3152" s="45">
        <v>110.5</v>
      </c>
    </row>
    <row r="3153">
      <c r="A3153" s="34" t="s">
        <v>70</v>
      </c>
      <c r="B3153" s="34" t="s">
        <v>779</v>
      </c>
      <c r="C3153" s="34">
        <v>44.0</v>
      </c>
      <c r="D3153" s="34" t="s">
        <v>780</v>
      </c>
      <c r="E3153" s="34" t="s">
        <v>7429</v>
      </c>
      <c r="F3153" s="34" t="s">
        <v>3550</v>
      </c>
      <c r="G3153" s="34">
        <v>44184.0</v>
      </c>
      <c r="H3153" s="34" t="s">
        <v>801</v>
      </c>
      <c r="I3153" s="34" t="s">
        <v>17</v>
      </c>
      <c r="J3153" s="34" t="s">
        <v>15</v>
      </c>
      <c r="K3153" s="45">
        <v>132.5</v>
      </c>
      <c r="L3153" s="9"/>
      <c r="M3153" s="45">
        <v>132.5</v>
      </c>
    </row>
    <row r="3154">
      <c r="A3154" s="34" t="s">
        <v>70</v>
      </c>
      <c r="B3154" s="34" t="s">
        <v>779</v>
      </c>
      <c r="C3154" s="34">
        <v>44.0</v>
      </c>
      <c r="D3154" s="34" t="s">
        <v>780</v>
      </c>
      <c r="E3154" s="34" t="s">
        <v>7430</v>
      </c>
      <c r="F3154" s="34" t="s">
        <v>7431</v>
      </c>
      <c r="G3154" s="34">
        <v>44184.0</v>
      </c>
      <c r="H3154" s="34" t="s">
        <v>801</v>
      </c>
      <c r="I3154" s="34" t="s">
        <v>17</v>
      </c>
      <c r="J3154" s="34" t="s">
        <v>15</v>
      </c>
      <c r="K3154" s="45">
        <v>126.0</v>
      </c>
      <c r="L3154" s="9"/>
      <c r="M3154" s="45">
        <v>126.0</v>
      </c>
    </row>
    <row r="3155">
      <c r="A3155" s="34" t="s">
        <v>70</v>
      </c>
      <c r="B3155" s="34" t="s">
        <v>779</v>
      </c>
      <c r="C3155" s="34">
        <v>44.0</v>
      </c>
      <c r="D3155" s="34" t="s">
        <v>780</v>
      </c>
      <c r="E3155" s="34" t="s">
        <v>7432</v>
      </c>
      <c r="F3155" s="34" t="s">
        <v>4183</v>
      </c>
      <c r="G3155" s="34">
        <v>44143.0</v>
      </c>
      <c r="H3155" s="34" t="s">
        <v>2711</v>
      </c>
      <c r="I3155" s="34" t="s">
        <v>17</v>
      </c>
      <c r="J3155" s="34" t="s">
        <v>14</v>
      </c>
      <c r="K3155" s="45">
        <v>124.8</v>
      </c>
      <c r="L3155" s="45">
        <v>99.2</v>
      </c>
      <c r="M3155" s="45">
        <v>117.5</v>
      </c>
    </row>
    <row r="3156">
      <c r="A3156" s="34" t="s">
        <v>70</v>
      </c>
      <c r="B3156" s="34" t="s">
        <v>779</v>
      </c>
      <c r="C3156" s="34">
        <v>44.0</v>
      </c>
      <c r="D3156" s="34" t="s">
        <v>780</v>
      </c>
      <c r="E3156" s="34" t="s">
        <v>7433</v>
      </c>
      <c r="F3156" s="34" t="s">
        <v>6109</v>
      </c>
      <c r="G3156" s="34">
        <v>44087.0</v>
      </c>
      <c r="H3156" s="34" t="s">
        <v>792</v>
      </c>
      <c r="I3156" s="34" t="s">
        <v>18</v>
      </c>
      <c r="J3156" s="34" t="s">
        <v>13</v>
      </c>
      <c r="K3156" s="9"/>
      <c r="L3156" s="45">
        <v>89.0</v>
      </c>
      <c r="M3156" s="45">
        <v>89.0</v>
      </c>
    </row>
    <row r="3157">
      <c r="A3157" s="34" t="s">
        <v>70</v>
      </c>
      <c r="B3157" s="34" t="s">
        <v>779</v>
      </c>
      <c r="C3157" s="34">
        <v>44.0</v>
      </c>
      <c r="D3157" s="34" t="s">
        <v>780</v>
      </c>
      <c r="E3157" s="34" t="s">
        <v>7434</v>
      </c>
      <c r="F3157" s="34" t="s">
        <v>7435</v>
      </c>
      <c r="G3157" s="34">
        <v>44109.0</v>
      </c>
      <c r="H3157" s="34" t="s">
        <v>779</v>
      </c>
      <c r="I3157" s="34" t="s">
        <v>17</v>
      </c>
      <c r="J3157" s="34" t="s">
        <v>15</v>
      </c>
      <c r="K3157" s="45">
        <v>130.8</v>
      </c>
      <c r="L3157" s="9"/>
      <c r="M3157" s="45">
        <v>130.8</v>
      </c>
    </row>
    <row r="3158">
      <c r="A3158" s="34" t="s">
        <v>70</v>
      </c>
      <c r="B3158" s="34" t="s">
        <v>779</v>
      </c>
      <c r="C3158" s="34">
        <v>44.0</v>
      </c>
      <c r="D3158" s="34" t="s">
        <v>780</v>
      </c>
      <c r="E3158" s="34" t="s">
        <v>7436</v>
      </c>
      <c r="F3158" s="34" t="s">
        <v>7437</v>
      </c>
      <c r="G3158" s="34">
        <v>44035.0</v>
      </c>
      <c r="H3158" s="34" t="s">
        <v>7438</v>
      </c>
      <c r="I3158" s="34" t="s">
        <v>17</v>
      </c>
      <c r="J3158" s="34" t="s">
        <v>14</v>
      </c>
      <c r="K3158" s="45">
        <v>127.9</v>
      </c>
      <c r="L3158" s="45">
        <v>87.0</v>
      </c>
      <c r="M3158" s="45">
        <v>122.9</v>
      </c>
    </row>
    <row r="3159">
      <c r="A3159" s="34" t="s">
        <v>70</v>
      </c>
      <c r="B3159" s="34" t="s">
        <v>779</v>
      </c>
      <c r="C3159" s="34">
        <v>44.0</v>
      </c>
      <c r="D3159" s="34" t="s">
        <v>780</v>
      </c>
      <c r="E3159" s="34" t="s">
        <v>7439</v>
      </c>
      <c r="F3159" s="34" t="s">
        <v>7440</v>
      </c>
      <c r="G3159" s="34">
        <v>44018.0</v>
      </c>
      <c r="H3159" s="34" t="s">
        <v>7441</v>
      </c>
      <c r="I3159" s="34" t="s">
        <v>18</v>
      </c>
      <c r="J3159" s="34" t="s">
        <v>15</v>
      </c>
      <c r="K3159" s="45">
        <v>127.5</v>
      </c>
      <c r="L3159" s="9"/>
      <c r="M3159" s="45">
        <v>127.5</v>
      </c>
    </row>
    <row r="3160">
      <c r="A3160" s="34" t="s">
        <v>70</v>
      </c>
      <c r="B3160" s="34" t="s">
        <v>313</v>
      </c>
      <c r="C3160" s="34">
        <v>45.0</v>
      </c>
      <c r="D3160" s="34" t="s">
        <v>821</v>
      </c>
      <c r="E3160" s="34" t="s">
        <v>7442</v>
      </c>
      <c r="F3160" s="34" t="s">
        <v>944</v>
      </c>
      <c r="G3160" s="34">
        <v>45234.0</v>
      </c>
      <c r="H3160" s="34" t="s">
        <v>830</v>
      </c>
      <c r="I3160" s="34" t="s">
        <v>18</v>
      </c>
      <c r="J3160" s="34" t="s">
        <v>14</v>
      </c>
      <c r="K3160" s="45">
        <v>111.7</v>
      </c>
      <c r="L3160" s="45">
        <v>80.8</v>
      </c>
      <c r="M3160" s="45">
        <v>107.8</v>
      </c>
    </row>
    <row r="3161">
      <c r="A3161" s="34" t="s">
        <v>70</v>
      </c>
      <c r="B3161" s="34" t="s">
        <v>313</v>
      </c>
      <c r="C3161" s="34">
        <v>45.0</v>
      </c>
      <c r="D3161" s="34" t="s">
        <v>821</v>
      </c>
      <c r="E3161" s="34" t="s">
        <v>7443</v>
      </c>
      <c r="F3161" s="34" t="s">
        <v>7444</v>
      </c>
      <c r="G3161" s="34">
        <v>45155.0</v>
      </c>
      <c r="H3161" s="34" t="s">
        <v>824</v>
      </c>
      <c r="I3161" s="34" t="s">
        <v>18</v>
      </c>
      <c r="J3161" s="34" t="s">
        <v>13</v>
      </c>
      <c r="K3161" s="9"/>
      <c r="L3161" s="45">
        <v>82.4</v>
      </c>
      <c r="M3161" s="45">
        <v>82.4</v>
      </c>
    </row>
    <row r="3162">
      <c r="A3162" s="34" t="s">
        <v>70</v>
      </c>
      <c r="B3162" s="34" t="s">
        <v>313</v>
      </c>
      <c r="C3162" s="34">
        <v>45.0</v>
      </c>
      <c r="D3162" s="34" t="s">
        <v>821</v>
      </c>
      <c r="E3162" s="34" t="s">
        <v>7445</v>
      </c>
      <c r="F3162" s="34" t="s">
        <v>7446</v>
      </c>
      <c r="G3162" s="34">
        <v>45234.0</v>
      </c>
      <c r="H3162" s="34" t="s">
        <v>830</v>
      </c>
      <c r="I3162" s="34" t="s">
        <v>17</v>
      </c>
      <c r="J3162" s="34" t="s">
        <v>13</v>
      </c>
      <c r="K3162" s="9"/>
      <c r="L3162" s="45">
        <v>96.3</v>
      </c>
      <c r="M3162" s="45">
        <v>96.3</v>
      </c>
    </row>
    <row r="3163">
      <c r="A3163" s="34" t="s">
        <v>70</v>
      </c>
      <c r="B3163" s="34" t="s">
        <v>182</v>
      </c>
      <c r="C3163" s="34">
        <v>46.0</v>
      </c>
      <c r="D3163" s="34" t="s">
        <v>838</v>
      </c>
      <c r="E3163" s="34" t="s">
        <v>7447</v>
      </c>
      <c r="F3163" s="34" t="s">
        <v>7448</v>
      </c>
      <c r="G3163" s="34">
        <v>46042.0</v>
      </c>
      <c r="H3163" s="34" t="s">
        <v>2748</v>
      </c>
      <c r="I3163" s="34" t="s">
        <v>17</v>
      </c>
      <c r="J3163" s="34" t="s">
        <v>15</v>
      </c>
      <c r="K3163" s="45">
        <v>116.9</v>
      </c>
      <c r="L3163" s="9"/>
      <c r="M3163" s="45">
        <v>116.9</v>
      </c>
    </row>
    <row r="3164">
      <c r="A3164" s="34" t="s">
        <v>70</v>
      </c>
      <c r="B3164" s="34" t="s">
        <v>182</v>
      </c>
      <c r="C3164" s="34">
        <v>46.0</v>
      </c>
      <c r="D3164" s="34" t="s">
        <v>838</v>
      </c>
      <c r="E3164" s="34" t="s">
        <v>7449</v>
      </c>
      <c r="F3164" s="34" t="s">
        <v>7450</v>
      </c>
      <c r="G3164" s="34">
        <v>46042.0</v>
      </c>
      <c r="H3164" s="34" t="s">
        <v>2748</v>
      </c>
      <c r="I3164" s="34" t="s">
        <v>18</v>
      </c>
      <c r="J3164" s="34" t="s">
        <v>14</v>
      </c>
      <c r="K3164" s="45">
        <v>116.9</v>
      </c>
      <c r="L3164" s="45">
        <v>87.9</v>
      </c>
      <c r="M3164" s="45">
        <v>108.5</v>
      </c>
    </row>
    <row r="3165">
      <c r="A3165" s="34" t="s">
        <v>70</v>
      </c>
      <c r="B3165" s="34" t="s">
        <v>377</v>
      </c>
      <c r="C3165" s="34">
        <v>47.0</v>
      </c>
      <c r="D3165" s="34" t="s">
        <v>849</v>
      </c>
      <c r="E3165" s="34" t="s">
        <v>7451</v>
      </c>
      <c r="F3165" s="34" t="s">
        <v>7452</v>
      </c>
      <c r="G3165" s="34">
        <v>47065.0</v>
      </c>
      <c r="H3165" s="34" t="s">
        <v>7453</v>
      </c>
      <c r="I3165" s="34" t="s">
        <v>18</v>
      </c>
      <c r="J3165" s="34" t="s">
        <v>13</v>
      </c>
      <c r="K3165" s="9"/>
      <c r="L3165" s="45">
        <v>94.2</v>
      </c>
      <c r="M3165" s="45">
        <v>94.2</v>
      </c>
    </row>
    <row r="3166">
      <c r="A3166" s="34" t="s">
        <v>70</v>
      </c>
      <c r="B3166" s="34" t="s">
        <v>377</v>
      </c>
      <c r="C3166" s="34">
        <v>47.0</v>
      </c>
      <c r="D3166" s="34" t="s">
        <v>849</v>
      </c>
      <c r="E3166" s="34" t="s">
        <v>7454</v>
      </c>
      <c r="F3166" s="34" t="s">
        <v>91</v>
      </c>
      <c r="G3166" s="34">
        <v>47100.0</v>
      </c>
      <c r="H3166" s="34" t="s">
        <v>7455</v>
      </c>
      <c r="I3166" s="34" t="s">
        <v>18</v>
      </c>
      <c r="J3166" s="34" t="s">
        <v>13</v>
      </c>
      <c r="K3166" s="9"/>
      <c r="L3166" s="45">
        <v>88.5</v>
      </c>
      <c r="M3166" s="45">
        <v>88.5</v>
      </c>
    </row>
    <row r="3167">
      <c r="A3167" s="34" t="s">
        <v>70</v>
      </c>
      <c r="B3167" s="34" t="s">
        <v>483</v>
      </c>
      <c r="C3167" s="34">
        <v>48.0</v>
      </c>
      <c r="D3167" s="34" t="s">
        <v>2761</v>
      </c>
      <c r="E3167" s="34" t="s">
        <v>7456</v>
      </c>
      <c r="F3167" s="34" t="s">
        <v>7457</v>
      </c>
      <c r="G3167" s="34">
        <v>48095.0</v>
      </c>
      <c r="H3167" s="34" t="s">
        <v>2764</v>
      </c>
      <c r="I3167" s="34" t="s">
        <v>18</v>
      </c>
      <c r="J3167" s="34" t="s">
        <v>15</v>
      </c>
      <c r="K3167" s="45">
        <v>117.5</v>
      </c>
      <c r="L3167" s="9"/>
      <c r="M3167" s="45">
        <v>117.5</v>
      </c>
    </row>
    <row r="3168">
      <c r="A3168" s="34" t="s">
        <v>70</v>
      </c>
      <c r="B3168" s="34" t="s">
        <v>483</v>
      </c>
      <c r="C3168" s="34">
        <v>48.0</v>
      </c>
      <c r="D3168" s="34" t="s">
        <v>2761</v>
      </c>
      <c r="E3168" s="34" t="s">
        <v>7458</v>
      </c>
      <c r="F3168" s="34" t="s">
        <v>7459</v>
      </c>
      <c r="G3168" s="34">
        <v>48092.0</v>
      </c>
      <c r="H3168" s="34" t="s">
        <v>7460</v>
      </c>
      <c r="I3168" s="34" t="s">
        <v>17</v>
      </c>
      <c r="J3168" s="34" t="s">
        <v>14</v>
      </c>
      <c r="K3168" s="45">
        <v>109.7</v>
      </c>
      <c r="L3168" s="45">
        <v>93.9</v>
      </c>
      <c r="M3168" s="45">
        <v>103.4</v>
      </c>
    </row>
    <row r="3169">
      <c r="A3169" s="34" t="s">
        <v>70</v>
      </c>
      <c r="B3169" s="34" t="s">
        <v>483</v>
      </c>
      <c r="C3169" s="34">
        <v>48.0</v>
      </c>
      <c r="D3169" s="34" t="s">
        <v>2761</v>
      </c>
      <c r="E3169" s="34" t="s">
        <v>7461</v>
      </c>
      <c r="F3169" s="34" t="s">
        <v>7462</v>
      </c>
      <c r="G3169" s="34">
        <v>48140.0</v>
      </c>
      <c r="H3169" s="34" t="s">
        <v>7463</v>
      </c>
      <c r="I3169" s="34" t="s">
        <v>17</v>
      </c>
      <c r="J3169" s="34" t="s">
        <v>14</v>
      </c>
      <c r="K3169" s="45">
        <v>112.3</v>
      </c>
      <c r="L3169" s="45">
        <v>102.1</v>
      </c>
      <c r="M3169" s="45">
        <v>105.3</v>
      </c>
    </row>
    <row r="3170">
      <c r="A3170" s="34" t="s">
        <v>70</v>
      </c>
      <c r="B3170" s="34" t="s">
        <v>483</v>
      </c>
      <c r="C3170" s="34">
        <v>48.0</v>
      </c>
      <c r="D3170" s="34" t="s">
        <v>2761</v>
      </c>
      <c r="E3170" s="34" t="s">
        <v>7464</v>
      </c>
      <c r="F3170" s="34" t="s">
        <v>7465</v>
      </c>
      <c r="G3170" s="34">
        <v>48140.0</v>
      </c>
      <c r="H3170" s="34" t="s">
        <v>7463</v>
      </c>
      <c r="I3170" s="34" t="s">
        <v>18</v>
      </c>
      <c r="J3170" s="34" t="s">
        <v>14</v>
      </c>
      <c r="K3170" s="45">
        <v>118.1</v>
      </c>
      <c r="L3170" s="45">
        <v>93.4</v>
      </c>
      <c r="M3170" s="45">
        <v>112.3</v>
      </c>
    </row>
    <row r="3171">
      <c r="A3171" s="34" t="s">
        <v>70</v>
      </c>
      <c r="B3171" s="34" t="s">
        <v>779</v>
      </c>
      <c r="C3171" s="34">
        <v>49.0</v>
      </c>
      <c r="D3171" s="34" t="s">
        <v>856</v>
      </c>
      <c r="E3171" s="34" t="s">
        <v>7466</v>
      </c>
      <c r="F3171" s="34" t="s">
        <v>7467</v>
      </c>
      <c r="G3171" s="34">
        <v>49328.0</v>
      </c>
      <c r="H3171" s="34" t="s">
        <v>870</v>
      </c>
      <c r="I3171" s="34" t="s">
        <v>18</v>
      </c>
      <c r="J3171" s="34" t="s">
        <v>15</v>
      </c>
      <c r="K3171" s="45">
        <v>109.3</v>
      </c>
      <c r="L3171" s="9"/>
      <c r="M3171" s="45">
        <v>109.3</v>
      </c>
    </row>
    <row r="3172">
      <c r="A3172" s="34" t="s">
        <v>70</v>
      </c>
      <c r="B3172" s="34" t="s">
        <v>779</v>
      </c>
      <c r="C3172" s="34">
        <v>49.0</v>
      </c>
      <c r="D3172" s="34" t="s">
        <v>856</v>
      </c>
      <c r="E3172" s="34" t="s">
        <v>7468</v>
      </c>
      <c r="F3172" s="34" t="s">
        <v>7469</v>
      </c>
      <c r="G3172" s="34">
        <v>49007.0</v>
      </c>
      <c r="H3172" s="34" t="s">
        <v>859</v>
      </c>
      <c r="I3172" s="34" t="s">
        <v>17</v>
      </c>
      <c r="J3172" s="34" t="s">
        <v>15</v>
      </c>
      <c r="K3172" s="45">
        <v>138.3</v>
      </c>
      <c r="L3172" s="9"/>
      <c r="M3172" s="45">
        <v>138.3</v>
      </c>
    </row>
    <row r="3173">
      <c r="A3173" s="34" t="s">
        <v>70</v>
      </c>
      <c r="B3173" s="34" t="s">
        <v>779</v>
      </c>
      <c r="C3173" s="34">
        <v>49.0</v>
      </c>
      <c r="D3173" s="34" t="s">
        <v>856</v>
      </c>
      <c r="E3173" s="34" t="s">
        <v>7470</v>
      </c>
      <c r="F3173" s="34" t="s">
        <v>7471</v>
      </c>
      <c r="G3173" s="34">
        <v>49331.0</v>
      </c>
      <c r="H3173" s="34" t="s">
        <v>4554</v>
      </c>
      <c r="I3173" s="34" t="s">
        <v>17</v>
      </c>
      <c r="J3173" s="34" t="s">
        <v>15</v>
      </c>
      <c r="K3173" s="45">
        <v>139.4</v>
      </c>
      <c r="L3173" s="9"/>
      <c r="M3173" s="45">
        <v>139.4</v>
      </c>
    </row>
    <row r="3174">
      <c r="A3174" s="34" t="s">
        <v>70</v>
      </c>
      <c r="B3174" s="34" t="s">
        <v>779</v>
      </c>
      <c r="C3174" s="34">
        <v>49.0</v>
      </c>
      <c r="D3174" s="34" t="s">
        <v>856</v>
      </c>
      <c r="E3174" s="34" t="s">
        <v>7472</v>
      </c>
      <c r="F3174" s="34" t="s">
        <v>7473</v>
      </c>
      <c r="G3174" s="34">
        <v>49099.0</v>
      </c>
      <c r="H3174" s="34" t="s">
        <v>867</v>
      </c>
      <c r="I3174" s="34" t="s">
        <v>17</v>
      </c>
      <c r="J3174" s="34" t="s">
        <v>14</v>
      </c>
      <c r="K3174" s="45">
        <v>110.4</v>
      </c>
      <c r="L3174" s="45">
        <v>98.6</v>
      </c>
      <c r="M3174" s="45">
        <v>104.2</v>
      </c>
    </row>
    <row r="3175">
      <c r="A3175" s="34" t="s">
        <v>70</v>
      </c>
      <c r="B3175" s="34" t="s">
        <v>779</v>
      </c>
      <c r="C3175" s="34">
        <v>49.0</v>
      </c>
      <c r="D3175" s="34" t="s">
        <v>856</v>
      </c>
      <c r="E3175" s="34" t="s">
        <v>7474</v>
      </c>
      <c r="F3175" s="34" t="s">
        <v>7475</v>
      </c>
      <c r="G3175" s="34">
        <v>49092.0</v>
      </c>
      <c r="H3175" s="34" t="s">
        <v>2771</v>
      </c>
      <c r="I3175" s="34" t="s">
        <v>18</v>
      </c>
      <c r="J3175" s="34" t="s">
        <v>14</v>
      </c>
      <c r="K3175" s="45">
        <v>107.8</v>
      </c>
      <c r="L3175" s="45">
        <v>84.3</v>
      </c>
      <c r="M3175" s="45">
        <v>87.0</v>
      </c>
    </row>
    <row r="3176">
      <c r="A3176" s="34" t="s">
        <v>70</v>
      </c>
      <c r="B3176" s="34" t="s">
        <v>779</v>
      </c>
      <c r="C3176" s="34">
        <v>49.0</v>
      </c>
      <c r="D3176" s="34" t="s">
        <v>856</v>
      </c>
      <c r="E3176" s="34" t="s">
        <v>7476</v>
      </c>
      <c r="F3176" s="34" t="s">
        <v>7477</v>
      </c>
      <c r="G3176" s="34">
        <v>49023.0</v>
      </c>
      <c r="H3176" s="34" t="s">
        <v>4551</v>
      </c>
      <c r="I3176" s="34" t="s">
        <v>18</v>
      </c>
      <c r="J3176" s="34" t="s">
        <v>14</v>
      </c>
      <c r="K3176" s="45">
        <v>106.3</v>
      </c>
      <c r="L3176" s="45">
        <v>90.2</v>
      </c>
      <c r="M3176" s="45">
        <v>103.8</v>
      </c>
    </row>
    <row r="3177">
      <c r="A3177" s="34" t="s">
        <v>70</v>
      </c>
      <c r="B3177" s="34" t="s">
        <v>269</v>
      </c>
      <c r="C3177" s="34">
        <v>50.0</v>
      </c>
      <c r="D3177" s="34" t="s">
        <v>881</v>
      </c>
      <c r="E3177" s="34" t="s">
        <v>7478</v>
      </c>
      <c r="F3177" s="34" t="s">
        <v>7479</v>
      </c>
      <c r="G3177" s="34">
        <v>50129.0</v>
      </c>
      <c r="H3177" s="34" t="s">
        <v>884</v>
      </c>
      <c r="I3177" s="34" t="s">
        <v>18</v>
      </c>
      <c r="J3177" s="34" t="s">
        <v>14</v>
      </c>
      <c r="K3177" s="45">
        <v>111.1</v>
      </c>
      <c r="L3177" s="45">
        <v>88.2</v>
      </c>
      <c r="M3177" s="45">
        <v>102.3</v>
      </c>
    </row>
    <row r="3178">
      <c r="A3178" s="34" t="s">
        <v>70</v>
      </c>
      <c r="B3178" s="34" t="s">
        <v>269</v>
      </c>
      <c r="C3178" s="34">
        <v>50.0</v>
      </c>
      <c r="D3178" s="34" t="s">
        <v>881</v>
      </c>
      <c r="E3178" s="34" t="s">
        <v>7480</v>
      </c>
      <c r="F3178" s="34" t="s">
        <v>7481</v>
      </c>
      <c r="G3178" s="34">
        <v>50615.0</v>
      </c>
      <c r="H3178" s="34" t="s">
        <v>7482</v>
      </c>
      <c r="I3178" s="34" t="s">
        <v>18</v>
      </c>
      <c r="J3178" s="34" t="s">
        <v>15</v>
      </c>
      <c r="K3178" s="45">
        <v>111.0</v>
      </c>
      <c r="L3178" s="9"/>
      <c r="M3178" s="45">
        <v>111.0</v>
      </c>
    </row>
    <row r="3179">
      <c r="A3179" s="34" t="s">
        <v>70</v>
      </c>
      <c r="B3179" s="34" t="s">
        <v>269</v>
      </c>
      <c r="C3179" s="34">
        <v>50.0</v>
      </c>
      <c r="D3179" s="34" t="s">
        <v>881</v>
      </c>
      <c r="E3179" s="34" t="s">
        <v>7483</v>
      </c>
      <c r="F3179" s="34" t="s">
        <v>7484</v>
      </c>
      <c r="G3179" s="34">
        <v>50218.0</v>
      </c>
      <c r="H3179" s="34" t="s">
        <v>893</v>
      </c>
      <c r="I3179" s="34" t="s">
        <v>18</v>
      </c>
      <c r="J3179" s="34" t="s">
        <v>14</v>
      </c>
      <c r="K3179" s="45">
        <v>110.0</v>
      </c>
      <c r="L3179" s="45">
        <v>91.1</v>
      </c>
      <c r="M3179" s="45">
        <v>95.5</v>
      </c>
    </row>
    <row r="3180">
      <c r="A3180" s="34" t="s">
        <v>70</v>
      </c>
      <c r="B3180" s="34" t="s">
        <v>269</v>
      </c>
      <c r="C3180" s="34">
        <v>50.0</v>
      </c>
      <c r="D3180" s="34" t="s">
        <v>881</v>
      </c>
      <c r="E3180" s="34" t="s">
        <v>7485</v>
      </c>
      <c r="F3180" s="34" t="s">
        <v>7486</v>
      </c>
      <c r="G3180" s="34">
        <v>50147.0</v>
      </c>
      <c r="H3180" s="34" t="s">
        <v>890</v>
      </c>
      <c r="I3180" s="34" t="s">
        <v>18</v>
      </c>
      <c r="J3180" s="34" t="s">
        <v>13</v>
      </c>
      <c r="K3180" s="9"/>
      <c r="L3180" s="45">
        <v>87.1</v>
      </c>
      <c r="M3180" s="45">
        <v>87.1</v>
      </c>
    </row>
    <row r="3181">
      <c r="A3181" s="34" t="s">
        <v>70</v>
      </c>
      <c r="B3181" s="34" t="s">
        <v>169</v>
      </c>
      <c r="C3181" s="34">
        <v>51.0</v>
      </c>
      <c r="D3181" s="34" t="s">
        <v>904</v>
      </c>
      <c r="E3181" s="34" t="s">
        <v>7487</v>
      </c>
      <c r="F3181" s="34" t="s">
        <v>7488</v>
      </c>
      <c r="G3181" s="34">
        <v>51108.0</v>
      </c>
      <c r="H3181" s="34" t="s">
        <v>2793</v>
      </c>
      <c r="I3181" s="34" t="s">
        <v>18</v>
      </c>
      <c r="J3181" s="34" t="s">
        <v>14</v>
      </c>
      <c r="K3181" s="45">
        <v>108.9</v>
      </c>
      <c r="L3181" s="45">
        <v>83.8</v>
      </c>
      <c r="M3181" s="45">
        <v>95.3</v>
      </c>
    </row>
    <row r="3182">
      <c r="A3182" s="34" t="s">
        <v>70</v>
      </c>
      <c r="B3182" s="34" t="s">
        <v>169</v>
      </c>
      <c r="C3182" s="34">
        <v>51.0</v>
      </c>
      <c r="D3182" s="34" t="s">
        <v>904</v>
      </c>
      <c r="E3182" s="34" t="s">
        <v>7489</v>
      </c>
      <c r="F3182" s="34" t="s">
        <v>7490</v>
      </c>
      <c r="G3182" s="34">
        <v>51454.0</v>
      </c>
      <c r="H3182" s="34" t="s">
        <v>169</v>
      </c>
      <c r="I3182" s="34" t="s">
        <v>18</v>
      </c>
      <c r="J3182" s="34" t="s">
        <v>15</v>
      </c>
      <c r="K3182" s="45">
        <v>112.4</v>
      </c>
      <c r="L3182" s="9"/>
      <c r="M3182" s="45">
        <v>112.4</v>
      </c>
    </row>
    <row r="3183">
      <c r="A3183" s="34" t="s">
        <v>70</v>
      </c>
      <c r="B3183" s="34" t="s">
        <v>169</v>
      </c>
      <c r="C3183" s="34">
        <v>51.0</v>
      </c>
      <c r="D3183" s="34" t="s">
        <v>904</v>
      </c>
      <c r="E3183" s="34" t="s">
        <v>7491</v>
      </c>
      <c r="F3183" s="34" t="s">
        <v>7492</v>
      </c>
      <c r="G3183" s="34">
        <v>51454.0</v>
      </c>
      <c r="H3183" s="34" t="s">
        <v>169</v>
      </c>
      <c r="I3183" s="34" t="s">
        <v>17</v>
      </c>
      <c r="J3183" s="34" t="s">
        <v>14</v>
      </c>
      <c r="K3183" s="45">
        <v>120.5</v>
      </c>
      <c r="L3183" s="45">
        <v>110.1</v>
      </c>
      <c r="M3183" s="45">
        <v>113.5</v>
      </c>
    </row>
    <row r="3184">
      <c r="A3184" s="34" t="s">
        <v>70</v>
      </c>
      <c r="B3184" s="34" t="s">
        <v>169</v>
      </c>
      <c r="C3184" s="34">
        <v>51.0</v>
      </c>
      <c r="D3184" s="34" t="s">
        <v>904</v>
      </c>
      <c r="E3184" s="34" t="s">
        <v>7493</v>
      </c>
      <c r="F3184" s="34" t="s">
        <v>7494</v>
      </c>
      <c r="G3184" s="34">
        <v>51108.0</v>
      </c>
      <c r="H3184" s="34" t="s">
        <v>2793</v>
      </c>
      <c r="I3184" s="34" t="s">
        <v>17</v>
      </c>
      <c r="J3184" s="34" t="s">
        <v>14</v>
      </c>
      <c r="K3184" s="45">
        <v>119.5</v>
      </c>
      <c r="L3184" s="45">
        <v>96.3</v>
      </c>
      <c r="M3184" s="45">
        <v>111.2</v>
      </c>
    </row>
    <row r="3185">
      <c r="A3185" s="34" t="s">
        <v>70</v>
      </c>
      <c r="B3185" s="34" t="s">
        <v>169</v>
      </c>
      <c r="C3185" s="34">
        <v>51.0</v>
      </c>
      <c r="D3185" s="34" t="s">
        <v>904</v>
      </c>
      <c r="E3185" s="34" t="s">
        <v>7495</v>
      </c>
      <c r="F3185" s="34" t="s">
        <v>7496</v>
      </c>
      <c r="G3185" s="34">
        <v>51454.0</v>
      </c>
      <c r="H3185" s="34" t="s">
        <v>169</v>
      </c>
      <c r="I3185" s="34" t="s">
        <v>17</v>
      </c>
      <c r="J3185" s="34" t="s">
        <v>13</v>
      </c>
      <c r="K3185" s="9"/>
      <c r="L3185" s="45">
        <v>106.8</v>
      </c>
      <c r="M3185" s="45">
        <v>106.8</v>
      </c>
    </row>
    <row r="3186">
      <c r="A3186" s="34" t="s">
        <v>70</v>
      </c>
      <c r="B3186" s="34" t="s">
        <v>169</v>
      </c>
      <c r="C3186" s="34">
        <v>51.0</v>
      </c>
      <c r="D3186" s="34" t="s">
        <v>904</v>
      </c>
      <c r="E3186" s="34" t="s">
        <v>7497</v>
      </c>
      <c r="F3186" s="34" t="s">
        <v>7498</v>
      </c>
      <c r="G3186" s="34">
        <v>51454.0</v>
      </c>
      <c r="H3186" s="34" t="s">
        <v>169</v>
      </c>
      <c r="I3186" s="34" t="s">
        <v>18</v>
      </c>
      <c r="J3186" s="34" t="s">
        <v>14</v>
      </c>
      <c r="K3186" s="45">
        <v>105.0</v>
      </c>
      <c r="L3186" s="45">
        <v>87.1</v>
      </c>
      <c r="M3186" s="45">
        <v>98.4</v>
      </c>
    </row>
    <row r="3187">
      <c r="A3187" s="34" t="s">
        <v>70</v>
      </c>
      <c r="B3187" s="34" t="s">
        <v>169</v>
      </c>
      <c r="C3187" s="34">
        <v>51.0</v>
      </c>
      <c r="D3187" s="34" t="s">
        <v>904</v>
      </c>
      <c r="E3187" s="34" t="s">
        <v>7499</v>
      </c>
      <c r="F3187" s="34" t="s">
        <v>7500</v>
      </c>
      <c r="G3187" s="34">
        <v>51454.0</v>
      </c>
      <c r="H3187" s="34" t="s">
        <v>169</v>
      </c>
      <c r="I3187" s="34" t="s">
        <v>18</v>
      </c>
      <c r="J3187" s="34" t="s">
        <v>15</v>
      </c>
      <c r="K3187" s="45">
        <v>123.6</v>
      </c>
      <c r="L3187" s="9"/>
      <c r="M3187" s="45">
        <v>123.6</v>
      </c>
    </row>
    <row r="3188">
      <c r="A3188" s="34" t="s">
        <v>70</v>
      </c>
      <c r="B3188" s="34" t="s">
        <v>169</v>
      </c>
      <c r="C3188" s="34">
        <v>51.0</v>
      </c>
      <c r="D3188" s="34" t="s">
        <v>904</v>
      </c>
      <c r="E3188" s="34" t="s">
        <v>7501</v>
      </c>
      <c r="F3188" s="34" t="s">
        <v>7502</v>
      </c>
      <c r="G3188" s="34">
        <v>51108.0</v>
      </c>
      <c r="H3188" s="34" t="s">
        <v>2793</v>
      </c>
      <c r="I3188" s="34" t="s">
        <v>18</v>
      </c>
      <c r="J3188" s="34" t="s">
        <v>14</v>
      </c>
      <c r="K3188" s="45">
        <v>98.4</v>
      </c>
      <c r="L3188" s="45">
        <v>79.5</v>
      </c>
      <c r="M3188" s="45">
        <v>90.3</v>
      </c>
    </row>
    <row r="3189">
      <c r="A3189" s="34" t="s">
        <v>70</v>
      </c>
      <c r="B3189" s="34" t="s">
        <v>169</v>
      </c>
      <c r="C3189" s="34">
        <v>52.0</v>
      </c>
      <c r="D3189" s="34" t="s">
        <v>923</v>
      </c>
      <c r="E3189" s="34" t="s">
        <v>7503</v>
      </c>
      <c r="F3189" s="34" t="s">
        <v>7504</v>
      </c>
      <c r="G3189" s="34">
        <v>52448.0</v>
      </c>
      <c r="H3189" s="34" t="s">
        <v>4580</v>
      </c>
      <c r="I3189" s="34" t="s">
        <v>18</v>
      </c>
      <c r="J3189" s="34" t="s">
        <v>15</v>
      </c>
      <c r="K3189" s="45">
        <v>92.9</v>
      </c>
      <c r="L3189" s="9"/>
      <c r="M3189" s="45">
        <v>92.9</v>
      </c>
    </row>
    <row r="3190">
      <c r="A3190" s="34" t="s">
        <v>70</v>
      </c>
      <c r="B3190" s="34" t="s">
        <v>169</v>
      </c>
      <c r="C3190" s="34">
        <v>52.0</v>
      </c>
      <c r="D3190" s="34" t="s">
        <v>923</v>
      </c>
      <c r="E3190" s="34" t="s">
        <v>7505</v>
      </c>
      <c r="F3190" s="34" t="s">
        <v>7506</v>
      </c>
      <c r="G3190" s="34">
        <v>52448.0</v>
      </c>
      <c r="H3190" s="34" t="s">
        <v>4580</v>
      </c>
      <c r="I3190" s="34" t="s">
        <v>17</v>
      </c>
      <c r="J3190" s="34" t="s">
        <v>13</v>
      </c>
      <c r="K3190" s="9"/>
      <c r="L3190" s="45">
        <v>90.4</v>
      </c>
      <c r="M3190" s="45">
        <v>90.4</v>
      </c>
    </row>
    <row r="3191">
      <c r="A3191" s="34" t="s">
        <v>70</v>
      </c>
      <c r="B3191" s="34" t="s">
        <v>169</v>
      </c>
      <c r="C3191" s="34">
        <v>52.0</v>
      </c>
      <c r="D3191" s="34" t="s">
        <v>923</v>
      </c>
      <c r="E3191" s="34" t="s">
        <v>7507</v>
      </c>
      <c r="F3191" s="34" t="s">
        <v>7508</v>
      </c>
      <c r="G3191" s="34">
        <v>52121.0</v>
      </c>
      <c r="H3191" s="34" t="s">
        <v>4587</v>
      </c>
      <c r="I3191" s="34" t="s">
        <v>18</v>
      </c>
      <c r="J3191" s="34" t="s">
        <v>14</v>
      </c>
      <c r="K3191" s="45">
        <v>115.1</v>
      </c>
      <c r="L3191" s="45">
        <v>88.8</v>
      </c>
      <c r="M3191" s="45">
        <v>113.2</v>
      </c>
    </row>
    <row r="3192">
      <c r="A3192" s="34" t="s">
        <v>70</v>
      </c>
      <c r="B3192" s="34" t="s">
        <v>779</v>
      </c>
      <c r="C3192" s="34">
        <v>53.0</v>
      </c>
      <c r="D3192" s="34" t="s">
        <v>927</v>
      </c>
      <c r="E3192" s="34" t="s">
        <v>7509</v>
      </c>
      <c r="F3192" s="34" t="s">
        <v>7510</v>
      </c>
      <c r="G3192" s="34">
        <v>53130.0</v>
      </c>
      <c r="H3192" s="34" t="s">
        <v>2808</v>
      </c>
      <c r="I3192" s="34" t="s">
        <v>18</v>
      </c>
      <c r="J3192" s="34" t="s">
        <v>15</v>
      </c>
      <c r="K3192" s="45">
        <v>114.3</v>
      </c>
      <c r="L3192" s="9"/>
      <c r="M3192" s="45">
        <v>114.3</v>
      </c>
    </row>
    <row r="3193">
      <c r="A3193" s="34" t="s">
        <v>70</v>
      </c>
      <c r="B3193" s="34" t="s">
        <v>779</v>
      </c>
      <c r="C3193" s="34">
        <v>53.0</v>
      </c>
      <c r="D3193" s="34" t="s">
        <v>927</v>
      </c>
      <c r="E3193" s="34" t="s">
        <v>7511</v>
      </c>
      <c r="F3193" s="34" t="s">
        <v>7512</v>
      </c>
      <c r="G3193" s="34">
        <v>53130.0</v>
      </c>
      <c r="H3193" s="34" t="s">
        <v>2808</v>
      </c>
      <c r="I3193" s="34" t="s">
        <v>17</v>
      </c>
      <c r="J3193" s="34" t="s">
        <v>14</v>
      </c>
      <c r="K3193" s="45">
        <v>108.4</v>
      </c>
      <c r="L3193" s="45">
        <v>98.8</v>
      </c>
      <c r="M3193" s="45">
        <v>102.9</v>
      </c>
    </row>
    <row r="3194">
      <c r="A3194" s="34" t="s">
        <v>70</v>
      </c>
      <c r="B3194" s="34" t="s">
        <v>930</v>
      </c>
      <c r="C3194" s="34">
        <v>54.0</v>
      </c>
      <c r="D3194" s="34" t="s">
        <v>931</v>
      </c>
      <c r="E3194" s="34" t="s">
        <v>7513</v>
      </c>
      <c r="F3194" s="34" t="s">
        <v>7514</v>
      </c>
      <c r="G3194" s="34">
        <v>54329.0</v>
      </c>
      <c r="H3194" s="34" t="s">
        <v>934</v>
      </c>
      <c r="I3194" s="34" t="s">
        <v>18</v>
      </c>
      <c r="J3194" s="34" t="s">
        <v>13</v>
      </c>
      <c r="K3194" s="9"/>
      <c r="L3194" s="45">
        <v>81.2</v>
      </c>
      <c r="M3194" s="45">
        <v>81.2</v>
      </c>
    </row>
    <row r="3195">
      <c r="A3195" s="34" t="s">
        <v>70</v>
      </c>
      <c r="B3195" s="34" t="s">
        <v>930</v>
      </c>
      <c r="C3195" s="34">
        <v>54.0</v>
      </c>
      <c r="D3195" s="34" t="s">
        <v>931</v>
      </c>
      <c r="E3195" s="34" t="s">
        <v>7515</v>
      </c>
      <c r="F3195" s="34" t="s">
        <v>7516</v>
      </c>
      <c r="G3195" s="34">
        <v>54395.0</v>
      </c>
      <c r="H3195" s="34" t="s">
        <v>937</v>
      </c>
      <c r="I3195" s="34" t="s">
        <v>18</v>
      </c>
      <c r="J3195" s="34" t="s">
        <v>15</v>
      </c>
      <c r="K3195" s="45">
        <v>117.5</v>
      </c>
      <c r="L3195" s="9"/>
      <c r="M3195" s="45">
        <v>117.5</v>
      </c>
    </row>
    <row r="3196">
      <c r="A3196" s="34" t="s">
        <v>70</v>
      </c>
      <c r="B3196" s="34" t="s">
        <v>930</v>
      </c>
      <c r="C3196" s="34">
        <v>54.0</v>
      </c>
      <c r="D3196" s="34" t="s">
        <v>931</v>
      </c>
      <c r="E3196" s="34" t="s">
        <v>7517</v>
      </c>
      <c r="F3196" s="34" t="s">
        <v>7518</v>
      </c>
      <c r="G3196" s="34">
        <v>54547.0</v>
      </c>
      <c r="H3196" s="34" t="s">
        <v>7519</v>
      </c>
      <c r="I3196" s="34" t="s">
        <v>18</v>
      </c>
      <c r="J3196" s="34" t="s">
        <v>15</v>
      </c>
      <c r="K3196" s="45">
        <v>112.6</v>
      </c>
      <c r="L3196" s="9"/>
      <c r="M3196" s="45">
        <v>112.6</v>
      </c>
    </row>
    <row r="3197">
      <c r="A3197" s="34" t="s">
        <v>70</v>
      </c>
      <c r="B3197" s="34" t="s">
        <v>930</v>
      </c>
      <c r="C3197" s="34">
        <v>54.0</v>
      </c>
      <c r="D3197" s="34" t="s">
        <v>931</v>
      </c>
      <c r="E3197" s="34" t="s">
        <v>7520</v>
      </c>
      <c r="F3197" s="34" t="s">
        <v>7521</v>
      </c>
      <c r="G3197" s="34">
        <v>54099.0</v>
      </c>
      <c r="H3197" s="34" t="s">
        <v>954</v>
      </c>
      <c r="I3197" s="34" t="s">
        <v>18</v>
      </c>
      <c r="J3197" s="34" t="s">
        <v>15</v>
      </c>
      <c r="K3197" s="45">
        <v>105.0</v>
      </c>
      <c r="L3197" s="9"/>
      <c r="M3197" s="45">
        <v>105.0</v>
      </c>
    </row>
    <row r="3198">
      <c r="A3198" s="34" t="s">
        <v>70</v>
      </c>
      <c r="B3198" s="34" t="s">
        <v>930</v>
      </c>
      <c r="C3198" s="34">
        <v>54.0</v>
      </c>
      <c r="D3198" s="34" t="s">
        <v>931</v>
      </c>
      <c r="E3198" s="34" t="s">
        <v>7522</v>
      </c>
      <c r="F3198" s="34" t="s">
        <v>7523</v>
      </c>
      <c r="G3198" s="34">
        <v>54395.0</v>
      </c>
      <c r="H3198" s="34" t="s">
        <v>937</v>
      </c>
      <c r="I3198" s="34" t="s">
        <v>17</v>
      </c>
      <c r="J3198" s="34" t="s">
        <v>13</v>
      </c>
      <c r="K3198" s="9"/>
      <c r="L3198" s="45">
        <v>93.2</v>
      </c>
      <c r="M3198" s="45">
        <v>93.2</v>
      </c>
    </row>
    <row r="3199">
      <c r="A3199" s="34" t="s">
        <v>70</v>
      </c>
      <c r="B3199" s="34" t="s">
        <v>930</v>
      </c>
      <c r="C3199" s="34">
        <v>54.0</v>
      </c>
      <c r="D3199" s="34" t="s">
        <v>931</v>
      </c>
      <c r="E3199" s="34" t="s">
        <v>7524</v>
      </c>
      <c r="F3199" s="34" t="s">
        <v>7525</v>
      </c>
      <c r="G3199" s="34">
        <v>54321.0</v>
      </c>
      <c r="H3199" s="34" t="s">
        <v>7526</v>
      </c>
      <c r="I3199" s="34" t="s">
        <v>18</v>
      </c>
      <c r="J3199" s="34" t="s">
        <v>13</v>
      </c>
      <c r="K3199" s="9"/>
      <c r="L3199" s="45">
        <v>73.3</v>
      </c>
      <c r="M3199" s="45">
        <v>73.3</v>
      </c>
    </row>
    <row r="3200">
      <c r="A3200" s="34" t="s">
        <v>70</v>
      </c>
      <c r="B3200" s="34" t="s">
        <v>930</v>
      </c>
      <c r="C3200" s="34">
        <v>54.0</v>
      </c>
      <c r="D3200" s="34" t="s">
        <v>931</v>
      </c>
      <c r="E3200" s="34" t="s">
        <v>7527</v>
      </c>
      <c r="F3200" s="34" t="s">
        <v>7528</v>
      </c>
      <c r="G3200" s="34">
        <v>54578.0</v>
      </c>
      <c r="H3200" s="34" t="s">
        <v>7529</v>
      </c>
      <c r="I3200" s="34" t="s">
        <v>18</v>
      </c>
      <c r="J3200" s="34" t="s">
        <v>14</v>
      </c>
      <c r="K3200" s="45">
        <v>115.6</v>
      </c>
      <c r="L3200" s="45">
        <v>98.2</v>
      </c>
      <c r="M3200" s="45">
        <v>110.8</v>
      </c>
    </row>
    <row r="3201">
      <c r="A3201" s="34" t="s">
        <v>70</v>
      </c>
      <c r="B3201" s="34" t="s">
        <v>930</v>
      </c>
      <c r="C3201" s="34">
        <v>54.0</v>
      </c>
      <c r="D3201" s="34" t="s">
        <v>931</v>
      </c>
      <c r="E3201" s="34" t="s">
        <v>7530</v>
      </c>
      <c r="F3201" s="34" t="s">
        <v>5004</v>
      </c>
      <c r="G3201" s="34">
        <v>54395.0</v>
      </c>
      <c r="H3201" s="34" t="s">
        <v>937</v>
      </c>
      <c r="I3201" s="34" t="s">
        <v>17</v>
      </c>
      <c r="J3201" s="34" t="s">
        <v>15</v>
      </c>
      <c r="K3201" s="45">
        <v>104.0</v>
      </c>
      <c r="L3201" s="9"/>
      <c r="M3201" s="45">
        <v>104.0</v>
      </c>
    </row>
    <row r="3202">
      <c r="A3202" s="34" t="s">
        <v>70</v>
      </c>
      <c r="B3202" s="34" t="s">
        <v>930</v>
      </c>
      <c r="C3202" s="34">
        <v>55.0</v>
      </c>
      <c r="D3202" s="34" t="s">
        <v>957</v>
      </c>
      <c r="E3202" s="34" t="s">
        <v>7531</v>
      </c>
      <c r="F3202" s="34" t="s">
        <v>7532</v>
      </c>
      <c r="G3202" s="34">
        <v>55029.0</v>
      </c>
      <c r="H3202" s="34" t="s">
        <v>960</v>
      </c>
      <c r="I3202" s="34" t="s">
        <v>18</v>
      </c>
      <c r="J3202" s="34" t="s">
        <v>13</v>
      </c>
      <c r="K3202" s="9"/>
      <c r="L3202" s="45">
        <v>79.9</v>
      </c>
      <c r="M3202" s="45">
        <v>79.9</v>
      </c>
    </row>
    <row r="3203">
      <c r="A3203" s="34" t="s">
        <v>70</v>
      </c>
      <c r="B3203" s="34" t="s">
        <v>354</v>
      </c>
      <c r="C3203" s="34">
        <v>56.0</v>
      </c>
      <c r="D3203" s="34" t="s">
        <v>972</v>
      </c>
      <c r="E3203" s="34" t="s">
        <v>7533</v>
      </c>
      <c r="F3203" s="34" t="s">
        <v>7534</v>
      </c>
      <c r="G3203" s="34">
        <v>56007.0</v>
      </c>
      <c r="H3203" s="34" t="s">
        <v>2873</v>
      </c>
      <c r="I3203" s="34" t="s">
        <v>18</v>
      </c>
      <c r="J3203" s="34" t="s">
        <v>13</v>
      </c>
      <c r="K3203" s="9"/>
      <c r="L3203" s="45">
        <v>103.8</v>
      </c>
      <c r="M3203" s="45">
        <v>103.8</v>
      </c>
    </row>
    <row r="3204">
      <c r="A3204" s="34" t="s">
        <v>70</v>
      </c>
      <c r="B3204" s="34" t="s">
        <v>354</v>
      </c>
      <c r="C3204" s="34">
        <v>56.0</v>
      </c>
      <c r="D3204" s="34" t="s">
        <v>972</v>
      </c>
      <c r="E3204" s="34" t="s">
        <v>7535</v>
      </c>
      <c r="F3204" s="34" t="s">
        <v>7536</v>
      </c>
      <c r="G3204" s="34">
        <v>56055.0</v>
      </c>
      <c r="H3204" s="34" t="s">
        <v>7537</v>
      </c>
      <c r="I3204" s="34" t="s">
        <v>18</v>
      </c>
      <c r="J3204" s="34" t="s">
        <v>13</v>
      </c>
      <c r="K3204" s="9"/>
      <c r="L3204" s="45">
        <v>92.1</v>
      </c>
      <c r="M3204" s="45">
        <v>92.1</v>
      </c>
    </row>
    <row r="3205">
      <c r="A3205" s="34" t="s">
        <v>70</v>
      </c>
      <c r="B3205" s="34" t="s">
        <v>354</v>
      </c>
      <c r="C3205" s="34">
        <v>56.0</v>
      </c>
      <c r="D3205" s="34" t="s">
        <v>972</v>
      </c>
      <c r="E3205" s="34" t="s">
        <v>7538</v>
      </c>
      <c r="F3205" s="34" t="s">
        <v>4081</v>
      </c>
      <c r="G3205" s="34">
        <v>56260.0</v>
      </c>
      <c r="H3205" s="34" t="s">
        <v>978</v>
      </c>
      <c r="I3205" s="34" t="s">
        <v>17</v>
      </c>
      <c r="J3205" s="34" t="s">
        <v>15</v>
      </c>
      <c r="K3205" s="45">
        <v>124.2</v>
      </c>
      <c r="L3205" s="9"/>
      <c r="M3205" s="45">
        <v>124.2</v>
      </c>
    </row>
    <row r="3206">
      <c r="A3206" s="34" t="s">
        <v>70</v>
      </c>
      <c r="B3206" s="34" t="s">
        <v>354</v>
      </c>
      <c r="C3206" s="34">
        <v>56.0</v>
      </c>
      <c r="D3206" s="34" t="s">
        <v>972</v>
      </c>
      <c r="E3206" s="34" t="s">
        <v>7539</v>
      </c>
      <c r="F3206" s="34" t="s">
        <v>7540</v>
      </c>
      <c r="G3206" s="34">
        <v>56162.0</v>
      </c>
      <c r="H3206" s="34" t="s">
        <v>7541</v>
      </c>
      <c r="I3206" s="34" t="s">
        <v>17</v>
      </c>
      <c r="J3206" s="34" t="s">
        <v>13</v>
      </c>
      <c r="K3206" s="9"/>
      <c r="L3206" s="45">
        <v>95.6</v>
      </c>
      <c r="M3206" s="45">
        <v>95.6</v>
      </c>
    </row>
    <row r="3207">
      <c r="A3207" s="34" t="s">
        <v>70</v>
      </c>
      <c r="B3207" s="34" t="s">
        <v>930</v>
      </c>
      <c r="C3207" s="34">
        <v>57.0</v>
      </c>
      <c r="D3207" s="34" t="s">
        <v>983</v>
      </c>
      <c r="E3207" s="34" t="s">
        <v>7542</v>
      </c>
      <c r="F3207" s="34" t="s">
        <v>7543</v>
      </c>
      <c r="G3207" s="34">
        <v>57463.0</v>
      </c>
      <c r="H3207" s="34" t="s">
        <v>989</v>
      </c>
      <c r="I3207" s="34" t="s">
        <v>18</v>
      </c>
      <c r="J3207" s="34" t="s">
        <v>15</v>
      </c>
      <c r="K3207" s="45">
        <v>125.8</v>
      </c>
      <c r="L3207" s="9"/>
      <c r="M3207" s="45">
        <v>125.8</v>
      </c>
    </row>
    <row r="3208">
      <c r="A3208" s="34" t="s">
        <v>70</v>
      </c>
      <c r="B3208" s="34" t="s">
        <v>930</v>
      </c>
      <c r="C3208" s="34">
        <v>57.0</v>
      </c>
      <c r="D3208" s="34" t="s">
        <v>983</v>
      </c>
      <c r="E3208" s="34" t="s">
        <v>7544</v>
      </c>
      <c r="F3208" s="34" t="s">
        <v>7545</v>
      </c>
      <c r="G3208" s="34">
        <v>57606.0</v>
      </c>
      <c r="H3208" s="34" t="s">
        <v>2895</v>
      </c>
      <c r="I3208" s="34" t="s">
        <v>18</v>
      </c>
      <c r="J3208" s="34" t="s">
        <v>14</v>
      </c>
      <c r="K3208" s="45">
        <v>108.6</v>
      </c>
      <c r="L3208" s="45">
        <v>76.1</v>
      </c>
      <c r="M3208" s="45">
        <v>98.9</v>
      </c>
    </row>
    <row r="3209">
      <c r="A3209" s="34" t="s">
        <v>70</v>
      </c>
      <c r="B3209" s="34" t="s">
        <v>930</v>
      </c>
      <c r="C3209" s="34">
        <v>57.0</v>
      </c>
      <c r="D3209" s="34" t="s">
        <v>983</v>
      </c>
      <c r="E3209" s="34" t="s">
        <v>7546</v>
      </c>
      <c r="F3209" s="34" t="s">
        <v>7547</v>
      </c>
      <c r="G3209" s="34">
        <v>57631.0</v>
      </c>
      <c r="H3209" s="34" t="s">
        <v>2885</v>
      </c>
      <c r="I3209" s="34" t="s">
        <v>18</v>
      </c>
      <c r="J3209" s="34" t="s">
        <v>13</v>
      </c>
      <c r="K3209" s="9"/>
      <c r="L3209" s="45">
        <v>84.4</v>
      </c>
      <c r="M3209" s="45">
        <v>84.4</v>
      </c>
    </row>
    <row r="3210">
      <c r="A3210" s="34" t="s">
        <v>70</v>
      </c>
      <c r="B3210" s="34" t="s">
        <v>930</v>
      </c>
      <c r="C3210" s="34">
        <v>57.0</v>
      </c>
      <c r="D3210" s="34" t="s">
        <v>983</v>
      </c>
      <c r="E3210" s="34" t="s">
        <v>7548</v>
      </c>
      <c r="F3210" s="34" t="s">
        <v>7549</v>
      </c>
      <c r="G3210" s="34">
        <v>57540.0</v>
      </c>
      <c r="H3210" s="34" t="s">
        <v>2879</v>
      </c>
      <c r="I3210" s="34" t="s">
        <v>17</v>
      </c>
      <c r="J3210" s="34" t="s">
        <v>15</v>
      </c>
      <c r="K3210" s="45">
        <v>126.7</v>
      </c>
      <c r="L3210" s="9"/>
      <c r="M3210" s="45">
        <v>126.7</v>
      </c>
    </row>
    <row r="3211">
      <c r="A3211" s="34" t="s">
        <v>70</v>
      </c>
      <c r="B3211" s="34" t="s">
        <v>930</v>
      </c>
      <c r="C3211" s="34">
        <v>57.0</v>
      </c>
      <c r="D3211" s="34" t="s">
        <v>983</v>
      </c>
      <c r="E3211" s="34" t="s">
        <v>7550</v>
      </c>
      <c r="F3211" s="34" t="s">
        <v>7551</v>
      </c>
      <c r="G3211" s="34">
        <v>57672.0</v>
      </c>
      <c r="H3211" s="34" t="s">
        <v>995</v>
      </c>
      <c r="I3211" s="34" t="s">
        <v>17</v>
      </c>
      <c r="J3211" s="34" t="s">
        <v>15</v>
      </c>
      <c r="K3211" s="45">
        <v>133.4</v>
      </c>
      <c r="L3211" s="9"/>
      <c r="M3211" s="45">
        <v>133.4</v>
      </c>
    </row>
    <row r="3212">
      <c r="A3212" s="34" t="s">
        <v>70</v>
      </c>
      <c r="B3212" s="34" t="s">
        <v>930</v>
      </c>
      <c r="C3212" s="34">
        <v>57.0</v>
      </c>
      <c r="D3212" s="34" t="s">
        <v>983</v>
      </c>
      <c r="E3212" s="34" t="s">
        <v>7552</v>
      </c>
      <c r="F3212" s="34" t="s">
        <v>3119</v>
      </c>
      <c r="G3212" s="34">
        <v>57012.0</v>
      </c>
      <c r="H3212" s="34" t="s">
        <v>1010</v>
      </c>
      <c r="I3212" s="34" t="s">
        <v>17</v>
      </c>
      <c r="J3212" s="34" t="s">
        <v>13</v>
      </c>
      <c r="K3212" s="9"/>
      <c r="L3212" s="45">
        <v>94.5</v>
      </c>
      <c r="M3212" s="45">
        <v>94.5</v>
      </c>
    </row>
    <row r="3213">
      <c r="A3213" s="34" t="s">
        <v>70</v>
      </c>
      <c r="B3213" s="34" t="s">
        <v>930</v>
      </c>
      <c r="C3213" s="34">
        <v>57.0</v>
      </c>
      <c r="D3213" s="34" t="s">
        <v>983</v>
      </c>
      <c r="E3213" s="34" t="s">
        <v>7553</v>
      </c>
      <c r="F3213" s="34" t="s">
        <v>7554</v>
      </c>
      <c r="G3213" s="34">
        <v>57606.0</v>
      </c>
      <c r="H3213" s="34" t="s">
        <v>2895</v>
      </c>
      <c r="I3213" s="34" t="s">
        <v>17</v>
      </c>
      <c r="J3213" s="34" t="s">
        <v>13</v>
      </c>
      <c r="K3213" s="9"/>
      <c r="L3213" s="45">
        <v>82.2</v>
      </c>
      <c r="M3213" s="45">
        <v>82.2</v>
      </c>
    </row>
    <row r="3214">
      <c r="A3214" s="34" t="s">
        <v>70</v>
      </c>
      <c r="B3214" s="34" t="s">
        <v>930</v>
      </c>
      <c r="C3214" s="34">
        <v>57.0</v>
      </c>
      <c r="D3214" s="34" t="s">
        <v>983</v>
      </c>
      <c r="E3214" s="34" t="s">
        <v>7555</v>
      </c>
      <c r="F3214" s="34" t="s">
        <v>897</v>
      </c>
      <c r="G3214" s="34">
        <v>57177.0</v>
      </c>
      <c r="H3214" s="34" t="s">
        <v>4629</v>
      </c>
      <c r="I3214" s="34" t="s">
        <v>17</v>
      </c>
      <c r="J3214" s="34" t="s">
        <v>13</v>
      </c>
      <c r="K3214" s="9"/>
      <c r="L3214" s="45">
        <v>86.7</v>
      </c>
      <c r="M3214" s="45">
        <v>86.7</v>
      </c>
    </row>
    <row r="3215">
      <c r="A3215" s="34" t="s">
        <v>70</v>
      </c>
      <c r="B3215" s="34" t="s">
        <v>930</v>
      </c>
      <c r="C3215" s="34">
        <v>57.0</v>
      </c>
      <c r="D3215" s="34" t="s">
        <v>983</v>
      </c>
      <c r="E3215" s="34" t="s">
        <v>7556</v>
      </c>
      <c r="F3215" s="34" t="s">
        <v>7557</v>
      </c>
      <c r="G3215" s="34">
        <v>57463.0</v>
      </c>
      <c r="H3215" s="34" t="s">
        <v>989</v>
      </c>
      <c r="I3215" s="34" t="s">
        <v>17</v>
      </c>
      <c r="J3215" s="34" t="s">
        <v>13</v>
      </c>
      <c r="K3215" s="9"/>
      <c r="L3215" s="45">
        <v>71.6</v>
      </c>
      <c r="M3215" s="45">
        <v>71.6</v>
      </c>
    </row>
    <row r="3216">
      <c r="A3216" s="34" t="s">
        <v>70</v>
      </c>
      <c r="B3216" s="34" t="s">
        <v>930</v>
      </c>
      <c r="C3216" s="34">
        <v>57.0</v>
      </c>
      <c r="D3216" s="34" t="s">
        <v>983</v>
      </c>
      <c r="E3216" s="34" t="s">
        <v>7558</v>
      </c>
      <c r="F3216" s="34" t="s">
        <v>7559</v>
      </c>
      <c r="G3216" s="34">
        <v>57672.0</v>
      </c>
      <c r="H3216" s="34" t="s">
        <v>995</v>
      </c>
      <c r="I3216" s="34" t="s">
        <v>18</v>
      </c>
      <c r="J3216" s="34" t="s">
        <v>14</v>
      </c>
      <c r="K3216" s="45">
        <v>99.9</v>
      </c>
      <c r="L3216" s="45">
        <v>85.7</v>
      </c>
      <c r="M3216" s="45">
        <v>95.4</v>
      </c>
    </row>
    <row r="3217">
      <c r="A3217" s="34" t="s">
        <v>70</v>
      </c>
      <c r="B3217" s="34" t="s">
        <v>930</v>
      </c>
      <c r="C3217" s="34">
        <v>57.0</v>
      </c>
      <c r="D3217" s="34" t="s">
        <v>983</v>
      </c>
      <c r="E3217" s="34" t="s">
        <v>7560</v>
      </c>
      <c r="F3217" s="34" t="s">
        <v>4653</v>
      </c>
      <c r="G3217" s="34">
        <v>57663.0</v>
      </c>
      <c r="H3217" s="34" t="s">
        <v>7561</v>
      </c>
      <c r="I3217" s="34" t="s">
        <v>18</v>
      </c>
      <c r="J3217" s="34" t="s">
        <v>14</v>
      </c>
      <c r="K3217" s="45">
        <v>98.5</v>
      </c>
      <c r="L3217" s="45">
        <v>84.3</v>
      </c>
      <c r="M3217" s="45">
        <v>87.4</v>
      </c>
    </row>
    <row r="3218">
      <c r="A3218" s="34" t="s">
        <v>70</v>
      </c>
      <c r="B3218" s="34" t="s">
        <v>930</v>
      </c>
      <c r="C3218" s="34">
        <v>57.0</v>
      </c>
      <c r="D3218" s="34" t="s">
        <v>983</v>
      </c>
      <c r="E3218" s="34" t="s">
        <v>7562</v>
      </c>
      <c r="F3218" s="34" t="s">
        <v>936</v>
      </c>
      <c r="G3218" s="34">
        <v>57463.0</v>
      </c>
      <c r="H3218" s="34" t="s">
        <v>989</v>
      </c>
      <c r="I3218" s="34" t="s">
        <v>18</v>
      </c>
      <c r="J3218" s="34" t="s">
        <v>15</v>
      </c>
      <c r="K3218" s="45">
        <v>112.5</v>
      </c>
      <c r="L3218" s="9"/>
      <c r="M3218" s="45">
        <v>112.5</v>
      </c>
    </row>
    <row r="3219">
      <c r="A3219" s="34" t="s">
        <v>70</v>
      </c>
      <c r="B3219" s="34" t="s">
        <v>930</v>
      </c>
      <c r="C3219" s="34">
        <v>57.0</v>
      </c>
      <c r="D3219" s="34" t="s">
        <v>983</v>
      </c>
      <c r="E3219" s="34" t="s">
        <v>7563</v>
      </c>
      <c r="F3219" s="34" t="s">
        <v>6739</v>
      </c>
      <c r="G3219" s="34">
        <v>57672.0</v>
      </c>
      <c r="H3219" s="34" t="s">
        <v>995</v>
      </c>
      <c r="I3219" s="34" t="s">
        <v>17</v>
      </c>
      <c r="J3219" s="34" t="s">
        <v>13</v>
      </c>
      <c r="K3219" s="9"/>
      <c r="L3219" s="45">
        <v>106.9</v>
      </c>
      <c r="M3219" s="45">
        <v>106.9</v>
      </c>
    </row>
    <row r="3220">
      <c r="A3220" s="34" t="s">
        <v>70</v>
      </c>
      <c r="B3220" s="34" t="s">
        <v>930</v>
      </c>
      <c r="C3220" s="34">
        <v>57.0</v>
      </c>
      <c r="D3220" s="34" t="s">
        <v>983</v>
      </c>
      <c r="E3220" s="34" t="s">
        <v>7564</v>
      </c>
      <c r="F3220" s="34" t="s">
        <v>7565</v>
      </c>
      <c r="G3220" s="34">
        <v>57638.0</v>
      </c>
      <c r="H3220" s="34" t="s">
        <v>7566</v>
      </c>
      <c r="I3220" s="34" t="s">
        <v>18</v>
      </c>
      <c r="J3220" s="34" t="s">
        <v>14</v>
      </c>
      <c r="K3220" s="45">
        <v>92.6</v>
      </c>
      <c r="L3220" s="45">
        <v>85.9</v>
      </c>
      <c r="M3220" s="45">
        <v>91.7</v>
      </c>
    </row>
    <row r="3221">
      <c r="A3221" s="34" t="s">
        <v>70</v>
      </c>
      <c r="B3221" s="34" t="s">
        <v>930</v>
      </c>
      <c r="C3221" s="34">
        <v>57.0</v>
      </c>
      <c r="D3221" s="34" t="s">
        <v>983</v>
      </c>
      <c r="E3221" s="34" t="s">
        <v>7567</v>
      </c>
      <c r="F3221" s="34" t="s">
        <v>7568</v>
      </c>
      <c r="G3221" s="34">
        <v>57463.0</v>
      </c>
      <c r="H3221" s="34" t="s">
        <v>989</v>
      </c>
      <c r="I3221" s="34" t="s">
        <v>18</v>
      </c>
      <c r="J3221" s="34" t="s">
        <v>15</v>
      </c>
      <c r="K3221" s="45">
        <v>114.4</v>
      </c>
      <c r="L3221" s="9"/>
      <c r="M3221" s="45">
        <v>114.4</v>
      </c>
    </row>
    <row r="3222">
      <c r="A3222" s="34" t="s">
        <v>70</v>
      </c>
      <c r="B3222" s="34" t="s">
        <v>333</v>
      </c>
      <c r="C3222" s="34">
        <v>58.0</v>
      </c>
      <c r="D3222" s="34" t="s">
        <v>1011</v>
      </c>
      <c r="E3222" s="34" t="s">
        <v>7569</v>
      </c>
      <c r="F3222" s="34" t="s">
        <v>7570</v>
      </c>
      <c r="G3222" s="34">
        <v>58194.0</v>
      </c>
      <c r="H3222" s="34" t="s">
        <v>2900</v>
      </c>
      <c r="I3222" s="34" t="s">
        <v>18</v>
      </c>
      <c r="J3222" s="34" t="s">
        <v>15</v>
      </c>
      <c r="K3222" s="45">
        <v>114.7</v>
      </c>
      <c r="L3222" s="9"/>
      <c r="M3222" s="45">
        <v>114.7</v>
      </c>
    </row>
    <row r="3223">
      <c r="A3223" s="34" t="s">
        <v>70</v>
      </c>
      <c r="B3223" s="34" t="s">
        <v>333</v>
      </c>
      <c r="C3223" s="34">
        <v>58.0</v>
      </c>
      <c r="D3223" s="34" t="s">
        <v>1011</v>
      </c>
      <c r="E3223" s="34" t="s">
        <v>7571</v>
      </c>
      <c r="F3223" s="34" t="s">
        <v>4183</v>
      </c>
      <c r="G3223" s="34">
        <v>58194.0</v>
      </c>
      <c r="H3223" s="34" t="s">
        <v>2900</v>
      </c>
      <c r="I3223" s="34" t="s">
        <v>17</v>
      </c>
      <c r="J3223" s="34" t="s">
        <v>14</v>
      </c>
      <c r="K3223" s="45">
        <v>112.4</v>
      </c>
      <c r="L3223" s="45">
        <v>90.2</v>
      </c>
      <c r="M3223" s="45">
        <v>99.5</v>
      </c>
    </row>
    <row r="3224">
      <c r="A3224" s="34" t="s">
        <v>70</v>
      </c>
      <c r="B3224" s="34" t="s">
        <v>46</v>
      </c>
      <c r="C3224" s="34">
        <v>59.0</v>
      </c>
      <c r="D3224" s="34" t="s">
        <v>1027</v>
      </c>
      <c r="E3224" s="34" t="s">
        <v>7572</v>
      </c>
      <c r="F3224" s="34" t="s">
        <v>7573</v>
      </c>
      <c r="G3224" s="34">
        <v>59139.0</v>
      </c>
      <c r="H3224" s="34" t="s">
        <v>7574</v>
      </c>
      <c r="I3224" s="34" t="s">
        <v>18</v>
      </c>
      <c r="J3224" s="34" t="s">
        <v>14</v>
      </c>
      <c r="K3224" s="45">
        <v>90.1</v>
      </c>
      <c r="L3224" s="45">
        <v>70.0</v>
      </c>
      <c r="M3224" s="45">
        <v>82.6</v>
      </c>
    </row>
    <row r="3225">
      <c r="A3225" s="34" t="s">
        <v>70</v>
      </c>
      <c r="B3225" s="34" t="s">
        <v>46</v>
      </c>
      <c r="C3225" s="34">
        <v>59.0</v>
      </c>
      <c r="D3225" s="34" t="s">
        <v>1027</v>
      </c>
      <c r="E3225" s="34" t="s">
        <v>7575</v>
      </c>
      <c r="F3225" s="34" t="s">
        <v>6357</v>
      </c>
      <c r="G3225" s="34">
        <v>59172.0</v>
      </c>
      <c r="H3225" s="34" t="s">
        <v>1078</v>
      </c>
      <c r="I3225" s="34" t="s">
        <v>18</v>
      </c>
      <c r="J3225" s="34" t="s">
        <v>15</v>
      </c>
      <c r="K3225" s="45">
        <v>86.8</v>
      </c>
      <c r="L3225" s="9"/>
      <c r="M3225" s="45">
        <v>86.8</v>
      </c>
    </row>
    <row r="3226">
      <c r="A3226" s="34" t="s">
        <v>70</v>
      </c>
      <c r="B3226" s="34" t="s">
        <v>46</v>
      </c>
      <c r="C3226" s="34">
        <v>59.0</v>
      </c>
      <c r="D3226" s="34" t="s">
        <v>1027</v>
      </c>
      <c r="E3226" s="34" t="s">
        <v>7576</v>
      </c>
      <c r="F3226" s="34" t="s">
        <v>7577</v>
      </c>
      <c r="G3226" s="34">
        <v>59183.0</v>
      </c>
      <c r="H3226" s="34" t="s">
        <v>1039</v>
      </c>
      <c r="I3226" s="34" t="s">
        <v>18</v>
      </c>
      <c r="J3226" s="34" t="s">
        <v>15</v>
      </c>
      <c r="K3226" s="45">
        <v>108.7</v>
      </c>
      <c r="L3226" s="9"/>
      <c r="M3226" s="45">
        <v>108.7</v>
      </c>
    </row>
    <row r="3227">
      <c r="A3227" s="34" t="s">
        <v>70</v>
      </c>
      <c r="B3227" s="34" t="s">
        <v>46</v>
      </c>
      <c r="C3227" s="34">
        <v>59.0</v>
      </c>
      <c r="D3227" s="34" t="s">
        <v>1027</v>
      </c>
      <c r="E3227" s="34" t="s">
        <v>7578</v>
      </c>
      <c r="F3227" s="34" t="s">
        <v>7579</v>
      </c>
      <c r="G3227" s="34">
        <v>59512.0</v>
      </c>
      <c r="H3227" s="34" t="s">
        <v>1059</v>
      </c>
      <c r="I3227" s="34" t="s">
        <v>18</v>
      </c>
      <c r="J3227" s="34" t="s">
        <v>15</v>
      </c>
      <c r="K3227" s="45">
        <v>88.2</v>
      </c>
      <c r="L3227" s="9"/>
      <c r="M3227" s="45">
        <v>88.2</v>
      </c>
    </row>
    <row r="3228">
      <c r="A3228" s="34" t="s">
        <v>70</v>
      </c>
      <c r="B3228" s="34" t="s">
        <v>46</v>
      </c>
      <c r="C3228" s="34">
        <v>59.0</v>
      </c>
      <c r="D3228" s="34" t="s">
        <v>1027</v>
      </c>
      <c r="E3228" s="34" t="s">
        <v>7580</v>
      </c>
      <c r="F3228" s="34" t="s">
        <v>6160</v>
      </c>
      <c r="G3228" s="34">
        <v>59574.0</v>
      </c>
      <c r="H3228" s="34" t="s">
        <v>2944</v>
      </c>
      <c r="I3228" s="34" t="s">
        <v>18</v>
      </c>
      <c r="J3228" s="34" t="s">
        <v>15</v>
      </c>
      <c r="K3228" s="45">
        <v>101.4</v>
      </c>
      <c r="L3228" s="9"/>
      <c r="M3228" s="45">
        <v>101.4</v>
      </c>
    </row>
    <row r="3229">
      <c r="A3229" s="34" t="s">
        <v>70</v>
      </c>
      <c r="B3229" s="34" t="s">
        <v>46</v>
      </c>
      <c r="C3229" s="34">
        <v>59.0</v>
      </c>
      <c r="D3229" s="34" t="s">
        <v>1027</v>
      </c>
      <c r="E3229" s="34" t="s">
        <v>7581</v>
      </c>
      <c r="F3229" s="34" t="s">
        <v>7582</v>
      </c>
      <c r="G3229" s="34">
        <v>59350.0</v>
      </c>
      <c r="H3229" s="34" t="s">
        <v>46</v>
      </c>
      <c r="I3229" s="34" t="s">
        <v>18</v>
      </c>
      <c r="J3229" s="34" t="s">
        <v>15</v>
      </c>
      <c r="K3229" s="45">
        <v>85.7</v>
      </c>
      <c r="L3229" s="9"/>
      <c r="M3229" s="45">
        <v>85.7</v>
      </c>
    </row>
    <row r="3230">
      <c r="A3230" s="34" t="s">
        <v>70</v>
      </c>
      <c r="B3230" s="34" t="s">
        <v>46</v>
      </c>
      <c r="C3230" s="34">
        <v>59.0</v>
      </c>
      <c r="D3230" s="34" t="s">
        <v>1027</v>
      </c>
      <c r="E3230" s="34" t="s">
        <v>7583</v>
      </c>
      <c r="F3230" s="34" t="s">
        <v>7584</v>
      </c>
      <c r="G3230" s="34">
        <v>59155.0</v>
      </c>
      <c r="H3230" s="34" t="s">
        <v>7585</v>
      </c>
      <c r="I3230" s="34" t="s">
        <v>18</v>
      </c>
      <c r="J3230" s="34" t="s">
        <v>13</v>
      </c>
      <c r="K3230" s="9"/>
      <c r="L3230" s="45">
        <v>77.2</v>
      </c>
      <c r="M3230" s="45">
        <v>77.2</v>
      </c>
    </row>
    <row r="3231">
      <c r="A3231" s="34" t="s">
        <v>70</v>
      </c>
      <c r="B3231" s="34" t="s">
        <v>46</v>
      </c>
      <c r="C3231" s="34">
        <v>59.0</v>
      </c>
      <c r="D3231" s="34" t="s">
        <v>1027</v>
      </c>
      <c r="E3231" s="34" t="s">
        <v>7586</v>
      </c>
      <c r="F3231" s="34" t="s">
        <v>7587</v>
      </c>
      <c r="G3231" s="34">
        <v>59172.0</v>
      </c>
      <c r="H3231" s="34" t="s">
        <v>1078</v>
      </c>
      <c r="I3231" s="34" t="s">
        <v>18</v>
      </c>
      <c r="J3231" s="34" t="s">
        <v>15</v>
      </c>
      <c r="K3231" s="45">
        <v>88.5</v>
      </c>
      <c r="L3231" s="9"/>
      <c r="M3231" s="45">
        <v>88.5</v>
      </c>
    </row>
    <row r="3232">
      <c r="A3232" s="34" t="s">
        <v>70</v>
      </c>
      <c r="B3232" s="34" t="s">
        <v>46</v>
      </c>
      <c r="C3232" s="34">
        <v>59.0</v>
      </c>
      <c r="D3232" s="34" t="s">
        <v>1027</v>
      </c>
      <c r="E3232" s="34" t="s">
        <v>7588</v>
      </c>
      <c r="F3232" s="34" t="s">
        <v>7589</v>
      </c>
      <c r="G3232" s="34">
        <v>59122.0</v>
      </c>
      <c r="H3232" s="34" t="s">
        <v>1036</v>
      </c>
      <c r="I3232" s="34" t="s">
        <v>18</v>
      </c>
      <c r="J3232" s="34" t="s">
        <v>13</v>
      </c>
      <c r="K3232" s="9"/>
      <c r="L3232" s="45">
        <v>73.1</v>
      </c>
      <c r="M3232" s="45">
        <v>73.1</v>
      </c>
    </row>
    <row r="3233">
      <c r="A3233" s="34" t="s">
        <v>70</v>
      </c>
      <c r="B3233" s="34" t="s">
        <v>46</v>
      </c>
      <c r="C3233" s="34">
        <v>59.0</v>
      </c>
      <c r="D3233" s="34" t="s">
        <v>1027</v>
      </c>
      <c r="E3233" s="34" t="s">
        <v>7590</v>
      </c>
      <c r="F3233" s="34" t="s">
        <v>6109</v>
      </c>
      <c r="G3233" s="34">
        <v>59324.0</v>
      </c>
      <c r="H3233" s="34" t="s">
        <v>6191</v>
      </c>
      <c r="I3233" s="34" t="s">
        <v>18</v>
      </c>
      <c r="J3233" s="34" t="s">
        <v>13</v>
      </c>
      <c r="K3233" s="9"/>
      <c r="L3233" s="45">
        <v>64.7</v>
      </c>
      <c r="M3233" s="45">
        <v>64.7</v>
      </c>
    </row>
    <row r="3234">
      <c r="A3234" s="34" t="s">
        <v>70</v>
      </c>
      <c r="B3234" s="34" t="s">
        <v>46</v>
      </c>
      <c r="C3234" s="34">
        <v>59.0</v>
      </c>
      <c r="D3234" s="34" t="s">
        <v>1027</v>
      </c>
      <c r="E3234" s="34" t="s">
        <v>7591</v>
      </c>
      <c r="F3234" s="34" t="s">
        <v>7592</v>
      </c>
      <c r="G3234" s="34">
        <v>59512.0</v>
      </c>
      <c r="H3234" s="34" t="s">
        <v>1059</v>
      </c>
      <c r="I3234" s="34" t="s">
        <v>17</v>
      </c>
      <c r="J3234" s="34" t="s">
        <v>15</v>
      </c>
      <c r="K3234" s="45">
        <v>103.6</v>
      </c>
      <c r="L3234" s="9"/>
      <c r="M3234" s="45">
        <v>103.6</v>
      </c>
    </row>
    <row r="3235">
      <c r="A3235" s="34" t="s">
        <v>70</v>
      </c>
      <c r="B3235" s="34" t="s">
        <v>46</v>
      </c>
      <c r="C3235" s="34">
        <v>59.0</v>
      </c>
      <c r="D3235" s="34" t="s">
        <v>1027</v>
      </c>
      <c r="E3235" s="34" t="s">
        <v>7593</v>
      </c>
      <c r="F3235" s="34" t="s">
        <v>7594</v>
      </c>
      <c r="G3235" s="34">
        <v>59017.0</v>
      </c>
      <c r="H3235" s="34" t="s">
        <v>1030</v>
      </c>
      <c r="I3235" s="34" t="s">
        <v>17</v>
      </c>
      <c r="J3235" s="34" t="s">
        <v>15</v>
      </c>
      <c r="K3235" s="45">
        <v>133.2</v>
      </c>
      <c r="L3235" s="9"/>
      <c r="M3235" s="45">
        <v>133.2</v>
      </c>
    </row>
    <row r="3236">
      <c r="A3236" s="34" t="s">
        <v>70</v>
      </c>
      <c r="B3236" s="34" t="s">
        <v>46</v>
      </c>
      <c r="C3236" s="34">
        <v>59.0</v>
      </c>
      <c r="D3236" s="34" t="s">
        <v>1027</v>
      </c>
      <c r="E3236" s="34" t="s">
        <v>7595</v>
      </c>
      <c r="F3236" s="34" t="s">
        <v>473</v>
      </c>
      <c r="G3236" s="34">
        <v>59036.0</v>
      </c>
      <c r="H3236" s="34" t="s">
        <v>2906</v>
      </c>
      <c r="I3236" s="34" t="s">
        <v>17</v>
      </c>
      <c r="J3236" s="34" t="s">
        <v>15</v>
      </c>
      <c r="K3236" s="45">
        <v>109.9</v>
      </c>
      <c r="L3236" s="9"/>
      <c r="M3236" s="45">
        <v>109.9</v>
      </c>
    </row>
    <row r="3237">
      <c r="A3237" s="34" t="s">
        <v>70</v>
      </c>
      <c r="B3237" s="34" t="s">
        <v>46</v>
      </c>
      <c r="C3237" s="34">
        <v>59.0</v>
      </c>
      <c r="D3237" s="34" t="s">
        <v>1027</v>
      </c>
      <c r="E3237" s="34" t="s">
        <v>7596</v>
      </c>
      <c r="F3237" s="34" t="s">
        <v>7597</v>
      </c>
      <c r="G3237" s="34">
        <v>59512.0</v>
      </c>
      <c r="H3237" s="34" t="s">
        <v>1059</v>
      </c>
      <c r="I3237" s="34" t="s">
        <v>17</v>
      </c>
      <c r="J3237" s="34" t="s">
        <v>13</v>
      </c>
      <c r="K3237" s="9"/>
      <c r="L3237" s="45">
        <v>90.2</v>
      </c>
      <c r="M3237" s="45">
        <v>90.2</v>
      </c>
    </row>
    <row r="3238">
      <c r="A3238" s="34" t="s">
        <v>70</v>
      </c>
      <c r="B3238" s="34" t="s">
        <v>46</v>
      </c>
      <c r="C3238" s="34">
        <v>59.0</v>
      </c>
      <c r="D3238" s="34" t="s">
        <v>1027</v>
      </c>
      <c r="E3238" s="34" t="s">
        <v>7598</v>
      </c>
      <c r="F3238" s="34" t="s">
        <v>7599</v>
      </c>
      <c r="G3238" s="34">
        <v>59350.0</v>
      </c>
      <c r="H3238" s="34" t="s">
        <v>46</v>
      </c>
      <c r="I3238" s="34" t="s">
        <v>17</v>
      </c>
      <c r="J3238" s="34" t="s">
        <v>14</v>
      </c>
      <c r="K3238" s="45">
        <v>107.7</v>
      </c>
      <c r="L3238" s="45">
        <v>91.8</v>
      </c>
      <c r="M3238" s="45">
        <v>101.4</v>
      </c>
    </row>
    <row r="3239">
      <c r="A3239" s="34" t="s">
        <v>70</v>
      </c>
      <c r="B3239" s="34" t="s">
        <v>46</v>
      </c>
      <c r="C3239" s="34">
        <v>59.0</v>
      </c>
      <c r="D3239" s="34" t="s">
        <v>1027</v>
      </c>
      <c r="E3239" s="34" t="s">
        <v>7600</v>
      </c>
      <c r="F3239" s="34" t="s">
        <v>7601</v>
      </c>
      <c r="G3239" s="34">
        <v>59350.0</v>
      </c>
      <c r="H3239" s="34" t="s">
        <v>46</v>
      </c>
      <c r="I3239" s="34" t="s">
        <v>17</v>
      </c>
      <c r="J3239" s="34" t="s">
        <v>13</v>
      </c>
      <c r="K3239" s="9"/>
      <c r="L3239" s="45">
        <v>102.4</v>
      </c>
      <c r="M3239" s="45">
        <v>102.4</v>
      </c>
    </row>
    <row r="3240">
      <c r="A3240" s="34" t="s">
        <v>70</v>
      </c>
      <c r="B3240" s="34" t="s">
        <v>46</v>
      </c>
      <c r="C3240" s="34">
        <v>59.0</v>
      </c>
      <c r="D3240" s="34" t="s">
        <v>1027</v>
      </c>
      <c r="E3240" s="34" t="s">
        <v>7602</v>
      </c>
      <c r="F3240" s="34" t="s">
        <v>7603</v>
      </c>
      <c r="G3240" s="34">
        <v>59365.0</v>
      </c>
      <c r="H3240" s="34" t="s">
        <v>7604</v>
      </c>
      <c r="I3240" s="34" t="s">
        <v>17</v>
      </c>
      <c r="J3240" s="34" t="s">
        <v>14</v>
      </c>
      <c r="K3240" s="45">
        <v>99.4</v>
      </c>
      <c r="L3240" s="45">
        <v>83.1</v>
      </c>
      <c r="M3240" s="45">
        <v>88.2</v>
      </c>
    </row>
    <row r="3241">
      <c r="A3241" s="34" t="s">
        <v>70</v>
      </c>
      <c r="B3241" s="34" t="s">
        <v>46</v>
      </c>
      <c r="C3241" s="34">
        <v>59.0</v>
      </c>
      <c r="D3241" s="34" t="s">
        <v>1027</v>
      </c>
      <c r="E3241" s="34" t="s">
        <v>7605</v>
      </c>
      <c r="F3241" s="34" t="s">
        <v>6220</v>
      </c>
      <c r="G3241" s="34">
        <v>59172.0</v>
      </c>
      <c r="H3241" s="34" t="s">
        <v>1078</v>
      </c>
      <c r="I3241" s="34" t="s">
        <v>17</v>
      </c>
      <c r="J3241" s="34" t="s">
        <v>13</v>
      </c>
      <c r="K3241" s="9"/>
      <c r="L3241" s="45">
        <v>77.9</v>
      </c>
      <c r="M3241" s="45">
        <v>77.9</v>
      </c>
    </row>
    <row r="3242">
      <c r="A3242" s="34" t="s">
        <v>70</v>
      </c>
      <c r="B3242" s="34" t="s">
        <v>46</v>
      </c>
      <c r="C3242" s="34">
        <v>59.0</v>
      </c>
      <c r="D3242" s="34" t="s">
        <v>1027</v>
      </c>
      <c r="E3242" s="34" t="s">
        <v>7606</v>
      </c>
      <c r="F3242" s="34" t="s">
        <v>6064</v>
      </c>
      <c r="G3242" s="34">
        <v>59571.0</v>
      </c>
      <c r="H3242" s="34" t="s">
        <v>7607</v>
      </c>
      <c r="I3242" s="34" t="s">
        <v>17</v>
      </c>
      <c r="J3242" s="34" t="s">
        <v>15</v>
      </c>
      <c r="K3242" s="45">
        <v>116.9</v>
      </c>
      <c r="L3242" s="9"/>
      <c r="M3242" s="45">
        <v>116.9</v>
      </c>
    </row>
    <row r="3243">
      <c r="A3243" s="34" t="s">
        <v>70</v>
      </c>
      <c r="B3243" s="34" t="s">
        <v>46</v>
      </c>
      <c r="C3243" s="34">
        <v>59.0</v>
      </c>
      <c r="D3243" s="34" t="s">
        <v>1027</v>
      </c>
      <c r="E3243" s="34" t="s">
        <v>7608</v>
      </c>
      <c r="F3243" s="34" t="s">
        <v>7609</v>
      </c>
      <c r="G3243" s="34">
        <v>59383.0</v>
      </c>
      <c r="H3243" s="34" t="s">
        <v>4646</v>
      </c>
      <c r="I3243" s="34" t="s">
        <v>18</v>
      </c>
      <c r="J3243" s="34" t="s">
        <v>13</v>
      </c>
      <c r="K3243" s="9"/>
      <c r="L3243" s="45">
        <v>72.4</v>
      </c>
      <c r="M3243" s="45">
        <v>72.4</v>
      </c>
    </row>
    <row r="3244">
      <c r="A3244" s="34" t="s">
        <v>70</v>
      </c>
      <c r="B3244" s="34" t="s">
        <v>46</v>
      </c>
      <c r="C3244" s="34">
        <v>59.0</v>
      </c>
      <c r="D3244" s="34" t="s">
        <v>1027</v>
      </c>
      <c r="E3244" s="34" t="s">
        <v>7610</v>
      </c>
      <c r="F3244" s="34" t="s">
        <v>2653</v>
      </c>
      <c r="G3244" s="34">
        <v>59028.0</v>
      </c>
      <c r="H3244" s="34" t="s">
        <v>7611</v>
      </c>
      <c r="I3244" s="34" t="s">
        <v>18</v>
      </c>
      <c r="J3244" s="34" t="s">
        <v>13</v>
      </c>
      <c r="K3244" s="9"/>
      <c r="L3244" s="45">
        <v>70.1</v>
      </c>
      <c r="M3244" s="45">
        <v>70.1</v>
      </c>
    </row>
    <row r="3245">
      <c r="A3245" s="34" t="s">
        <v>70</v>
      </c>
      <c r="B3245" s="34" t="s">
        <v>46</v>
      </c>
      <c r="C3245" s="34">
        <v>59.0</v>
      </c>
      <c r="D3245" s="34" t="s">
        <v>1027</v>
      </c>
      <c r="E3245" s="34" t="s">
        <v>7612</v>
      </c>
      <c r="F3245" s="34" t="s">
        <v>7613</v>
      </c>
      <c r="G3245" s="34">
        <v>59271.0</v>
      </c>
      <c r="H3245" s="34" t="s">
        <v>1113</v>
      </c>
      <c r="I3245" s="34" t="s">
        <v>18</v>
      </c>
      <c r="J3245" s="34" t="s">
        <v>13</v>
      </c>
      <c r="K3245" s="9"/>
      <c r="L3245" s="45">
        <v>71.7</v>
      </c>
      <c r="M3245" s="45">
        <v>71.7</v>
      </c>
    </row>
    <row r="3246">
      <c r="A3246" s="34" t="s">
        <v>70</v>
      </c>
      <c r="B3246" s="34" t="s">
        <v>46</v>
      </c>
      <c r="C3246" s="34">
        <v>59.0</v>
      </c>
      <c r="D3246" s="34" t="s">
        <v>1027</v>
      </c>
      <c r="E3246" s="34" t="s">
        <v>7614</v>
      </c>
      <c r="F3246" s="34" t="s">
        <v>7615</v>
      </c>
      <c r="G3246" s="34">
        <v>59392.0</v>
      </c>
      <c r="H3246" s="34" t="s">
        <v>1053</v>
      </c>
      <c r="I3246" s="34" t="s">
        <v>18</v>
      </c>
      <c r="J3246" s="34" t="s">
        <v>14</v>
      </c>
      <c r="K3246" s="45">
        <v>73.5</v>
      </c>
      <c r="L3246" s="45">
        <v>69.1</v>
      </c>
      <c r="M3246" s="45">
        <v>71.6</v>
      </c>
    </row>
    <row r="3247">
      <c r="A3247" s="34" t="s">
        <v>70</v>
      </c>
      <c r="B3247" s="34" t="s">
        <v>46</v>
      </c>
      <c r="C3247" s="34">
        <v>59.0</v>
      </c>
      <c r="D3247" s="34" t="s">
        <v>1027</v>
      </c>
      <c r="E3247" s="34" t="s">
        <v>7616</v>
      </c>
      <c r="F3247" s="34" t="s">
        <v>7617</v>
      </c>
      <c r="G3247" s="34">
        <v>59258.0</v>
      </c>
      <c r="H3247" s="34" t="s">
        <v>1123</v>
      </c>
      <c r="I3247" s="34" t="s">
        <v>18</v>
      </c>
      <c r="J3247" s="34" t="s">
        <v>14</v>
      </c>
      <c r="K3247" s="45">
        <v>132.8</v>
      </c>
      <c r="L3247" s="45">
        <v>100.6</v>
      </c>
      <c r="M3247" s="45">
        <v>130.8</v>
      </c>
    </row>
    <row r="3248">
      <c r="A3248" s="34" t="s">
        <v>70</v>
      </c>
      <c r="B3248" s="34" t="s">
        <v>88</v>
      </c>
      <c r="C3248" s="34">
        <v>60.0</v>
      </c>
      <c r="D3248" s="34" t="s">
        <v>1127</v>
      </c>
      <c r="E3248" s="34" t="s">
        <v>7618</v>
      </c>
      <c r="F3248" s="34" t="s">
        <v>7619</v>
      </c>
      <c r="G3248" s="34">
        <v>60057.0</v>
      </c>
      <c r="H3248" s="34" t="s">
        <v>1130</v>
      </c>
      <c r="I3248" s="34" t="s">
        <v>18</v>
      </c>
      <c r="J3248" s="34" t="s">
        <v>14</v>
      </c>
      <c r="K3248" s="45">
        <v>104.3</v>
      </c>
      <c r="L3248" s="45">
        <v>84.2</v>
      </c>
      <c r="M3248" s="45">
        <v>99.7</v>
      </c>
    </row>
    <row r="3249">
      <c r="A3249" s="34" t="s">
        <v>70</v>
      </c>
      <c r="B3249" s="34" t="s">
        <v>88</v>
      </c>
      <c r="C3249" s="34">
        <v>60.0</v>
      </c>
      <c r="D3249" s="34" t="s">
        <v>1127</v>
      </c>
      <c r="E3249" s="34" t="s">
        <v>7620</v>
      </c>
      <c r="F3249" s="34" t="s">
        <v>7621</v>
      </c>
      <c r="G3249" s="34">
        <v>60463.0</v>
      </c>
      <c r="H3249" s="34" t="s">
        <v>6214</v>
      </c>
      <c r="I3249" s="34" t="s">
        <v>18</v>
      </c>
      <c r="J3249" s="34" t="s">
        <v>15</v>
      </c>
      <c r="K3249" s="45">
        <v>104.5</v>
      </c>
      <c r="L3249" s="9"/>
      <c r="M3249" s="45">
        <v>104.5</v>
      </c>
    </row>
    <row r="3250">
      <c r="A3250" s="34" t="s">
        <v>70</v>
      </c>
      <c r="B3250" s="34" t="s">
        <v>88</v>
      </c>
      <c r="C3250" s="34">
        <v>60.0</v>
      </c>
      <c r="D3250" s="34" t="s">
        <v>1127</v>
      </c>
      <c r="E3250" s="34" t="s">
        <v>7622</v>
      </c>
      <c r="F3250" s="34" t="s">
        <v>7623</v>
      </c>
      <c r="G3250" s="34">
        <v>60612.0</v>
      </c>
      <c r="H3250" s="34" t="s">
        <v>2986</v>
      </c>
      <c r="I3250" s="34" t="s">
        <v>17</v>
      </c>
      <c r="J3250" s="34" t="s">
        <v>15</v>
      </c>
      <c r="K3250" s="45">
        <v>139.2</v>
      </c>
      <c r="L3250" s="9"/>
      <c r="M3250" s="45">
        <v>139.2</v>
      </c>
    </row>
    <row r="3251">
      <c r="A3251" s="34" t="s">
        <v>70</v>
      </c>
      <c r="B3251" s="34" t="s">
        <v>88</v>
      </c>
      <c r="C3251" s="34">
        <v>60.0</v>
      </c>
      <c r="D3251" s="34" t="s">
        <v>1127</v>
      </c>
      <c r="E3251" s="34" t="s">
        <v>7624</v>
      </c>
      <c r="F3251" s="34" t="s">
        <v>4395</v>
      </c>
      <c r="G3251" s="34">
        <v>60176.0</v>
      </c>
      <c r="H3251" s="34" t="s">
        <v>1144</v>
      </c>
      <c r="I3251" s="34" t="s">
        <v>18</v>
      </c>
      <c r="J3251" s="34" t="s">
        <v>15</v>
      </c>
      <c r="K3251" s="45">
        <v>110.7</v>
      </c>
      <c r="L3251" s="9"/>
      <c r="M3251" s="45">
        <v>110.7</v>
      </c>
    </row>
    <row r="3252">
      <c r="A3252" s="34" t="s">
        <v>70</v>
      </c>
      <c r="B3252" s="34" t="s">
        <v>88</v>
      </c>
      <c r="C3252" s="34">
        <v>60.0</v>
      </c>
      <c r="D3252" s="34" t="s">
        <v>1127</v>
      </c>
      <c r="E3252" s="34" t="s">
        <v>7625</v>
      </c>
      <c r="F3252" s="34" t="s">
        <v>7626</v>
      </c>
      <c r="G3252" s="34">
        <v>60141.0</v>
      </c>
      <c r="H3252" s="34" t="s">
        <v>1133</v>
      </c>
      <c r="I3252" s="34" t="s">
        <v>18</v>
      </c>
      <c r="J3252" s="34" t="s">
        <v>13</v>
      </c>
      <c r="K3252" s="9"/>
      <c r="L3252" s="45">
        <v>85.8</v>
      </c>
      <c r="M3252" s="45">
        <v>85.8</v>
      </c>
    </row>
    <row r="3253">
      <c r="A3253" s="34" t="s">
        <v>70</v>
      </c>
      <c r="B3253" s="34" t="s">
        <v>88</v>
      </c>
      <c r="C3253" s="34">
        <v>60.0</v>
      </c>
      <c r="D3253" s="34" t="s">
        <v>1127</v>
      </c>
      <c r="E3253" s="34" t="s">
        <v>7627</v>
      </c>
      <c r="F3253" s="34" t="s">
        <v>7628</v>
      </c>
      <c r="G3253" s="34">
        <v>60414.0</v>
      </c>
      <c r="H3253" s="34" t="s">
        <v>7629</v>
      </c>
      <c r="I3253" s="34" t="s">
        <v>18</v>
      </c>
      <c r="J3253" s="34" t="s">
        <v>15</v>
      </c>
      <c r="K3253" s="45">
        <v>93.2</v>
      </c>
      <c r="L3253" s="9"/>
      <c r="M3253" s="45">
        <v>93.2</v>
      </c>
    </row>
    <row r="3254">
      <c r="A3254" s="34" t="s">
        <v>70</v>
      </c>
      <c r="B3254" s="34" t="s">
        <v>88</v>
      </c>
      <c r="C3254" s="34">
        <v>60.0</v>
      </c>
      <c r="D3254" s="34" t="s">
        <v>1127</v>
      </c>
      <c r="E3254" s="34" t="s">
        <v>7630</v>
      </c>
      <c r="F3254" s="34" t="s">
        <v>7631</v>
      </c>
      <c r="G3254" s="34">
        <v>60414.0</v>
      </c>
      <c r="H3254" s="34" t="s">
        <v>7629</v>
      </c>
      <c r="I3254" s="34" t="s">
        <v>18</v>
      </c>
      <c r="J3254" s="34" t="s">
        <v>13</v>
      </c>
      <c r="K3254" s="9"/>
      <c r="L3254" s="45">
        <v>75.5</v>
      </c>
      <c r="M3254" s="45">
        <v>75.5</v>
      </c>
    </row>
    <row r="3255">
      <c r="A3255" s="34" t="s">
        <v>70</v>
      </c>
      <c r="B3255" s="34" t="s">
        <v>88</v>
      </c>
      <c r="C3255" s="34">
        <v>60.0</v>
      </c>
      <c r="D3255" s="34" t="s">
        <v>1127</v>
      </c>
      <c r="E3255" s="34" t="s">
        <v>7632</v>
      </c>
      <c r="F3255" s="34" t="s">
        <v>7633</v>
      </c>
      <c r="G3255" s="34">
        <v>60509.0</v>
      </c>
      <c r="H3255" s="34" t="s">
        <v>3002</v>
      </c>
      <c r="I3255" s="34" t="s">
        <v>17</v>
      </c>
      <c r="J3255" s="34" t="s">
        <v>13</v>
      </c>
      <c r="K3255" s="9"/>
      <c r="L3255" s="45">
        <v>96.2</v>
      </c>
      <c r="M3255" s="45">
        <v>96.2</v>
      </c>
    </row>
    <row r="3256">
      <c r="A3256" s="34" t="s">
        <v>70</v>
      </c>
      <c r="B3256" s="34" t="s">
        <v>269</v>
      </c>
      <c r="C3256" s="34">
        <v>61.0</v>
      </c>
      <c r="D3256" s="34" t="s">
        <v>1153</v>
      </c>
      <c r="E3256" s="34" t="s">
        <v>7634</v>
      </c>
      <c r="F3256" s="34" t="s">
        <v>7635</v>
      </c>
      <c r="G3256" s="34">
        <v>61001.0</v>
      </c>
      <c r="H3256" s="34" t="s">
        <v>6223</v>
      </c>
      <c r="I3256" s="34" t="s">
        <v>18</v>
      </c>
      <c r="J3256" s="34" t="s">
        <v>14</v>
      </c>
      <c r="K3256" s="45">
        <v>107.1</v>
      </c>
      <c r="L3256" s="45">
        <v>81.0</v>
      </c>
      <c r="M3256" s="45">
        <v>100.4</v>
      </c>
    </row>
    <row r="3257">
      <c r="A3257" s="34" t="s">
        <v>70</v>
      </c>
      <c r="B3257" s="34" t="s">
        <v>269</v>
      </c>
      <c r="C3257" s="34">
        <v>61.0</v>
      </c>
      <c r="D3257" s="34" t="s">
        <v>1153</v>
      </c>
      <c r="E3257" s="34" t="s">
        <v>7636</v>
      </c>
      <c r="F3257" s="34" t="s">
        <v>7637</v>
      </c>
      <c r="G3257" s="34">
        <v>61168.0</v>
      </c>
      <c r="H3257" s="34" t="s">
        <v>1159</v>
      </c>
      <c r="I3257" s="34" t="s">
        <v>18</v>
      </c>
      <c r="J3257" s="34" t="s">
        <v>14</v>
      </c>
      <c r="K3257" s="45">
        <v>104.7</v>
      </c>
      <c r="L3257" s="45">
        <v>83.3</v>
      </c>
      <c r="M3257" s="45">
        <v>100.7</v>
      </c>
    </row>
    <row r="3258">
      <c r="A3258" s="34" t="s">
        <v>70</v>
      </c>
      <c r="B3258" s="34" t="s">
        <v>269</v>
      </c>
      <c r="C3258" s="34">
        <v>61.0</v>
      </c>
      <c r="D3258" s="34" t="s">
        <v>1153</v>
      </c>
      <c r="E3258" s="34" t="s">
        <v>7638</v>
      </c>
      <c r="F3258" s="34" t="s">
        <v>7639</v>
      </c>
      <c r="G3258" s="34">
        <v>61169.0</v>
      </c>
      <c r="H3258" s="34" t="s">
        <v>1164</v>
      </c>
      <c r="I3258" s="34" t="s">
        <v>18</v>
      </c>
      <c r="J3258" s="34" t="s">
        <v>14</v>
      </c>
      <c r="K3258" s="45">
        <v>99.7</v>
      </c>
      <c r="L3258" s="45">
        <v>73.8</v>
      </c>
      <c r="M3258" s="45">
        <v>92.5</v>
      </c>
    </row>
    <row r="3259">
      <c r="A3259" s="34" t="s">
        <v>70</v>
      </c>
      <c r="B3259" s="34" t="s">
        <v>269</v>
      </c>
      <c r="C3259" s="34">
        <v>61.0</v>
      </c>
      <c r="D3259" s="34" t="s">
        <v>1153</v>
      </c>
      <c r="E3259" s="34" t="s">
        <v>7640</v>
      </c>
      <c r="F3259" s="34" t="s">
        <v>7641</v>
      </c>
      <c r="G3259" s="34">
        <v>61001.0</v>
      </c>
      <c r="H3259" s="34" t="s">
        <v>6223</v>
      </c>
      <c r="I3259" s="34" t="s">
        <v>17</v>
      </c>
      <c r="J3259" s="34" t="s">
        <v>14</v>
      </c>
      <c r="K3259" s="45">
        <v>119.1</v>
      </c>
      <c r="L3259" s="45">
        <v>97.5</v>
      </c>
      <c r="M3259" s="45">
        <v>113.4</v>
      </c>
    </row>
    <row r="3260">
      <c r="A3260" s="34" t="s">
        <v>70</v>
      </c>
      <c r="B3260" s="34" t="s">
        <v>269</v>
      </c>
      <c r="C3260" s="34">
        <v>61.0</v>
      </c>
      <c r="D3260" s="34" t="s">
        <v>1153</v>
      </c>
      <c r="E3260" s="34" t="s">
        <v>7642</v>
      </c>
      <c r="F3260" s="34" t="s">
        <v>2316</v>
      </c>
      <c r="G3260" s="34">
        <v>61293.0</v>
      </c>
      <c r="H3260" s="34" t="s">
        <v>6231</v>
      </c>
      <c r="I3260" s="34" t="s">
        <v>18</v>
      </c>
      <c r="J3260" s="34" t="s">
        <v>14</v>
      </c>
      <c r="K3260" s="45">
        <v>110.0</v>
      </c>
      <c r="L3260" s="45">
        <v>79.7</v>
      </c>
      <c r="M3260" s="45">
        <v>102.7</v>
      </c>
    </row>
    <row r="3261">
      <c r="A3261" s="34" t="s">
        <v>70</v>
      </c>
      <c r="B3261" s="34" t="s">
        <v>46</v>
      </c>
      <c r="C3261" s="34">
        <v>62.0</v>
      </c>
      <c r="D3261" s="34" t="s">
        <v>1165</v>
      </c>
      <c r="E3261" s="34" t="s">
        <v>7643</v>
      </c>
      <c r="F3261" s="34" t="s">
        <v>7644</v>
      </c>
      <c r="G3261" s="34">
        <v>62048.0</v>
      </c>
      <c r="H3261" s="34" t="s">
        <v>1168</v>
      </c>
      <c r="I3261" s="34" t="s">
        <v>18</v>
      </c>
      <c r="J3261" s="34" t="s">
        <v>13</v>
      </c>
      <c r="K3261" s="9"/>
      <c r="L3261" s="45">
        <v>70.7</v>
      </c>
      <c r="M3261" s="45">
        <v>70.7</v>
      </c>
    </row>
    <row r="3262">
      <c r="A3262" s="34" t="s">
        <v>70</v>
      </c>
      <c r="B3262" s="34" t="s">
        <v>46</v>
      </c>
      <c r="C3262" s="34">
        <v>62.0</v>
      </c>
      <c r="D3262" s="34" t="s">
        <v>1165</v>
      </c>
      <c r="E3262" s="34" t="s">
        <v>7645</v>
      </c>
      <c r="F3262" s="34" t="s">
        <v>7646</v>
      </c>
      <c r="G3262" s="34">
        <v>62178.0</v>
      </c>
      <c r="H3262" s="34" t="s">
        <v>3045</v>
      </c>
      <c r="I3262" s="34" t="s">
        <v>18</v>
      </c>
      <c r="J3262" s="34" t="s">
        <v>14</v>
      </c>
      <c r="K3262" s="45">
        <v>95.7</v>
      </c>
      <c r="L3262" s="45">
        <v>75.3</v>
      </c>
      <c r="M3262" s="45">
        <v>91.2</v>
      </c>
    </row>
    <row r="3263">
      <c r="A3263" s="34" t="s">
        <v>70</v>
      </c>
      <c r="B3263" s="34" t="s">
        <v>46</v>
      </c>
      <c r="C3263" s="34">
        <v>62.0</v>
      </c>
      <c r="D3263" s="34" t="s">
        <v>1165</v>
      </c>
      <c r="E3263" s="34" t="s">
        <v>7647</v>
      </c>
      <c r="F3263" s="34" t="s">
        <v>7648</v>
      </c>
      <c r="G3263" s="34">
        <v>62186.0</v>
      </c>
      <c r="H3263" s="34" t="s">
        <v>7649</v>
      </c>
      <c r="I3263" s="34" t="s">
        <v>18</v>
      </c>
      <c r="J3263" s="34" t="s">
        <v>14</v>
      </c>
      <c r="K3263" s="45">
        <v>92.4</v>
      </c>
      <c r="L3263" s="45">
        <v>69.7</v>
      </c>
      <c r="M3263" s="45">
        <v>79.1</v>
      </c>
    </row>
    <row r="3264">
      <c r="A3264" s="34" t="s">
        <v>70</v>
      </c>
      <c r="B3264" s="34" t="s">
        <v>46</v>
      </c>
      <c r="C3264" s="34">
        <v>62.0</v>
      </c>
      <c r="D3264" s="34" t="s">
        <v>1165</v>
      </c>
      <c r="E3264" s="34" t="s">
        <v>7650</v>
      </c>
      <c r="F3264" s="34" t="s">
        <v>7651</v>
      </c>
      <c r="G3264" s="34">
        <v>62193.0</v>
      </c>
      <c r="H3264" s="34" t="s">
        <v>3025</v>
      </c>
      <c r="I3264" s="34" t="s">
        <v>18</v>
      </c>
      <c r="J3264" s="34" t="s">
        <v>15</v>
      </c>
      <c r="K3264" s="45">
        <v>103.2</v>
      </c>
      <c r="L3264" s="9"/>
      <c r="M3264" s="45">
        <v>103.2</v>
      </c>
    </row>
    <row r="3265">
      <c r="A3265" s="34" t="s">
        <v>70</v>
      </c>
      <c r="B3265" s="34" t="s">
        <v>46</v>
      </c>
      <c r="C3265" s="34">
        <v>62.0</v>
      </c>
      <c r="D3265" s="34" t="s">
        <v>1165</v>
      </c>
      <c r="E3265" s="34" t="s">
        <v>7652</v>
      </c>
      <c r="F3265" s="34" t="s">
        <v>1158</v>
      </c>
      <c r="G3265" s="34">
        <v>62516.0</v>
      </c>
      <c r="H3265" s="34" t="s">
        <v>4752</v>
      </c>
      <c r="I3265" s="34" t="s">
        <v>18</v>
      </c>
      <c r="J3265" s="34" t="s">
        <v>13</v>
      </c>
      <c r="K3265" s="9"/>
      <c r="L3265" s="45">
        <v>76.5</v>
      </c>
      <c r="M3265" s="45">
        <v>76.5</v>
      </c>
    </row>
    <row r="3266">
      <c r="A3266" s="34" t="s">
        <v>70</v>
      </c>
      <c r="B3266" s="34" t="s">
        <v>46</v>
      </c>
      <c r="C3266" s="34">
        <v>62.0</v>
      </c>
      <c r="D3266" s="34" t="s">
        <v>1165</v>
      </c>
      <c r="E3266" s="34" t="s">
        <v>7653</v>
      </c>
      <c r="F3266" s="34" t="s">
        <v>7654</v>
      </c>
      <c r="G3266" s="34">
        <v>62767.0</v>
      </c>
      <c r="H3266" s="34" t="s">
        <v>1180</v>
      </c>
      <c r="I3266" s="34" t="s">
        <v>18</v>
      </c>
      <c r="J3266" s="34" t="s">
        <v>15</v>
      </c>
      <c r="K3266" s="45">
        <v>106.6</v>
      </c>
      <c r="L3266" s="9"/>
      <c r="M3266" s="45">
        <v>106.6</v>
      </c>
    </row>
    <row r="3267">
      <c r="A3267" s="34" t="s">
        <v>70</v>
      </c>
      <c r="B3267" s="34" t="s">
        <v>46</v>
      </c>
      <c r="C3267" s="34">
        <v>62.0</v>
      </c>
      <c r="D3267" s="34" t="s">
        <v>1165</v>
      </c>
      <c r="E3267" s="34" t="s">
        <v>7655</v>
      </c>
      <c r="F3267" s="34" t="s">
        <v>7656</v>
      </c>
      <c r="G3267" s="34">
        <v>62119.0</v>
      </c>
      <c r="H3267" s="34" t="s">
        <v>3022</v>
      </c>
      <c r="I3267" s="34" t="s">
        <v>18</v>
      </c>
      <c r="J3267" s="34" t="s">
        <v>13</v>
      </c>
      <c r="K3267" s="9"/>
      <c r="L3267" s="45">
        <v>81.2</v>
      </c>
      <c r="M3267" s="45">
        <v>81.2</v>
      </c>
    </row>
    <row r="3268">
      <c r="A3268" s="34" t="s">
        <v>70</v>
      </c>
      <c r="B3268" s="34" t="s">
        <v>46</v>
      </c>
      <c r="C3268" s="34">
        <v>62.0</v>
      </c>
      <c r="D3268" s="34" t="s">
        <v>1165</v>
      </c>
      <c r="E3268" s="34" t="s">
        <v>7657</v>
      </c>
      <c r="F3268" s="34" t="s">
        <v>7658</v>
      </c>
      <c r="G3268" s="34">
        <v>62119.0</v>
      </c>
      <c r="H3268" s="34" t="s">
        <v>3022</v>
      </c>
      <c r="I3268" s="34" t="s">
        <v>17</v>
      </c>
      <c r="J3268" s="34" t="s">
        <v>15</v>
      </c>
      <c r="K3268" s="45">
        <v>129.0</v>
      </c>
      <c r="L3268" s="9"/>
      <c r="M3268" s="45">
        <v>129.0</v>
      </c>
    </row>
    <row r="3269">
      <c r="A3269" s="34" t="s">
        <v>70</v>
      </c>
      <c r="B3269" s="34" t="s">
        <v>46</v>
      </c>
      <c r="C3269" s="34">
        <v>62.0</v>
      </c>
      <c r="D3269" s="34" t="s">
        <v>1165</v>
      </c>
      <c r="E3269" s="34" t="s">
        <v>7659</v>
      </c>
      <c r="F3269" s="34" t="s">
        <v>7660</v>
      </c>
      <c r="G3269" s="34">
        <v>62525.0</v>
      </c>
      <c r="H3269" s="34" t="s">
        <v>3067</v>
      </c>
      <c r="I3269" s="34" t="s">
        <v>17</v>
      </c>
      <c r="J3269" s="34" t="s">
        <v>15</v>
      </c>
      <c r="K3269" s="45">
        <v>133.2</v>
      </c>
      <c r="L3269" s="9"/>
      <c r="M3269" s="45">
        <v>133.2</v>
      </c>
    </row>
    <row r="3270">
      <c r="A3270" s="34" t="s">
        <v>70</v>
      </c>
      <c r="B3270" s="34" t="s">
        <v>46</v>
      </c>
      <c r="C3270" s="34">
        <v>62.0</v>
      </c>
      <c r="D3270" s="34" t="s">
        <v>1165</v>
      </c>
      <c r="E3270" s="34" t="s">
        <v>7661</v>
      </c>
      <c r="F3270" s="34" t="s">
        <v>7662</v>
      </c>
      <c r="G3270" s="34">
        <v>62765.0</v>
      </c>
      <c r="H3270" s="34" t="s">
        <v>1177</v>
      </c>
      <c r="I3270" s="34" t="s">
        <v>17</v>
      </c>
      <c r="J3270" s="34" t="s">
        <v>14</v>
      </c>
      <c r="K3270" s="45">
        <v>112.6</v>
      </c>
      <c r="L3270" s="45">
        <v>101.1</v>
      </c>
      <c r="M3270" s="45">
        <v>110.8</v>
      </c>
    </row>
    <row r="3271">
      <c r="A3271" s="34" t="s">
        <v>70</v>
      </c>
      <c r="B3271" s="34" t="s">
        <v>46</v>
      </c>
      <c r="C3271" s="34">
        <v>62.0</v>
      </c>
      <c r="D3271" s="34" t="s">
        <v>1165</v>
      </c>
      <c r="E3271" s="34" t="s">
        <v>7663</v>
      </c>
      <c r="F3271" s="34" t="s">
        <v>6642</v>
      </c>
      <c r="G3271" s="34">
        <v>62193.0</v>
      </c>
      <c r="H3271" s="34" t="s">
        <v>3025</v>
      </c>
      <c r="I3271" s="34" t="s">
        <v>17</v>
      </c>
      <c r="J3271" s="34" t="s">
        <v>13</v>
      </c>
      <c r="K3271" s="9"/>
      <c r="L3271" s="45">
        <v>93.8</v>
      </c>
      <c r="M3271" s="45">
        <v>93.8</v>
      </c>
    </row>
    <row r="3272">
      <c r="A3272" s="34" t="s">
        <v>70</v>
      </c>
      <c r="B3272" s="34" t="s">
        <v>46</v>
      </c>
      <c r="C3272" s="34">
        <v>62.0</v>
      </c>
      <c r="D3272" s="34" t="s">
        <v>1165</v>
      </c>
      <c r="E3272" s="34" t="s">
        <v>7664</v>
      </c>
      <c r="F3272" s="34" t="s">
        <v>7665</v>
      </c>
      <c r="G3272" s="34">
        <v>62193.0</v>
      </c>
      <c r="H3272" s="34" t="s">
        <v>3025</v>
      </c>
      <c r="I3272" s="34" t="s">
        <v>18</v>
      </c>
      <c r="J3272" s="34" t="s">
        <v>13</v>
      </c>
      <c r="K3272" s="9"/>
      <c r="L3272" s="45">
        <v>69.4</v>
      </c>
      <c r="M3272" s="45">
        <v>69.4</v>
      </c>
    </row>
    <row r="3273">
      <c r="A3273" s="34" t="s">
        <v>70</v>
      </c>
      <c r="B3273" s="34" t="s">
        <v>46</v>
      </c>
      <c r="C3273" s="34">
        <v>62.0</v>
      </c>
      <c r="D3273" s="34" t="s">
        <v>1165</v>
      </c>
      <c r="E3273" s="34" t="s">
        <v>7666</v>
      </c>
      <c r="F3273" s="34" t="s">
        <v>7667</v>
      </c>
      <c r="G3273" s="34">
        <v>62041.0</v>
      </c>
      <c r="H3273" s="34" t="s">
        <v>1186</v>
      </c>
      <c r="I3273" s="34" t="s">
        <v>18</v>
      </c>
      <c r="J3273" s="34" t="s">
        <v>15</v>
      </c>
      <c r="K3273" s="45">
        <v>111.6</v>
      </c>
      <c r="L3273" s="9"/>
      <c r="M3273" s="45">
        <v>111.6</v>
      </c>
    </row>
    <row r="3274">
      <c r="A3274" s="34" t="s">
        <v>70</v>
      </c>
      <c r="B3274" s="34" t="s">
        <v>46</v>
      </c>
      <c r="C3274" s="34">
        <v>62.0</v>
      </c>
      <c r="D3274" s="34" t="s">
        <v>1165</v>
      </c>
      <c r="E3274" s="34" t="s">
        <v>7668</v>
      </c>
      <c r="F3274" s="34" t="s">
        <v>7669</v>
      </c>
      <c r="G3274" s="34">
        <v>62617.0</v>
      </c>
      <c r="H3274" s="34" t="s">
        <v>7670</v>
      </c>
      <c r="I3274" s="34" t="s">
        <v>18</v>
      </c>
      <c r="J3274" s="34" t="s">
        <v>14</v>
      </c>
      <c r="K3274" s="45">
        <v>97.8</v>
      </c>
      <c r="L3274" s="45">
        <v>73.8</v>
      </c>
      <c r="M3274" s="45">
        <v>88.7</v>
      </c>
    </row>
    <row r="3275">
      <c r="A3275" s="34" t="s">
        <v>70</v>
      </c>
      <c r="B3275" s="34" t="s">
        <v>116</v>
      </c>
      <c r="C3275" s="34">
        <v>63.0</v>
      </c>
      <c r="D3275" s="34" t="s">
        <v>1196</v>
      </c>
      <c r="E3275" s="34" t="s">
        <v>7671</v>
      </c>
      <c r="F3275" s="34" t="s">
        <v>7672</v>
      </c>
      <c r="G3275" s="34">
        <v>63178.0</v>
      </c>
      <c r="H3275" s="34" t="s">
        <v>4766</v>
      </c>
      <c r="I3275" s="34" t="s">
        <v>18</v>
      </c>
      <c r="J3275" s="34" t="s">
        <v>13</v>
      </c>
      <c r="K3275" s="9"/>
      <c r="L3275" s="45">
        <v>83.9</v>
      </c>
      <c r="M3275" s="45">
        <v>83.9</v>
      </c>
    </row>
    <row r="3276">
      <c r="A3276" s="34" t="s">
        <v>70</v>
      </c>
      <c r="B3276" s="34" t="s">
        <v>116</v>
      </c>
      <c r="C3276" s="34">
        <v>63.0</v>
      </c>
      <c r="D3276" s="34" t="s">
        <v>1196</v>
      </c>
      <c r="E3276" s="34" t="s">
        <v>7673</v>
      </c>
      <c r="F3276" s="34" t="s">
        <v>7674</v>
      </c>
      <c r="G3276" s="34">
        <v>63430.0</v>
      </c>
      <c r="H3276" s="34" t="s">
        <v>1205</v>
      </c>
      <c r="I3276" s="34" t="s">
        <v>18</v>
      </c>
      <c r="J3276" s="34" t="s">
        <v>13</v>
      </c>
      <c r="K3276" s="9"/>
      <c r="L3276" s="45">
        <v>76.8</v>
      </c>
      <c r="M3276" s="45">
        <v>76.8</v>
      </c>
    </row>
    <row r="3277">
      <c r="A3277" s="34" t="s">
        <v>70</v>
      </c>
      <c r="B3277" s="34" t="s">
        <v>116</v>
      </c>
      <c r="C3277" s="34">
        <v>63.0</v>
      </c>
      <c r="D3277" s="34" t="s">
        <v>1196</v>
      </c>
      <c r="E3277" s="34" t="s">
        <v>7675</v>
      </c>
      <c r="F3277" s="34" t="s">
        <v>1089</v>
      </c>
      <c r="G3277" s="34">
        <v>63300.0</v>
      </c>
      <c r="H3277" s="34" t="s">
        <v>1202</v>
      </c>
      <c r="I3277" s="34" t="s">
        <v>17</v>
      </c>
      <c r="J3277" s="34" t="s">
        <v>15</v>
      </c>
      <c r="K3277" s="45">
        <v>131.1</v>
      </c>
      <c r="L3277" s="9"/>
      <c r="M3277" s="45">
        <v>131.1</v>
      </c>
    </row>
    <row r="3278">
      <c r="A3278" s="34" t="s">
        <v>70</v>
      </c>
      <c r="B3278" s="34" t="s">
        <v>116</v>
      </c>
      <c r="C3278" s="34">
        <v>63.0</v>
      </c>
      <c r="D3278" s="34" t="s">
        <v>1196</v>
      </c>
      <c r="E3278" s="34" t="s">
        <v>7676</v>
      </c>
      <c r="F3278" s="34" t="s">
        <v>7677</v>
      </c>
      <c r="G3278" s="34">
        <v>63113.0</v>
      </c>
      <c r="H3278" s="34" t="s">
        <v>1199</v>
      </c>
      <c r="I3278" s="34" t="s">
        <v>17</v>
      </c>
      <c r="J3278" s="34" t="s">
        <v>13</v>
      </c>
      <c r="K3278" s="9"/>
      <c r="L3278" s="45">
        <v>93.6</v>
      </c>
      <c r="M3278" s="45">
        <v>93.6</v>
      </c>
    </row>
    <row r="3279">
      <c r="A3279" s="34" t="s">
        <v>70</v>
      </c>
      <c r="B3279" s="34" t="s">
        <v>116</v>
      </c>
      <c r="C3279" s="34">
        <v>63.0</v>
      </c>
      <c r="D3279" s="34" t="s">
        <v>1196</v>
      </c>
      <c r="E3279" s="34" t="s">
        <v>7678</v>
      </c>
      <c r="F3279" s="34" t="s">
        <v>2569</v>
      </c>
      <c r="G3279" s="34">
        <v>63124.0</v>
      </c>
      <c r="H3279" s="34" t="s">
        <v>7679</v>
      </c>
      <c r="I3279" s="34" t="s">
        <v>18</v>
      </c>
      <c r="J3279" s="34" t="s">
        <v>15</v>
      </c>
      <c r="K3279" s="45">
        <v>124.0</v>
      </c>
      <c r="L3279" s="9"/>
      <c r="M3279" s="45">
        <v>124.0</v>
      </c>
    </row>
    <row r="3280">
      <c r="A3280" s="34" t="s">
        <v>70</v>
      </c>
      <c r="B3280" s="34" t="s">
        <v>116</v>
      </c>
      <c r="C3280" s="34">
        <v>63.0</v>
      </c>
      <c r="D3280" s="34" t="s">
        <v>1196</v>
      </c>
      <c r="E3280" s="34" t="s">
        <v>7680</v>
      </c>
      <c r="F3280" s="34" t="s">
        <v>7681</v>
      </c>
      <c r="G3280" s="34">
        <v>63300.0</v>
      </c>
      <c r="H3280" s="34" t="s">
        <v>1202</v>
      </c>
      <c r="I3280" s="34" t="s">
        <v>18</v>
      </c>
      <c r="J3280" s="34" t="s">
        <v>14</v>
      </c>
      <c r="K3280" s="45">
        <v>121.9</v>
      </c>
      <c r="L3280" s="45">
        <v>92.3</v>
      </c>
      <c r="M3280" s="45">
        <v>104.3</v>
      </c>
    </row>
    <row r="3281">
      <c r="A3281" s="34" t="s">
        <v>70</v>
      </c>
      <c r="B3281" s="34" t="s">
        <v>377</v>
      </c>
      <c r="C3281" s="34">
        <v>64.0</v>
      </c>
      <c r="D3281" s="34" t="s">
        <v>1210</v>
      </c>
      <c r="E3281" s="34" t="s">
        <v>7682</v>
      </c>
      <c r="F3281" s="34" t="s">
        <v>7683</v>
      </c>
      <c r="G3281" s="34">
        <v>64102.0</v>
      </c>
      <c r="H3281" s="34" t="s">
        <v>1235</v>
      </c>
      <c r="I3281" s="34" t="s">
        <v>18</v>
      </c>
      <c r="J3281" s="34" t="s">
        <v>15</v>
      </c>
      <c r="K3281" s="45">
        <v>107.1</v>
      </c>
      <c r="L3281" s="9"/>
      <c r="M3281" s="45">
        <v>107.1</v>
      </c>
    </row>
    <row r="3282">
      <c r="A3282" s="34" t="s">
        <v>70</v>
      </c>
      <c r="B3282" s="34" t="s">
        <v>377</v>
      </c>
      <c r="C3282" s="34">
        <v>64.0</v>
      </c>
      <c r="D3282" s="34" t="s">
        <v>1210</v>
      </c>
      <c r="E3282" s="34" t="s">
        <v>7684</v>
      </c>
      <c r="F3282" s="34" t="s">
        <v>7685</v>
      </c>
      <c r="G3282" s="34">
        <v>64430.0</v>
      </c>
      <c r="H3282" s="34" t="s">
        <v>1222</v>
      </c>
      <c r="I3282" s="34" t="s">
        <v>18</v>
      </c>
      <c r="J3282" s="34" t="s">
        <v>15</v>
      </c>
      <c r="K3282" s="45">
        <v>114.0</v>
      </c>
      <c r="L3282" s="9"/>
      <c r="M3282" s="45">
        <v>114.0</v>
      </c>
    </row>
    <row r="3283">
      <c r="A3283" s="34" t="s">
        <v>70</v>
      </c>
      <c r="B3283" s="34" t="s">
        <v>377</v>
      </c>
      <c r="C3283" s="34">
        <v>64.0</v>
      </c>
      <c r="D3283" s="34" t="s">
        <v>1210</v>
      </c>
      <c r="E3283" s="34" t="s">
        <v>7686</v>
      </c>
      <c r="F3283" s="34" t="s">
        <v>1433</v>
      </c>
      <c r="G3283" s="34">
        <v>64371.0</v>
      </c>
      <c r="H3283" s="34" t="s">
        <v>3103</v>
      </c>
      <c r="I3283" s="34" t="s">
        <v>17</v>
      </c>
      <c r="J3283" s="34" t="s">
        <v>15</v>
      </c>
      <c r="K3283" s="45">
        <v>117.2</v>
      </c>
      <c r="L3283" s="9"/>
      <c r="M3283" s="45">
        <v>117.2</v>
      </c>
    </row>
    <row r="3284">
      <c r="A3284" s="34" t="s">
        <v>70</v>
      </c>
      <c r="B3284" s="34" t="s">
        <v>377</v>
      </c>
      <c r="C3284" s="34">
        <v>64.0</v>
      </c>
      <c r="D3284" s="34" t="s">
        <v>1210</v>
      </c>
      <c r="E3284" s="34" t="s">
        <v>7687</v>
      </c>
      <c r="F3284" s="34" t="s">
        <v>7688</v>
      </c>
      <c r="G3284" s="34">
        <v>64483.0</v>
      </c>
      <c r="H3284" s="34" t="s">
        <v>1228</v>
      </c>
      <c r="I3284" s="34" t="s">
        <v>17</v>
      </c>
      <c r="J3284" s="34" t="s">
        <v>15</v>
      </c>
      <c r="K3284" s="45">
        <v>120.5</v>
      </c>
      <c r="L3284" s="9"/>
      <c r="M3284" s="45">
        <v>120.5</v>
      </c>
    </row>
    <row r="3285">
      <c r="A3285" s="34" t="s">
        <v>70</v>
      </c>
      <c r="B3285" s="34" t="s">
        <v>377</v>
      </c>
      <c r="C3285" s="34">
        <v>64.0</v>
      </c>
      <c r="D3285" s="34" t="s">
        <v>1210</v>
      </c>
      <c r="E3285" s="34" t="s">
        <v>7689</v>
      </c>
      <c r="F3285" s="34" t="s">
        <v>7690</v>
      </c>
      <c r="G3285" s="34">
        <v>64102.0</v>
      </c>
      <c r="H3285" s="34" t="s">
        <v>1235</v>
      </c>
      <c r="I3285" s="34" t="s">
        <v>17</v>
      </c>
      <c r="J3285" s="34" t="s">
        <v>13</v>
      </c>
      <c r="K3285" s="9"/>
      <c r="L3285" s="45">
        <v>98.5</v>
      </c>
      <c r="M3285" s="45">
        <v>98.5</v>
      </c>
    </row>
    <row r="3286">
      <c r="A3286" s="34" t="s">
        <v>70</v>
      </c>
      <c r="B3286" s="34" t="s">
        <v>377</v>
      </c>
      <c r="C3286" s="34">
        <v>64.0</v>
      </c>
      <c r="D3286" s="34" t="s">
        <v>1210</v>
      </c>
      <c r="E3286" s="34" t="s">
        <v>7691</v>
      </c>
      <c r="F3286" s="34" t="s">
        <v>7692</v>
      </c>
      <c r="G3286" s="34">
        <v>64188.0</v>
      </c>
      <c r="H3286" s="34" t="s">
        <v>7693</v>
      </c>
      <c r="I3286" s="34" t="s">
        <v>18</v>
      </c>
      <c r="J3286" s="34" t="s">
        <v>15</v>
      </c>
      <c r="K3286" s="45">
        <v>112.0</v>
      </c>
      <c r="L3286" s="9"/>
      <c r="M3286" s="45">
        <v>112.0</v>
      </c>
    </row>
    <row r="3287">
      <c r="A3287" s="34" t="s">
        <v>70</v>
      </c>
      <c r="B3287" s="34" t="s">
        <v>377</v>
      </c>
      <c r="C3287" s="34">
        <v>64.0</v>
      </c>
      <c r="D3287" s="34" t="s">
        <v>1210</v>
      </c>
      <c r="E3287" s="34" t="s">
        <v>7694</v>
      </c>
      <c r="F3287" s="34" t="s">
        <v>2741</v>
      </c>
      <c r="G3287" s="34">
        <v>64335.0</v>
      </c>
      <c r="H3287" s="34" t="s">
        <v>7695</v>
      </c>
      <c r="I3287" s="34" t="s">
        <v>18</v>
      </c>
      <c r="J3287" s="34" t="s">
        <v>15</v>
      </c>
      <c r="K3287" s="45">
        <v>124.0</v>
      </c>
      <c r="L3287" s="9"/>
      <c r="M3287" s="45">
        <v>124.0</v>
      </c>
    </row>
    <row r="3288">
      <c r="A3288" s="34" t="s">
        <v>70</v>
      </c>
      <c r="B3288" s="34" t="s">
        <v>182</v>
      </c>
      <c r="C3288" s="34">
        <v>65.0</v>
      </c>
      <c r="D3288" s="34" t="s">
        <v>1246</v>
      </c>
      <c r="E3288" s="34" t="s">
        <v>7696</v>
      </c>
      <c r="F3288" s="34" t="s">
        <v>7697</v>
      </c>
      <c r="G3288" s="34">
        <v>65025.0</v>
      </c>
      <c r="H3288" s="34" t="s">
        <v>7698</v>
      </c>
      <c r="I3288" s="34" t="s">
        <v>18</v>
      </c>
      <c r="J3288" s="34" t="s">
        <v>15</v>
      </c>
      <c r="K3288" s="45">
        <v>117.0</v>
      </c>
      <c r="L3288" s="9"/>
      <c r="M3288" s="45">
        <v>117.0</v>
      </c>
    </row>
    <row r="3289">
      <c r="A3289" s="34" t="s">
        <v>70</v>
      </c>
      <c r="B3289" s="34" t="s">
        <v>182</v>
      </c>
      <c r="C3289" s="34">
        <v>65.0</v>
      </c>
      <c r="D3289" s="34" t="s">
        <v>1246</v>
      </c>
      <c r="E3289" s="34" t="s">
        <v>7699</v>
      </c>
      <c r="F3289" s="34" t="s">
        <v>7700</v>
      </c>
      <c r="G3289" s="34">
        <v>65059.0</v>
      </c>
      <c r="H3289" s="34" t="s">
        <v>7701</v>
      </c>
      <c r="I3289" s="34" t="s">
        <v>18</v>
      </c>
      <c r="J3289" s="34" t="s">
        <v>14</v>
      </c>
      <c r="K3289" s="45">
        <v>116.5</v>
      </c>
      <c r="L3289" s="45">
        <v>93.9</v>
      </c>
      <c r="M3289" s="45">
        <v>107.7</v>
      </c>
    </row>
    <row r="3290">
      <c r="A3290" s="34" t="s">
        <v>70</v>
      </c>
      <c r="B3290" s="34" t="s">
        <v>182</v>
      </c>
      <c r="C3290" s="34">
        <v>65.0</v>
      </c>
      <c r="D3290" s="34" t="s">
        <v>1246</v>
      </c>
      <c r="E3290" s="34" t="s">
        <v>7702</v>
      </c>
      <c r="F3290" s="34" t="s">
        <v>7703</v>
      </c>
      <c r="G3290" s="34">
        <v>65440.0</v>
      </c>
      <c r="H3290" s="34" t="s">
        <v>1252</v>
      </c>
      <c r="I3290" s="34" t="s">
        <v>18</v>
      </c>
      <c r="J3290" s="34" t="s">
        <v>13</v>
      </c>
      <c r="K3290" s="9"/>
      <c r="L3290" s="45">
        <v>87.0</v>
      </c>
      <c r="M3290" s="45">
        <v>87.0</v>
      </c>
    </row>
    <row r="3291">
      <c r="A3291" s="34" t="s">
        <v>70</v>
      </c>
      <c r="B3291" s="34" t="s">
        <v>483</v>
      </c>
      <c r="C3291" s="34">
        <v>66.0</v>
      </c>
      <c r="D3291" s="34" t="s">
        <v>1255</v>
      </c>
      <c r="E3291" s="34" t="s">
        <v>7704</v>
      </c>
      <c r="F3291" s="34" t="s">
        <v>7705</v>
      </c>
      <c r="G3291" s="34">
        <v>66136.0</v>
      </c>
      <c r="H3291" s="34" t="s">
        <v>1258</v>
      </c>
      <c r="I3291" s="34" t="s">
        <v>18</v>
      </c>
      <c r="J3291" s="34" t="s">
        <v>15</v>
      </c>
      <c r="K3291" s="45">
        <v>108.4</v>
      </c>
      <c r="L3291" s="9"/>
      <c r="M3291" s="45">
        <v>108.4</v>
      </c>
    </row>
    <row r="3292">
      <c r="A3292" s="34" t="s">
        <v>70</v>
      </c>
      <c r="B3292" s="34" t="s">
        <v>483</v>
      </c>
      <c r="C3292" s="34">
        <v>66.0</v>
      </c>
      <c r="D3292" s="34" t="s">
        <v>1255</v>
      </c>
      <c r="E3292" s="34" t="s">
        <v>7706</v>
      </c>
      <c r="F3292" s="34" t="s">
        <v>7707</v>
      </c>
      <c r="G3292" s="34">
        <v>66208.0</v>
      </c>
      <c r="H3292" s="34" t="s">
        <v>7708</v>
      </c>
      <c r="I3292" s="34" t="s">
        <v>18</v>
      </c>
      <c r="J3292" s="34" t="s">
        <v>15</v>
      </c>
      <c r="K3292" s="45">
        <v>102.2</v>
      </c>
      <c r="L3292" s="9"/>
      <c r="M3292" s="45">
        <v>102.2</v>
      </c>
    </row>
    <row r="3293">
      <c r="A3293" s="34" t="s">
        <v>70</v>
      </c>
      <c r="B3293" s="34" t="s">
        <v>1259</v>
      </c>
      <c r="C3293" s="34">
        <v>67.0</v>
      </c>
      <c r="D3293" s="34" t="s">
        <v>1260</v>
      </c>
      <c r="E3293" s="34" t="s">
        <v>7709</v>
      </c>
      <c r="F3293" s="34" t="s">
        <v>1508</v>
      </c>
      <c r="G3293" s="34">
        <v>67046.0</v>
      </c>
      <c r="H3293" s="34" t="s">
        <v>7710</v>
      </c>
      <c r="I3293" s="34" t="s">
        <v>18</v>
      </c>
      <c r="J3293" s="34" t="s">
        <v>15</v>
      </c>
      <c r="K3293" s="45">
        <v>103.8</v>
      </c>
      <c r="L3293" s="9"/>
      <c r="M3293" s="45">
        <v>103.8</v>
      </c>
    </row>
    <row r="3294">
      <c r="A3294" s="34" t="s">
        <v>70</v>
      </c>
      <c r="B3294" s="34" t="s">
        <v>1259</v>
      </c>
      <c r="C3294" s="34">
        <v>67.0</v>
      </c>
      <c r="D3294" s="34" t="s">
        <v>1260</v>
      </c>
      <c r="E3294" s="34" t="s">
        <v>7711</v>
      </c>
      <c r="F3294" s="34" t="s">
        <v>7712</v>
      </c>
      <c r="G3294" s="34">
        <v>67046.0</v>
      </c>
      <c r="H3294" s="34" t="s">
        <v>7710</v>
      </c>
      <c r="I3294" s="34" t="s">
        <v>18</v>
      </c>
      <c r="J3294" s="34" t="s">
        <v>13</v>
      </c>
      <c r="K3294" s="9"/>
      <c r="L3294" s="45">
        <v>79.4</v>
      </c>
      <c r="M3294" s="45">
        <v>79.4</v>
      </c>
    </row>
    <row r="3295">
      <c r="A3295" s="34" t="s">
        <v>70</v>
      </c>
      <c r="B3295" s="34" t="s">
        <v>1259</v>
      </c>
      <c r="C3295" s="34">
        <v>67.0</v>
      </c>
      <c r="D3295" s="34" t="s">
        <v>1260</v>
      </c>
      <c r="E3295" s="34" t="s">
        <v>7713</v>
      </c>
      <c r="F3295" s="34" t="s">
        <v>7714</v>
      </c>
      <c r="G3295" s="34">
        <v>67061.0</v>
      </c>
      <c r="H3295" s="34" t="s">
        <v>7715</v>
      </c>
      <c r="I3295" s="34" t="s">
        <v>18</v>
      </c>
      <c r="J3295" s="34" t="s">
        <v>15</v>
      </c>
      <c r="K3295" s="45">
        <v>117.3</v>
      </c>
      <c r="L3295" s="9"/>
      <c r="M3295" s="45">
        <v>117.3</v>
      </c>
    </row>
    <row r="3296">
      <c r="A3296" s="34" t="s">
        <v>70</v>
      </c>
      <c r="B3296" s="34" t="s">
        <v>1259</v>
      </c>
      <c r="C3296" s="34">
        <v>67.0</v>
      </c>
      <c r="D3296" s="34" t="s">
        <v>1260</v>
      </c>
      <c r="E3296" s="34" t="s">
        <v>7716</v>
      </c>
      <c r="F3296" s="34" t="s">
        <v>988</v>
      </c>
      <c r="G3296" s="34">
        <v>67180.0</v>
      </c>
      <c r="H3296" s="34" t="s">
        <v>3148</v>
      </c>
      <c r="I3296" s="34" t="s">
        <v>18</v>
      </c>
      <c r="J3296" s="34" t="s">
        <v>15</v>
      </c>
      <c r="K3296" s="45">
        <v>115.2</v>
      </c>
      <c r="L3296" s="9"/>
      <c r="M3296" s="45">
        <v>115.2</v>
      </c>
    </row>
    <row r="3297">
      <c r="A3297" s="34" t="s">
        <v>70</v>
      </c>
      <c r="B3297" s="34" t="s">
        <v>1259</v>
      </c>
      <c r="C3297" s="34">
        <v>67.0</v>
      </c>
      <c r="D3297" s="34" t="s">
        <v>1260</v>
      </c>
      <c r="E3297" s="34" t="s">
        <v>7717</v>
      </c>
      <c r="F3297" s="34" t="s">
        <v>7718</v>
      </c>
      <c r="G3297" s="34">
        <v>67482.0</v>
      </c>
      <c r="H3297" s="34" t="s">
        <v>1259</v>
      </c>
      <c r="I3297" s="34" t="s">
        <v>18</v>
      </c>
      <c r="J3297" s="34" t="s">
        <v>14</v>
      </c>
      <c r="K3297" s="45">
        <v>86.2</v>
      </c>
      <c r="L3297" s="45">
        <v>76.3</v>
      </c>
      <c r="M3297" s="45">
        <v>81.2</v>
      </c>
    </row>
    <row r="3298">
      <c r="A3298" s="34" t="s">
        <v>70</v>
      </c>
      <c r="B3298" s="34" t="s">
        <v>1259</v>
      </c>
      <c r="C3298" s="34">
        <v>67.0</v>
      </c>
      <c r="D3298" s="34" t="s">
        <v>1260</v>
      </c>
      <c r="E3298" s="34" t="s">
        <v>7719</v>
      </c>
      <c r="F3298" s="34" t="s">
        <v>7720</v>
      </c>
      <c r="G3298" s="34">
        <v>67482.0</v>
      </c>
      <c r="H3298" s="34" t="s">
        <v>1259</v>
      </c>
      <c r="I3298" s="34" t="s">
        <v>17</v>
      </c>
      <c r="J3298" s="34" t="s">
        <v>15</v>
      </c>
      <c r="K3298" s="45">
        <v>133.8</v>
      </c>
      <c r="L3298" s="9"/>
      <c r="M3298" s="45">
        <v>133.8</v>
      </c>
    </row>
    <row r="3299">
      <c r="A3299" s="34" t="s">
        <v>70</v>
      </c>
      <c r="B3299" s="34" t="s">
        <v>1259</v>
      </c>
      <c r="C3299" s="34">
        <v>67.0</v>
      </c>
      <c r="D3299" s="34" t="s">
        <v>1260</v>
      </c>
      <c r="E3299" s="34" t="s">
        <v>7721</v>
      </c>
      <c r="F3299" s="34" t="s">
        <v>7722</v>
      </c>
      <c r="G3299" s="34">
        <v>67462.0</v>
      </c>
      <c r="H3299" s="34" t="s">
        <v>4836</v>
      </c>
      <c r="I3299" s="34" t="s">
        <v>18</v>
      </c>
      <c r="J3299" s="34" t="s">
        <v>13</v>
      </c>
      <c r="K3299" s="9"/>
      <c r="L3299" s="45">
        <v>84.3</v>
      </c>
      <c r="M3299" s="45">
        <v>84.3</v>
      </c>
    </row>
    <row r="3300">
      <c r="A3300" s="34" t="s">
        <v>70</v>
      </c>
      <c r="B3300" s="34" t="s">
        <v>1259</v>
      </c>
      <c r="C3300" s="34">
        <v>67.0</v>
      </c>
      <c r="D3300" s="34" t="s">
        <v>1260</v>
      </c>
      <c r="E3300" s="34" t="s">
        <v>7723</v>
      </c>
      <c r="F3300" s="34" t="s">
        <v>7177</v>
      </c>
      <c r="G3300" s="34">
        <v>67043.0</v>
      </c>
      <c r="H3300" s="34" t="s">
        <v>7724</v>
      </c>
      <c r="I3300" s="34" t="s">
        <v>18</v>
      </c>
      <c r="J3300" s="34" t="s">
        <v>15</v>
      </c>
      <c r="K3300" s="45">
        <v>101.7</v>
      </c>
      <c r="L3300" s="9"/>
      <c r="M3300" s="45">
        <v>101.7</v>
      </c>
    </row>
    <row r="3301">
      <c r="A3301" s="34" t="s">
        <v>70</v>
      </c>
      <c r="B3301" s="34" t="s">
        <v>1259</v>
      </c>
      <c r="C3301" s="34">
        <v>67.0</v>
      </c>
      <c r="D3301" s="34" t="s">
        <v>1260</v>
      </c>
      <c r="E3301" s="34" t="s">
        <v>7725</v>
      </c>
      <c r="F3301" s="34" t="s">
        <v>7726</v>
      </c>
      <c r="G3301" s="34">
        <v>67482.0</v>
      </c>
      <c r="H3301" s="34" t="s">
        <v>1259</v>
      </c>
      <c r="I3301" s="34" t="s">
        <v>18</v>
      </c>
      <c r="J3301" s="34" t="s">
        <v>14</v>
      </c>
      <c r="K3301" s="45">
        <v>103.5</v>
      </c>
      <c r="L3301" s="45">
        <v>79.8</v>
      </c>
      <c r="M3301" s="45">
        <v>98.3</v>
      </c>
    </row>
    <row r="3302">
      <c r="A3302" s="34" t="s">
        <v>70</v>
      </c>
      <c r="B3302" s="34" t="s">
        <v>1259</v>
      </c>
      <c r="C3302" s="34">
        <v>68.0</v>
      </c>
      <c r="D3302" s="34" t="s">
        <v>1281</v>
      </c>
      <c r="E3302" s="34" t="s">
        <v>7727</v>
      </c>
      <c r="F3302" s="34" t="s">
        <v>4595</v>
      </c>
      <c r="G3302" s="34">
        <v>68174.0</v>
      </c>
      <c r="H3302" s="34" t="s">
        <v>7728</v>
      </c>
      <c r="I3302" s="34" t="s">
        <v>17</v>
      </c>
      <c r="J3302" s="34" t="s">
        <v>15</v>
      </c>
      <c r="K3302" s="45">
        <v>134.8</v>
      </c>
      <c r="L3302" s="9"/>
      <c r="M3302" s="45">
        <v>134.8</v>
      </c>
    </row>
    <row r="3303">
      <c r="A3303" s="34" t="s">
        <v>70</v>
      </c>
      <c r="B3303" s="34" t="s">
        <v>1259</v>
      </c>
      <c r="C3303" s="34">
        <v>68.0</v>
      </c>
      <c r="D3303" s="34" t="s">
        <v>1281</v>
      </c>
      <c r="E3303" s="34" t="s">
        <v>7729</v>
      </c>
      <c r="F3303" s="34" t="s">
        <v>7730</v>
      </c>
      <c r="G3303" s="34">
        <v>68384.0</v>
      </c>
      <c r="H3303" s="34" t="s">
        <v>7731</v>
      </c>
      <c r="I3303" s="34" t="s">
        <v>17</v>
      </c>
      <c r="J3303" s="34" t="s">
        <v>15</v>
      </c>
      <c r="K3303" s="45">
        <v>137.6</v>
      </c>
      <c r="L3303" s="9"/>
      <c r="M3303" s="45">
        <v>137.6</v>
      </c>
    </row>
    <row r="3304">
      <c r="A3304" s="34" t="s">
        <v>70</v>
      </c>
      <c r="B3304" s="34" t="s">
        <v>1259</v>
      </c>
      <c r="C3304" s="34">
        <v>68.0</v>
      </c>
      <c r="D3304" s="34" t="s">
        <v>1281</v>
      </c>
      <c r="E3304" s="34" t="s">
        <v>7732</v>
      </c>
      <c r="F3304" s="34" t="s">
        <v>7733</v>
      </c>
      <c r="G3304" s="34">
        <v>68062.0</v>
      </c>
      <c r="H3304" s="34" t="s">
        <v>7734</v>
      </c>
      <c r="I3304" s="34" t="s">
        <v>17</v>
      </c>
      <c r="J3304" s="34" t="s">
        <v>13</v>
      </c>
      <c r="K3304" s="9"/>
      <c r="L3304" s="45">
        <v>100.0</v>
      </c>
      <c r="M3304" s="45">
        <v>100.0</v>
      </c>
    </row>
    <row r="3305">
      <c r="A3305" s="34" t="s">
        <v>70</v>
      </c>
      <c r="B3305" s="34" t="s">
        <v>1259</v>
      </c>
      <c r="C3305" s="34">
        <v>68.0</v>
      </c>
      <c r="D3305" s="34" t="s">
        <v>1281</v>
      </c>
      <c r="E3305" s="34" t="s">
        <v>7735</v>
      </c>
      <c r="F3305" s="34" t="s">
        <v>7736</v>
      </c>
      <c r="G3305" s="34">
        <v>68062.0</v>
      </c>
      <c r="H3305" s="34" t="s">
        <v>7734</v>
      </c>
      <c r="I3305" s="34" t="s">
        <v>17</v>
      </c>
      <c r="J3305" s="34" t="s">
        <v>15</v>
      </c>
      <c r="K3305" s="45">
        <v>105.2</v>
      </c>
      <c r="L3305" s="9"/>
      <c r="M3305" s="45">
        <v>105.2</v>
      </c>
    </row>
    <row r="3306">
      <c r="A3306" s="34" t="s">
        <v>70</v>
      </c>
      <c r="B3306" s="34" t="s">
        <v>1259</v>
      </c>
      <c r="C3306" s="34">
        <v>68.0</v>
      </c>
      <c r="D3306" s="34" t="s">
        <v>1281</v>
      </c>
      <c r="E3306" s="34" t="s">
        <v>7737</v>
      </c>
      <c r="F3306" s="34" t="s">
        <v>7738</v>
      </c>
      <c r="G3306" s="34">
        <v>68156.0</v>
      </c>
      <c r="H3306" s="34" t="s">
        <v>7739</v>
      </c>
      <c r="I3306" s="34" t="s">
        <v>17</v>
      </c>
      <c r="J3306" s="34" t="s">
        <v>15</v>
      </c>
      <c r="K3306" s="45">
        <v>120.7</v>
      </c>
      <c r="L3306" s="9"/>
      <c r="M3306" s="45">
        <v>120.7</v>
      </c>
    </row>
    <row r="3307">
      <c r="A3307" s="34" t="s">
        <v>70</v>
      </c>
      <c r="B3307" s="34" t="s">
        <v>71</v>
      </c>
      <c r="C3307" s="34">
        <v>69.0</v>
      </c>
      <c r="D3307" s="34" t="s">
        <v>1316</v>
      </c>
      <c r="E3307" s="34" t="s">
        <v>7740</v>
      </c>
      <c r="F3307" s="34" t="s">
        <v>7741</v>
      </c>
      <c r="G3307" s="34">
        <v>69091.0</v>
      </c>
      <c r="H3307" s="34" t="s">
        <v>3220</v>
      </c>
      <c r="I3307" s="34" t="s">
        <v>18</v>
      </c>
      <c r="J3307" s="34" t="s">
        <v>13</v>
      </c>
      <c r="K3307" s="9"/>
      <c r="L3307" s="45">
        <v>73.9</v>
      </c>
      <c r="M3307" s="45">
        <v>73.9</v>
      </c>
    </row>
    <row r="3308">
      <c r="A3308" s="34" t="s">
        <v>70</v>
      </c>
      <c r="B3308" s="34" t="s">
        <v>71</v>
      </c>
      <c r="C3308" s="34">
        <v>69.0</v>
      </c>
      <c r="D3308" s="34" t="s">
        <v>1316</v>
      </c>
      <c r="E3308" s="34" t="s">
        <v>7742</v>
      </c>
      <c r="F3308" s="34" t="s">
        <v>7743</v>
      </c>
      <c r="G3308" s="34">
        <v>69382.0</v>
      </c>
      <c r="H3308" s="34" t="s">
        <v>1350</v>
      </c>
      <c r="I3308" s="34" t="s">
        <v>18</v>
      </c>
      <c r="J3308" s="34" t="s">
        <v>15</v>
      </c>
      <c r="K3308" s="45">
        <v>113.5</v>
      </c>
      <c r="L3308" s="9"/>
      <c r="M3308" s="45">
        <v>113.5</v>
      </c>
    </row>
    <row r="3309">
      <c r="A3309" s="34" t="s">
        <v>70</v>
      </c>
      <c r="B3309" s="34" t="s">
        <v>71</v>
      </c>
      <c r="C3309" s="34">
        <v>69.0</v>
      </c>
      <c r="D3309" s="34" t="s">
        <v>1316</v>
      </c>
      <c r="E3309" s="34" t="s">
        <v>7744</v>
      </c>
      <c r="F3309" s="34" t="s">
        <v>7745</v>
      </c>
      <c r="G3309" s="34">
        <v>69386.0</v>
      </c>
      <c r="H3309" s="34" t="s">
        <v>3181</v>
      </c>
      <c r="I3309" s="34" t="s">
        <v>18</v>
      </c>
      <c r="J3309" s="34" t="s">
        <v>15</v>
      </c>
      <c r="K3309" s="45">
        <v>136.8</v>
      </c>
      <c r="L3309" s="9"/>
      <c r="M3309" s="45">
        <v>136.8</v>
      </c>
    </row>
    <row r="3310">
      <c r="A3310" s="34" t="s">
        <v>70</v>
      </c>
      <c r="B3310" s="34" t="s">
        <v>71</v>
      </c>
      <c r="C3310" s="34">
        <v>69.0</v>
      </c>
      <c r="D3310" s="34" t="s">
        <v>1316</v>
      </c>
      <c r="E3310" s="34" t="s">
        <v>7746</v>
      </c>
      <c r="F3310" s="34" t="s">
        <v>7747</v>
      </c>
      <c r="G3310" s="34">
        <v>69381.0</v>
      </c>
      <c r="H3310" s="34" t="s">
        <v>1334</v>
      </c>
      <c r="I3310" s="34" t="s">
        <v>18</v>
      </c>
      <c r="J3310" s="34" t="s">
        <v>15</v>
      </c>
      <c r="K3310" s="45">
        <v>114.7</v>
      </c>
      <c r="L3310" s="9"/>
      <c r="M3310" s="45">
        <v>114.7</v>
      </c>
    </row>
    <row r="3311">
      <c r="A3311" s="34" t="s">
        <v>70</v>
      </c>
      <c r="B3311" s="34" t="s">
        <v>71</v>
      </c>
      <c r="C3311" s="34">
        <v>69.0</v>
      </c>
      <c r="D3311" s="34" t="s">
        <v>1316</v>
      </c>
      <c r="E3311" s="34" t="s">
        <v>7748</v>
      </c>
      <c r="F3311" s="34" t="s">
        <v>7749</v>
      </c>
      <c r="G3311" s="34">
        <v>69387.0</v>
      </c>
      <c r="H3311" s="34" t="s">
        <v>1353</v>
      </c>
      <c r="I3311" s="34" t="s">
        <v>18</v>
      </c>
      <c r="J3311" s="34" t="s">
        <v>13</v>
      </c>
      <c r="K3311" s="9"/>
      <c r="L3311" s="45">
        <v>88.3</v>
      </c>
      <c r="M3311" s="45">
        <v>88.3</v>
      </c>
    </row>
    <row r="3312">
      <c r="A3312" s="34" t="s">
        <v>70</v>
      </c>
      <c r="B3312" s="34" t="s">
        <v>71</v>
      </c>
      <c r="C3312" s="34">
        <v>69.0</v>
      </c>
      <c r="D3312" s="34" t="s">
        <v>1316</v>
      </c>
      <c r="E3312" s="34" t="s">
        <v>7750</v>
      </c>
      <c r="F3312" s="34" t="s">
        <v>7751</v>
      </c>
      <c r="G3312" s="34">
        <v>69388.0</v>
      </c>
      <c r="H3312" s="34" t="s">
        <v>1328</v>
      </c>
      <c r="I3312" s="34" t="s">
        <v>18</v>
      </c>
      <c r="J3312" s="34" t="s">
        <v>13</v>
      </c>
      <c r="K3312" s="9"/>
      <c r="L3312" s="45">
        <v>77.4</v>
      </c>
      <c r="M3312" s="45">
        <v>77.4</v>
      </c>
    </row>
    <row r="3313">
      <c r="A3313" s="34" t="s">
        <v>70</v>
      </c>
      <c r="B3313" s="34" t="s">
        <v>71</v>
      </c>
      <c r="C3313" s="34">
        <v>69.0</v>
      </c>
      <c r="D3313" s="34" t="s">
        <v>1316</v>
      </c>
      <c r="E3313" s="34" t="s">
        <v>7752</v>
      </c>
      <c r="F3313" s="34" t="s">
        <v>6158</v>
      </c>
      <c r="G3313" s="34">
        <v>69389.0</v>
      </c>
      <c r="H3313" s="34" t="s">
        <v>1331</v>
      </c>
      <c r="I3313" s="34" t="s">
        <v>18</v>
      </c>
      <c r="J3313" s="34" t="s">
        <v>15</v>
      </c>
      <c r="K3313" s="45">
        <v>121.5</v>
      </c>
      <c r="L3313" s="9"/>
      <c r="M3313" s="45">
        <v>121.5</v>
      </c>
    </row>
    <row r="3314">
      <c r="A3314" s="34" t="s">
        <v>70</v>
      </c>
      <c r="B3314" s="34" t="s">
        <v>71</v>
      </c>
      <c r="C3314" s="34">
        <v>69.0</v>
      </c>
      <c r="D3314" s="34" t="s">
        <v>1316</v>
      </c>
      <c r="E3314" s="34" t="s">
        <v>7753</v>
      </c>
      <c r="F3314" s="34" t="s">
        <v>7754</v>
      </c>
      <c r="G3314" s="34">
        <v>69266.0</v>
      </c>
      <c r="H3314" s="34" t="s">
        <v>1337</v>
      </c>
      <c r="I3314" s="34" t="s">
        <v>18</v>
      </c>
      <c r="J3314" s="34" t="s">
        <v>13</v>
      </c>
      <c r="K3314" s="9"/>
      <c r="L3314" s="45">
        <v>76.5</v>
      </c>
      <c r="M3314" s="45">
        <v>76.5</v>
      </c>
    </row>
    <row r="3315">
      <c r="A3315" s="34" t="s">
        <v>70</v>
      </c>
      <c r="B3315" s="34" t="s">
        <v>71</v>
      </c>
      <c r="C3315" s="34">
        <v>69.0</v>
      </c>
      <c r="D3315" s="34" t="s">
        <v>1316</v>
      </c>
      <c r="E3315" s="34" t="s">
        <v>7755</v>
      </c>
      <c r="F3315" s="34" t="s">
        <v>7756</v>
      </c>
      <c r="G3315" s="34">
        <v>69384.0</v>
      </c>
      <c r="H3315" s="34" t="s">
        <v>1325</v>
      </c>
      <c r="I3315" s="34" t="s">
        <v>18</v>
      </c>
      <c r="J3315" s="34" t="s">
        <v>13</v>
      </c>
      <c r="K3315" s="9"/>
      <c r="L3315" s="45">
        <v>77.4</v>
      </c>
      <c r="M3315" s="45">
        <v>77.4</v>
      </c>
    </row>
    <row r="3316">
      <c r="A3316" s="34" t="s">
        <v>70</v>
      </c>
      <c r="B3316" s="34" t="s">
        <v>71</v>
      </c>
      <c r="C3316" s="34">
        <v>69.0</v>
      </c>
      <c r="D3316" s="34" t="s">
        <v>1316</v>
      </c>
      <c r="E3316" s="34" t="s">
        <v>7757</v>
      </c>
      <c r="F3316" s="34" t="s">
        <v>7758</v>
      </c>
      <c r="G3316" s="34">
        <v>69149.0</v>
      </c>
      <c r="H3316" s="34" t="s">
        <v>1345</v>
      </c>
      <c r="I3316" s="34" t="s">
        <v>18</v>
      </c>
      <c r="J3316" s="34" t="s">
        <v>13</v>
      </c>
      <c r="K3316" s="9"/>
      <c r="L3316" s="45">
        <v>80.5</v>
      </c>
      <c r="M3316" s="45">
        <v>80.5</v>
      </c>
    </row>
    <row r="3317">
      <c r="A3317" s="34" t="s">
        <v>70</v>
      </c>
      <c r="B3317" s="34" t="s">
        <v>71</v>
      </c>
      <c r="C3317" s="34">
        <v>69.0</v>
      </c>
      <c r="D3317" s="34" t="s">
        <v>1316</v>
      </c>
      <c r="E3317" s="34" t="s">
        <v>7759</v>
      </c>
      <c r="F3317" s="34" t="s">
        <v>7760</v>
      </c>
      <c r="G3317" s="34">
        <v>69149.0</v>
      </c>
      <c r="H3317" s="34" t="s">
        <v>1345</v>
      </c>
      <c r="I3317" s="34" t="s">
        <v>18</v>
      </c>
      <c r="J3317" s="34" t="s">
        <v>13</v>
      </c>
      <c r="K3317" s="9"/>
      <c r="L3317" s="45">
        <v>81.9</v>
      </c>
      <c r="M3317" s="45">
        <v>81.9</v>
      </c>
    </row>
    <row r="3318">
      <c r="A3318" s="34" t="s">
        <v>70</v>
      </c>
      <c r="B3318" s="34" t="s">
        <v>71</v>
      </c>
      <c r="C3318" s="34">
        <v>69.0</v>
      </c>
      <c r="D3318" s="34" t="s">
        <v>1316</v>
      </c>
      <c r="E3318" s="34" t="s">
        <v>7761</v>
      </c>
      <c r="F3318" s="34" t="s">
        <v>5004</v>
      </c>
      <c r="G3318" s="34">
        <v>69383.0</v>
      </c>
      <c r="H3318" s="34" t="s">
        <v>4858</v>
      </c>
      <c r="I3318" s="34" t="s">
        <v>17</v>
      </c>
      <c r="J3318" s="34" t="s">
        <v>15</v>
      </c>
      <c r="K3318" s="45">
        <v>134.1</v>
      </c>
      <c r="L3318" s="9"/>
      <c r="M3318" s="45">
        <v>134.1</v>
      </c>
    </row>
    <row r="3319">
      <c r="A3319" s="34" t="s">
        <v>70</v>
      </c>
      <c r="B3319" s="34" t="s">
        <v>71</v>
      </c>
      <c r="C3319" s="34">
        <v>69.0</v>
      </c>
      <c r="D3319" s="34" t="s">
        <v>1316</v>
      </c>
      <c r="E3319" s="34" t="s">
        <v>7762</v>
      </c>
      <c r="F3319" s="34" t="s">
        <v>7763</v>
      </c>
      <c r="G3319" s="34">
        <v>69385.0</v>
      </c>
      <c r="H3319" s="34" t="s">
        <v>1340</v>
      </c>
      <c r="I3319" s="34" t="s">
        <v>17</v>
      </c>
      <c r="J3319" s="34" t="s">
        <v>15</v>
      </c>
      <c r="K3319" s="45">
        <v>135.0</v>
      </c>
      <c r="L3319" s="9"/>
      <c r="M3319" s="45">
        <v>135.0</v>
      </c>
    </row>
    <row r="3320">
      <c r="A3320" s="34" t="s">
        <v>70</v>
      </c>
      <c r="B3320" s="34" t="s">
        <v>71</v>
      </c>
      <c r="C3320" s="34">
        <v>69.0</v>
      </c>
      <c r="D3320" s="34" t="s">
        <v>1316</v>
      </c>
      <c r="E3320" s="34" t="s">
        <v>7764</v>
      </c>
      <c r="F3320" s="34" t="s">
        <v>7765</v>
      </c>
      <c r="G3320" s="34">
        <v>69386.0</v>
      </c>
      <c r="H3320" s="34" t="s">
        <v>3181</v>
      </c>
      <c r="I3320" s="34" t="s">
        <v>17</v>
      </c>
      <c r="J3320" s="34" t="s">
        <v>15</v>
      </c>
      <c r="K3320" s="45">
        <v>117.9</v>
      </c>
      <c r="L3320" s="9"/>
      <c r="M3320" s="45">
        <v>117.9</v>
      </c>
    </row>
    <row r="3321">
      <c r="A3321" s="34" t="s">
        <v>70</v>
      </c>
      <c r="B3321" s="34" t="s">
        <v>71</v>
      </c>
      <c r="C3321" s="34">
        <v>69.0</v>
      </c>
      <c r="D3321" s="34" t="s">
        <v>1316</v>
      </c>
      <c r="E3321" s="34" t="s">
        <v>7766</v>
      </c>
      <c r="F3321" s="34" t="s">
        <v>7767</v>
      </c>
      <c r="G3321" s="34">
        <v>69386.0</v>
      </c>
      <c r="H3321" s="34" t="s">
        <v>3181</v>
      </c>
      <c r="I3321" s="34" t="s">
        <v>17</v>
      </c>
      <c r="J3321" s="34" t="s">
        <v>15</v>
      </c>
      <c r="K3321" s="45">
        <v>127.6</v>
      </c>
      <c r="L3321" s="9"/>
      <c r="M3321" s="45">
        <v>127.6</v>
      </c>
    </row>
    <row r="3322">
      <c r="A3322" s="34" t="s">
        <v>70</v>
      </c>
      <c r="B3322" s="34" t="s">
        <v>71</v>
      </c>
      <c r="C3322" s="34">
        <v>69.0</v>
      </c>
      <c r="D3322" s="34" t="s">
        <v>1316</v>
      </c>
      <c r="E3322" s="34" t="s">
        <v>7768</v>
      </c>
      <c r="F3322" s="34" t="s">
        <v>555</v>
      </c>
      <c r="G3322" s="34">
        <v>69244.0</v>
      </c>
      <c r="H3322" s="34" t="s">
        <v>7769</v>
      </c>
      <c r="I3322" s="34" t="s">
        <v>17</v>
      </c>
      <c r="J3322" s="34" t="s">
        <v>15</v>
      </c>
      <c r="K3322" s="45">
        <v>147.3</v>
      </c>
      <c r="L3322" s="9"/>
      <c r="M3322" s="45">
        <v>147.3</v>
      </c>
    </row>
    <row r="3323">
      <c r="A3323" s="34" t="s">
        <v>70</v>
      </c>
      <c r="B3323" s="34" t="s">
        <v>71</v>
      </c>
      <c r="C3323" s="34">
        <v>69.0</v>
      </c>
      <c r="D3323" s="34" t="s">
        <v>1316</v>
      </c>
      <c r="E3323" s="34" t="s">
        <v>7770</v>
      </c>
      <c r="F3323" s="34" t="s">
        <v>7771</v>
      </c>
      <c r="G3323" s="34">
        <v>69381.0</v>
      </c>
      <c r="H3323" s="34" t="s">
        <v>1334</v>
      </c>
      <c r="I3323" s="34" t="s">
        <v>17</v>
      </c>
      <c r="J3323" s="34" t="s">
        <v>15</v>
      </c>
      <c r="K3323" s="45">
        <v>128.5</v>
      </c>
      <c r="L3323" s="9"/>
      <c r="M3323" s="45">
        <v>128.5</v>
      </c>
    </row>
    <row r="3324">
      <c r="A3324" s="34" t="s">
        <v>70</v>
      </c>
      <c r="B3324" s="34" t="s">
        <v>71</v>
      </c>
      <c r="C3324" s="34">
        <v>69.0</v>
      </c>
      <c r="D3324" s="34" t="s">
        <v>1316</v>
      </c>
      <c r="E3324" s="34" t="s">
        <v>7772</v>
      </c>
      <c r="F3324" s="34" t="s">
        <v>7773</v>
      </c>
      <c r="G3324" s="34">
        <v>69386.0</v>
      </c>
      <c r="H3324" s="34" t="s">
        <v>3181</v>
      </c>
      <c r="I3324" s="34" t="s">
        <v>17</v>
      </c>
      <c r="J3324" s="34" t="s">
        <v>15</v>
      </c>
      <c r="K3324" s="45">
        <v>109.6</v>
      </c>
      <c r="L3324" s="9"/>
      <c r="M3324" s="45">
        <v>109.6</v>
      </c>
    </row>
    <row r="3325">
      <c r="A3325" s="34" t="s">
        <v>70</v>
      </c>
      <c r="B3325" s="34" t="s">
        <v>71</v>
      </c>
      <c r="C3325" s="34">
        <v>69.0</v>
      </c>
      <c r="D3325" s="34" t="s">
        <v>1316</v>
      </c>
      <c r="E3325" s="34" t="s">
        <v>7774</v>
      </c>
      <c r="F3325" s="34" t="s">
        <v>7775</v>
      </c>
      <c r="G3325" s="34">
        <v>69149.0</v>
      </c>
      <c r="H3325" s="34" t="s">
        <v>1345</v>
      </c>
      <c r="I3325" s="34" t="s">
        <v>17</v>
      </c>
      <c r="J3325" s="34" t="s">
        <v>13</v>
      </c>
      <c r="K3325" s="9"/>
      <c r="L3325" s="45">
        <v>95.8</v>
      </c>
      <c r="M3325" s="45">
        <v>95.8</v>
      </c>
    </row>
    <row r="3326">
      <c r="A3326" s="34" t="s">
        <v>70</v>
      </c>
      <c r="B3326" s="34" t="s">
        <v>71</v>
      </c>
      <c r="C3326" s="34">
        <v>69.0</v>
      </c>
      <c r="D3326" s="34" t="s">
        <v>1316</v>
      </c>
      <c r="E3326" s="34" t="s">
        <v>7776</v>
      </c>
      <c r="F3326" s="34" t="s">
        <v>7777</v>
      </c>
      <c r="G3326" s="34">
        <v>69381.0</v>
      </c>
      <c r="H3326" s="34" t="s">
        <v>1334</v>
      </c>
      <c r="I3326" s="34" t="s">
        <v>17</v>
      </c>
      <c r="J3326" s="34" t="s">
        <v>13</v>
      </c>
      <c r="K3326" s="9"/>
      <c r="L3326" s="45">
        <v>106.7</v>
      </c>
      <c r="M3326" s="45">
        <v>106.7</v>
      </c>
    </row>
    <row r="3327">
      <c r="A3327" s="34" t="s">
        <v>70</v>
      </c>
      <c r="B3327" s="34" t="s">
        <v>71</v>
      </c>
      <c r="C3327" s="34">
        <v>69.0</v>
      </c>
      <c r="D3327" s="34" t="s">
        <v>1316</v>
      </c>
      <c r="E3327" s="34" t="s">
        <v>7778</v>
      </c>
      <c r="F3327" s="34" t="s">
        <v>7779</v>
      </c>
      <c r="G3327" s="34">
        <v>69286.0</v>
      </c>
      <c r="H3327" s="34" t="s">
        <v>3214</v>
      </c>
      <c r="I3327" s="34" t="s">
        <v>17</v>
      </c>
      <c r="J3327" s="34" t="s">
        <v>13</v>
      </c>
      <c r="K3327" s="9"/>
      <c r="L3327" s="45">
        <v>106.3</v>
      </c>
      <c r="M3327" s="45">
        <v>106.3</v>
      </c>
    </row>
    <row r="3328">
      <c r="A3328" s="34" t="s">
        <v>70</v>
      </c>
      <c r="B3328" s="34" t="s">
        <v>71</v>
      </c>
      <c r="C3328" s="34">
        <v>69.0</v>
      </c>
      <c r="D3328" s="34" t="s">
        <v>1316</v>
      </c>
      <c r="E3328" s="34" t="s">
        <v>7780</v>
      </c>
      <c r="F3328" s="34" t="s">
        <v>7781</v>
      </c>
      <c r="G3328" s="34">
        <v>69259.0</v>
      </c>
      <c r="H3328" s="34" t="s">
        <v>3194</v>
      </c>
      <c r="I3328" s="34" t="s">
        <v>18</v>
      </c>
      <c r="J3328" s="34" t="s">
        <v>14</v>
      </c>
      <c r="K3328" s="45">
        <v>81.2</v>
      </c>
      <c r="L3328" s="45">
        <v>71.7</v>
      </c>
      <c r="M3328" s="45">
        <v>77.9</v>
      </c>
    </row>
    <row r="3329">
      <c r="A3329" s="34" t="s">
        <v>70</v>
      </c>
      <c r="B3329" s="34" t="s">
        <v>71</v>
      </c>
      <c r="C3329" s="34">
        <v>69.0</v>
      </c>
      <c r="D3329" s="34" t="s">
        <v>1316</v>
      </c>
      <c r="E3329" s="34" t="s">
        <v>7782</v>
      </c>
      <c r="F3329" s="34" t="s">
        <v>7783</v>
      </c>
      <c r="G3329" s="34">
        <v>69029.0</v>
      </c>
      <c r="H3329" s="34" t="s">
        <v>3178</v>
      </c>
      <c r="I3329" s="34" t="s">
        <v>18</v>
      </c>
      <c r="J3329" s="34" t="s">
        <v>15</v>
      </c>
      <c r="K3329" s="45">
        <v>116.6</v>
      </c>
      <c r="L3329" s="9"/>
      <c r="M3329" s="45">
        <v>116.6</v>
      </c>
    </row>
    <row r="3330">
      <c r="A3330" s="34" t="s">
        <v>70</v>
      </c>
      <c r="B3330" s="34" t="s">
        <v>71</v>
      </c>
      <c r="C3330" s="34">
        <v>69.0</v>
      </c>
      <c r="D3330" s="34" t="s">
        <v>1316</v>
      </c>
      <c r="E3330" s="34" t="s">
        <v>7784</v>
      </c>
      <c r="F3330" s="34" t="s">
        <v>1863</v>
      </c>
      <c r="G3330" s="34">
        <v>69388.0</v>
      </c>
      <c r="H3330" s="34" t="s">
        <v>1328</v>
      </c>
      <c r="I3330" s="34" t="s">
        <v>17</v>
      </c>
      <c r="J3330" s="34" t="s">
        <v>13</v>
      </c>
      <c r="K3330" s="9"/>
      <c r="L3330" s="45">
        <v>107.2</v>
      </c>
      <c r="M3330" s="45">
        <v>107.2</v>
      </c>
    </row>
    <row r="3331">
      <c r="A3331" s="34" t="s">
        <v>70</v>
      </c>
      <c r="B3331" s="34" t="s">
        <v>71</v>
      </c>
      <c r="C3331" s="34">
        <v>69.0</v>
      </c>
      <c r="D3331" s="34" t="s">
        <v>1316</v>
      </c>
      <c r="E3331" s="34" t="s">
        <v>7785</v>
      </c>
      <c r="F3331" s="34" t="s">
        <v>7786</v>
      </c>
      <c r="G3331" s="34">
        <v>69248.0</v>
      </c>
      <c r="H3331" s="34" t="s">
        <v>7787</v>
      </c>
      <c r="I3331" s="34" t="s">
        <v>18</v>
      </c>
      <c r="J3331" s="34" t="s">
        <v>14</v>
      </c>
      <c r="K3331" s="45">
        <v>102.4</v>
      </c>
      <c r="L3331" s="45">
        <v>67.7</v>
      </c>
      <c r="M3331" s="45">
        <v>89.7</v>
      </c>
    </row>
    <row r="3332">
      <c r="A3332" s="34" t="s">
        <v>70</v>
      </c>
      <c r="B3332" s="34" t="s">
        <v>71</v>
      </c>
      <c r="C3332" s="34">
        <v>69.0</v>
      </c>
      <c r="D3332" s="34" t="s">
        <v>1316</v>
      </c>
      <c r="E3332" s="34" t="s">
        <v>7788</v>
      </c>
      <c r="F3332" s="34" t="s">
        <v>7789</v>
      </c>
      <c r="G3332" s="34">
        <v>69019.0</v>
      </c>
      <c r="H3332" s="34" t="s">
        <v>7790</v>
      </c>
      <c r="I3332" s="34" t="s">
        <v>18</v>
      </c>
      <c r="J3332" s="34" t="s">
        <v>14</v>
      </c>
      <c r="K3332" s="45">
        <v>113.9</v>
      </c>
      <c r="L3332" s="45">
        <v>82.4</v>
      </c>
      <c r="M3332" s="45">
        <v>107.9</v>
      </c>
    </row>
    <row r="3333">
      <c r="A3333" s="34" t="s">
        <v>70</v>
      </c>
      <c r="B3333" s="34" t="s">
        <v>71</v>
      </c>
      <c r="C3333" s="34">
        <v>69.0</v>
      </c>
      <c r="D3333" s="34" t="s">
        <v>1316</v>
      </c>
      <c r="E3333" s="34" t="s">
        <v>7791</v>
      </c>
      <c r="F3333" s="34" t="s">
        <v>7792</v>
      </c>
      <c r="G3333" s="34">
        <v>69266.0</v>
      </c>
      <c r="H3333" s="34" t="s">
        <v>1337</v>
      </c>
      <c r="I3333" s="34" t="s">
        <v>17</v>
      </c>
      <c r="J3333" s="34" t="s">
        <v>15</v>
      </c>
      <c r="K3333" s="45">
        <v>113.0</v>
      </c>
      <c r="L3333" s="9"/>
      <c r="M3333" s="45">
        <v>113.0</v>
      </c>
    </row>
    <row r="3334">
      <c r="A3334" s="34" t="s">
        <v>70</v>
      </c>
      <c r="B3334" s="34" t="s">
        <v>71</v>
      </c>
      <c r="C3334" s="34">
        <v>69.0</v>
      </c>
      <c r="D3334" s="34" t="s">
        <v>1316</v>
      </c>
      <c r="E3334" s="34" t="s">
        <v>7793</v>
      </c>
      <c r="F3334" s="34" t="s">
        <v>7794</v>
      </c>
      <c r="G3334" s="34">
        <v>69143.0</v>
      </c>
      <c r="H3334" s="34" t="s">
        <v>3205</v>
      </c>
      <c r="I3334" s="34" t="s">
        <v>18</v>
      </c>
      <c r="J3334" s="34" t="s">
        <v>15</v>
      </c>
      <c r="K3334" s="45">
        <v>131.1</v>
      </c>
      <c r="L3334" s="9"/>
      <c r="M3334" s="45">
        <v>131.1</v>
      </c>
    </row>
    <row r="3335">
      <c r="A3335" s="34" t="s">
        <v>70</v>
      </c>
      <c r="B3335" s="34" t="s">
        <v>71</v>
      </c>
      <c r="C3335" s="34">
        <v>69.0</v>
      </c>
      <c r="D3335" s="34" t="s">
        <v>1316</v>
      </c>
      <c r="E3335" s="34" t="s">
        <v>7795</v>
      </c>
      <c r="F3335" s="34" t="s">
        <v>7796</v>
      </c>
      <c r="G3335" s="34">
        <v>69171.0</v>
      </c>
      <c r="H3335" s="34" t="s">
        <v>7797</v>
      </c>
      <c r="I3335" s="34" t="s">
        <v>18</v>
      </c>
      <c r="J3335" s="34" t="s">
        <v>15</v>
      </c>
      <c r="K3335" s="45">
        <v>133.0</v>
      </c>
      <c r="L3335" s="9"/>
      <c r="M3335" s="45">
        <v>133.0</v>
      </c>
    </row>
    <row r="3336">
      <c r="A3336" s="34" t="s">
        <v>70</v>
      </c>
      <c r="B3336" s="34" t="s">
        <v>393</v>
      </c>
      <c r="C3336" s="34">
        <v>70.0</v>
      </c>
      <c r="D3336" s="34" t="s">
        <v>1386</v>
      </c>
      <c r="E3336" s="34" t="s">
        <v>7798</v>
      </c>
      <c r="F3336" s="34" t="s">
        <v>7799</v>
      </c>
      <c r="G3336" s="34">
        <v>70279.0</v>
      </c>
      <c r="H3336" s="34" t="s">
        <v>3238</v>
      </c>
      <c r="I3336" s="34" t="s">
        <v>18</v>
      </c>
      <c r="J3336" s="34" t="s">
        <v>14</v>
      </c>
      <c r="K3336" s="45">
        <v>110.1</v>
      </c>
      <c r="L3336" s="45">
        <v>84.1</v>
      </c>
      <c r="M3336" s="45">
        <v>107.7</v>
      </c>
    </row>
    <row r="3337">
      <c r="A3337" s="34" t="s">
        <v>70</v>
      </c>
      <c r="B3337" s="34" t="s">
        <v>393</v>
      </c>
      <c r="C3337" s="34">
        <v>70.0</v>
      </c>
      <c r="D3337" s="34" t="s">
        <v>1386</v>
      </c>
      <c r="E3337" s="34" t="s">
        <v>7800</v>
      </c>
      <c r="F3337" s="34" t="s">
        <v>7801</v>
      </c>
      <c r="G3337" s="34">
        <v>70310.0</v>
      </c>
      <c r="H3337" s="34" t="s">
        <v>7802</v>
      </c>
      <c r="I3337" s="34" t="s">
        <v>18</v>
      </c>
      <c r="J3337" s="34" t="s">
        <v>14</v>
      </c>
      <c r="K3337" s="45">
        <v>110.6</v>
      </c>
      <c r="L3337" s="45">
        <v>80.8</v>
      </c>
      <c r="M3337" s="45">
        <v>106.6</v>
      </c>
    </row>
    <row r="3338">
      <c r="A3338" s="34" t="s">
        <v>70</v>
      </c>
      <c r="B3338" s="34" t="s">
        <v>393</v>
      </c>
      <c r="C3338" s="34">
        <v>70.0</v>
      </c>
      <c r="D3338" s="34" t="s">
        <v>1386</v>
      </c>
      <c r="E3338" s="34" t="s">
        <v>7803</v>
      </c>
      <c r="F3338" s="34" t="s">
        <v>7804</v>
      </c>
      <c r="G3338" s="34">
        <v>70310.0</v>
      </c>
      <c r="H3338" s="34" t="s">
        <v>7802</v>
      </c>
      <c r="I3338" s="34" t="s">
        <v>17</v>
      </c>
      <c r="J3338" s="34" t="s">
        <v>13</v>
      </c>
      <c r="K3338" s="9"/>
      <c r="L3338" s="45">
        <v>79.1</v>
      </c>
      <c r="M3338" s="45">
        <v>79.1</v>
      </c>
    </row>
    <row r="3339">
      <c r="A3339" s="34" t="s">
        <v>70</v>
      </c>
      <c r="B3339" s="34" t="s">
        <v>393</v>
      </c>
      <c r="C3339" s="34">
        <v>70.0</v>
      </c>
      <c r="D3339" s="34" t="s">
        <v>1386</v>
      </c>
      <c r="E3339" s="34" t="s">
        <v>7805</v>
      </c>
      <c r="F3339" s="34" t="s">
        <v>7806</v>
      </c>
      <c r="G3339" s="34">
        <v>70285.0</v>
      </c>
      <c r="H3339" s="34" t="s">
        <v>7807</v>
      </c>
      <c r="I3339" s="34" t="s">
        <v>18</v>
      </c>
      <c r="J3339" s="34" t="s">
        <v>14</v>
      </c>
      <c r="K3339" s="45">
        <v>118.5</v>
      </c>
      <c r="L3339" s="45">
        <v>87.5</v>
      </c>
      <c r="M3339" s="45">
        <v>114.2</v>
      </c>
    </row>
    <row r="3340">
      <c r="A3340" s="34" t="s">
        <v>70</v>
      </c>
      <c r="B3340" s="34" t="s">
        <v>333</v>
      </c>
      <c r="C3340" s="34">
        <v>71.0</v>
      </c>
      <c r="D3340" s="34" t="s">
        <v>1390</v>
      </c>
      <c r="E3340" s="34" t="s">
        <v>7808</v>
      </c>
      <c r="F3340" s="34" t="s">
        <v>7718</v>
      </c>
      <c r="G3340" s="34">
        <v>71270.0</v>
      </c>
      <c r="H3340" s="34" t="s">
        <v>3251</v>
      </c>
      <c r="I3340" s="34" t="s">
        <v>18</v>
      </c>
      <c r="J3340" s="34" t="s">
        <v>14</v>
      </c>
      <c r="K3340" s="45">
        <v>106.1</v>
      </c>
      <c r="L3340" s="45">
        <v>93.0</v>
      </c>
      <c r="M3340" s="45">
        <v>101.5</v>
      </c>
    </row>
    <row r="3341">
      <c r="A3341" s="34" t="s">
        <v>70</v>
      </c>
      <c r="B3341" s="34" t="s">
        <v>333</v>
      </c>
      <c r="C3341" s="34">
        <v>71.0</v>
      </c>
      <c r="D3341" s="34" t="s">
        <v>1390</v>
      </c>
      <c r="E3341" s="34" t="s">
        <v>7809</v>
      </c>
      <c r="F3341" s="34" t="s">
        <v>7810</v>
      </c>
      <c r="G3341" s="34">
        <v>71306.0</v>
      </c>
      <c r="H3341" s="34" t="s">
        <v>7811</v>
      </c>
      <c r="I3341" s="34" t="s">
        <v>18</v>
      </c>
      <c r="J3341" s="34" t="s">
        <v>15</v>
      </c>
      <c r="K3341" s="45">
        <v>106.4</v>
      </c>
      <c r="L3341" s="9"/>
      <c r="M3341" s="45">
        <v>106.4</v>
      </c>
    </row>
    <row r="3342">
      <c r="A3342" s="34" t="s">
        <v>70</v>
      </c>
      <c r="B3342" s="34" t="s">
        <v>333</v>
      </c>
      <c r="C3342" s="34">
        <v>71.0</v>
      </c>
      <c r="D3342" s="34" t="s">
        <v>1390</v>
      </c>
      <c r="E3342" s="34" t="s">
        <v>7812</v>
      </c>
      <c r="F3342" s="34" t="s">
        <v>7813</v>
      </c>
      <c r="G3342" s="34">
        <v>71014.0</v>
      </c>
      <c r="H3342" s="34" t="s">
        <v>1393</v>
      </c>
      <c r="I3342" s="34" t="s">
        <v>17</v>
      </c>
      <c r="J3342" s="34" t="s">
        <v>14</v>
      </c>
      <c r="K3342" s="45">
        <v>105.5</v>
      </c>
      <c r="L3342" s="45">
        <v>93.5</v>
      </c>
      <c r="M3342" s="45">
        <v>96.6</v>
      </c>
    </row>
    <row r="3343">
      <c r="A3343" s="34" t="s">
        <v>70</v>
      </c>
      <c r="B3343" s="34" t="s">
        <v>333</v>
      </c>
      <c r="C3343" s="34">
        <v>71.0</v>
      </c>
      <c r="D3343" s="34" t="s">
        <v>1390</v>
      </c>
      <c r="E3343" s="34" t="s">
        <v>7814</v>
      </c>
      <c r="F3343" s="34" t="s">
        <v>7815</v>
      </c>
      <c r="G3343" s="34">
        <v>71076.0</v>
      </c>
      <c r="H3343" s="34" t="s">
        <v>3254</v>
      </c>
      <c r="I3343" s="34" t="s">
        <v>18</v>
      </c>
      <c r="J3343" s="34" t="s">
        <v>14</v>
      </c>
      <c r="K3343" s="45">
        <v>110.5</v>
      </c>
      <c r="L3343" s="45">
        <v>86.0</v>
      </c>
      <c r="M3343" s="45">
        <v>101.5</v>
      </c>
    </row>
    <row r="3344">
      <c r="A3344" s="34" t="s">
        <v>70</v>
      </c>
      <c r="B3344" s="34" t="s">
        <v>779</v>
      </c>
      <c r="C3344" s="34">
        <v>72.0</v>
      </c>
      <c r="D3344" s="34" t="s">
        <v>1397</v>
      </c>
      <c r="E3344" s="34" t="s">
        <v>7816</v>
      </c>
      <c r="F3344" s="34" t="s">
        <v>7817</v>
      </c>
      <c r="G3344" s="34">
        <v>72132.0</v>
      </c>
      <c r="H3344" s="34" t="s">
        <v>6441</v>
      </c>
      <c r="I3344" s="34" t="s">
        <v>18</v>
      </c>
      <c r="J3344" s="34" t="s">
        <v>14</v>
      </c>
      <c r="K3344" s="45">
        <v>106.4</v>
      </c>
      <c r="L3344" s="45">
        <v>81.7</v>
      </c>
      <c r="M3344" s="45">
        <v>100.3</v>
      </c>
    </row>
    <row r="3345">
      <c r="A3345" s="34" t="s">
        <v>70</v>
      </c>
      <c r="B3345" s="34" t="s">
        <v>779</v>
      </c>
      <c r="C3345" s="34">
        <v>72.0</v>
      </c>
      <c r="D3345" s="34" t="s">
        <v>1397</v>
      </c>
      <c r="E3345" s="34" t="s">
        <v>7818</v>
      </c>
      <c r="F3345" s="34" t="s">
        <v>7819</v>
      </c>
      <c r="G3345" s="34">
        <v>72181.0</v>
      </c>
      <c r="H3345" s="34" t="s">
        <v>1403</v>
      </c>
      <c r="I3345" s="34" t="s">
        <v>17</v>
      </c>
      <c r="J3345" s="34" t="s">
        <v>13</v>
      </c>
      <c r="K3345" s="9"/>
      <c r="L3345" s="45">
        <v>95.1</v>
      </c>
      <c r="M3345" s="45">
        <v>95.1</v>
      </c>
    </row>
    <row r="3346">
      <c r="A3346" s="34" t="s">
        <v>70</v>
      </c>
      <c r="B3346" s="34" t="s">
        <v>779</v>
      </c>
      <c r="C3346" s="34">
        <v>72.0</v>
      </c>
      <c r="D3346" s="34" t="s">
        <v>1397</v>
      </c>
      <c r="E3346" s="34" t="s">
        <v>7820</v>
      </c>
      <c r="F3346" s="34" t="s">
        <v>7821</v>
      </c>
      <c r="G3346" s="34">
        <v>72181.0</v>
      </c>
      <c r="H3346" s="34" t="s">
        <v>1403</v>
      </c>
      <c r="I3346" s="34" t="s">
        <v>18</v>
      </c>
      <c r="J3346" s="34" t="s">
        <v>14</v>
      </c>
      <c r="K3346" s="45">
        <v>105.4</v>
      </c>
      <c r="L3346" s="45">
        <v>81.1</v>
      </c>
      <c r="M3346" s="45">
        <v>97.2</v>
      </c>
    </row>
    <row r="3347">
      <c r="A3347" s="34" t="s">
        <v>70</v>
      </c>
      <c r="B3347" s="34" t="s">
        <v>161</v>
      </c>
      <c r="C3347" s="34">
        <v>73.0</v>
      </c>
      <c r="D3347" s="34" t="s">
        <v>1404</v>
      </c>
      <c r="E3347" s="34" t="s">
        <v>7822</v>
      </c>
      <c r="F3347" s="34" t="s">
        <v>7823</v>
      </c>
      <c r="G3347" s="34">
        <v>73029.0</v>
      </c>
      <c r="H3347" s="34" t="s">
        <v>7824</v>
      </c>
      <c r="I3347" s="34" t="s">
        <v>17</v>
      </c>
      <c r="J3347" s="34" t="s">
        <v>13</v>
      </c>
      <c r="K3347" s="9"/>
      <c r="L3347" s="45">
        <v>93.0</v>
      </c>
      <c r="M3347" s="45">
        <v>93.0</v>
      </c>
    </row>
    <row r="3348">
      <c r="A3348" s="34" t="s">
        <v>70</v>
      </c>
      <c r="B3348" s="34" t="s">
        <v>161</v>
      </c>
      <c r="C3348" s="34">
        <v>73.0</v>
      </c>
      <c r="D3348" s="34" t="s">
        <v>1404</v>
      </c>
      <c r="E3348" s="34" t="s">
        <v>7825</v>
      </c>
      <c r="F3348" s="34" t="s">
        <v>7826</v>
      </c>
      <c r="G3348" s="34">
        <v>73065.0</v>
      </c>
      <c r="H3348" s="34" t="s">
        <v>1410</v>
      </c>
      <c r="I3348" s="34" t="s">
        <v>18</v>
      </c>
      <c r="J3348" s="34" t="s">
        <v>13</v>
      </c>
      <c r="K3348" s="9"/>
      <c r="L3348" s="45">
        <v>85.6</v>
      </c>
      <c r="M3348" s="45">
        <v>85.6</v>
      </c>
    </row>
    <row r="3349">
      <c r="A3349" s="34" t="s">
        <v>70</v>
      </c>
      <c r="B3349" s="34" t="s">
        <v>161</v>
      </c>
      <c r="C3349" s="34">
        <v>73.0</v>
      </c>
      <c r="D3349" s="34" t="s">
        <v>1404</v>
      </c>
      <c r="E3349" s="34" t="s">
        <v>7827</v>
      </c>
      <c r="F3349" s="34" t="s">
        <v>7828</v>
      </c>
      <c r="G3349" s="34">
        <v>73065.0</v>
      </c>
      <c r="H3349" s="34" t="s">
        <v>1410</v>
      </c>
      <c r="I3349" s="34" t="s">
        <v>18</v>
      </c>
      <c r="J3349" s="34" t="s">
        <v>14</v>
      </c>
      <c r="K3349" s="45">
        <v>120.3</v>
      </c>
      <c r="L3349" s="45">
        <v>86.4</v>
      </c>
      <c r="M3349" s="45">
        <v>110.8</v>
      </c>
    </row>
    <row r="3350">
      <c r="A3350" s="34" t="s">
        <v>70</v>
      </c>
      <c r="B3350" s="34" t="s">
        <v>161</v>
      </c>
      <c r="C3350" s="34">
        <v>73.0</v>
      </c>
      <c r="D3350" s="34" t="s">
        <v>1404</v>
      </c>
      <c r="E3350" s="34" t="s">
        <v>7829</v>
      </c>
      <c r="F3350" s="34" t="s">
        <v>722</v>
      </c>
      <c r="G3350" s="34">
        <v>73054.0</v>
      </c>
      <c r="H3350" s="34" t="s">
        <v>7830</v>
      </c>
      <c r="I3350" s="34" t="s">
        <v>18</v>
      </c>
      <c r="J3350" s="34" t="s">
        <v>15</v>
      </c>
      <c r="K3350" s="45">
        <v>122.0</v>
      </c>
      <c r="L3350" s="9"/>
      <c r="M3350" s="45">
        <v>122.0</v>
      </c>
    </row>
    <row r="3351">
      <c r="A3351" s="34" t="s">
        <v>70</v>
      </c>
      <c r="B3351" s="34" t="s">
        <v>161</v>
      </c>
      <c r="C3351" s="34">
        <v>74.0</v>
      </c>
      <c r="D3351" s="34" t="s">
        <v>1419</v>
      </c>
      <c r="E3351" s="34" t="s">
        <v>7831</v>
      </c>
      <c r="F3351" s="34" t="s">
        <v>7832</v>
      </c>
      <c r="G3351" s="34">
        <v>74119.0</v>
      </c>
      <c r="H3351" s="34" t="s">
        <v>7833</v>
      </c>
      <c r="I3351" s="34" t="s">
        <v>18</v>
      </c>
      <c r="J3351" s="34" t="s">
        <v>14</v>
      </c>
      <c r="K3351" s="45">
        <v>117.8</v>
      </c>
      <c r="L3351" s="45">
        <v>92.2</v>
      </c>
      <c r="M3351" s="45">
        <v>115.1</v>
      </c>
    </row>
    <row r="3352">
      <c r="A3352" s="34" t="s">
        <v>70</v>
      </c>
      <c r="B3352" s="34" t="s">
        <v>161</v>
      </c>
      <c r="C3352" s="34">
        <v>74.0</v>
      </c>
      <c r="D3352" s="34" t="s">
        <v>1419</v>
      </c>
      <c r="E3352" s="34" t="s">
        <v>7834</v>
      </c>
      <c r="F3352" s="34" t="s">
        <v>6854</v>
      </c>
      <c r="G3352" s="34">
        <v>74010.0</v>
      </c>
      <c r="H3352" s="34" t="s">
        <v>1440</v>
      </c>
      <c r="I3352" s="34" t="s">
        <v>17</v>
      </c>
      <c r="J3352" s="34" t="s">
        <v>15</v>
      </c>
      <c r="K3352" s="45">
        <v>139.6</v>
      </c>
      <c r="L3352" s="9"/>
      <c r="M3352" s="45">
        <v>139.6</v>
      </c>
    </row>
    <row r="3353">
      <c r="A3353" s="34" t="s">
        <v>70</v>
      </c>
      <c r="B3353" s="34" t="s">
        <v>161</v>
      </c>
      <c r="C3353" s="34">
        <v>74.0</v>
      </c>
      <c r="D3353" s="34" t="s">
        <v>1419</v>
      </c>
      <c r="E3353" s="34" t="s">
        <v>7835</v>
      </c>
      <c r="F3353" s="34" t="s">
        <v>80</v>
      </c>
      <c r="G3353" s="34">
        <v>74281.0</v>
      </c>
      <c r="H3353" s="34" t="s">
        <v>1428</v>
      </c>
      <c r="I3353" s="34" t="s">
        <v>17</v>
      </c>
      <c r="J3353" s="34" t="s">
        <v>15</v>
      </c>
      <c r="K3353" s="45">
        <v>125.8</v>
      </c>
      <c r="L3353" s="9"/>
      <c r="M3353" s="45">
        <v>125.8</v>
      </c>
    </row>
    <row r="3354">
      <c r="A3354" s="34" t="s">
        <v>70</v>
      </c>
      <c r="B3354" s="34" t="s">
        <v>161</v>
      </c>
      <c r="C3354" s="34">
        <v>74.0</v>
      </c>
      <c r="D3354" s="34" t="s">
        <v>1419</v>
      </c>
      <c r="E3354" s="34" t="s">
        <v>7836</v>
      </c>
      <c r="F3354" s="34" t="s">
        <v>7837</v>
      </c>
      <c r="G3354" s="34">
        <v>74281.0</v>
      </c>
      <c r="H3354" s="34" t="s">
        <v>1428</v>
      </c>
      <c r="I3354" s="34" t="s">
        <v>17</v>
      </c>
      <c r="J3354" s="34" t="s">
        <v>15</v>
      </c>
      <c r="K3354" s="45">
        <v>109.3</v>
      </c>
      <c r="L3354" s="9"/>
      <c r="M3354" s="45">
        <v>109.3</v>
      </c>
    </row>
    <row r="3355">
      <c r="A3355" s="34" t="s">
        <v>70</v>
      </c>
      <c r="B3355" s="34" t="s">
        <v>161</v>
      </c>
      <c r="C3355" s="34">
        <v>74.0</v>
      </c>
      <c r="D3355" s="34" t="s">
        <v>1419</v>
      </c>
      <c r="E3355" s="34" t="s">
        <v>7838</v>
      </c>
      <c r="F3355" s="34" t="s">
        <v>7839</v>
      </c>
      <c r="G3355" s="34">
        <v>74010.0</v>
      </c>
      <c r="H3355" s="34" t="s">
        <v>1440</v>
      </c>
      <c r="I3355" s="34" t="s">
        <v>18</v>
      </c>
      <c r="J3355" s="34" t="s">
        <v>15</v>
      </c>
      <c r="K3355" s="45">
        <v>118.3</v>
      </c>
      <c r="L3355" s="9"/>
      <c r="M3355" s="45">
        <v>118.3</v>
      </c>
    </row>
    <row r="3356">
      <c r="A3356" s="34" t="s">
        <v>70</v>
      </c>
      <c r="B3356" s="34" t="s">
        <v>161</v>
      </c>
      <c r="C3356" s="34">
        <v>74.0</v>
      </c>
      <c r="D3356" s="34" t="s">
        <v>1419</v>
      </c>
      <c r="E3356" s="34" t="s">
        <v>7840</v>
      </c>
      <c r="F3356" s="34" t="s">
        <v>7841</v>
      </c>
      <c r="G3356" s="34">
        <v>74056.0</v>
      </c>
      <c r="H3356" s="34" t="s">
        <v>7842</v>
      </c>
      <c r="I3356" s="34" t="s">
        <v>18</v>
      </c>
      <c r="J3356" s="34" t="s">
        <v>14</v>
      </c>
      <c r="K3356" s="45">
        <v>129.3</v>
      </c>
      <c r="L3356" s="45">
        <v>107.7</v>
      </c>
      <c r="M3356" s="45">
        <v>124.2</v>
      </c>
    </row>
    <row r="3357">
      <c r="A3357" s="34" t="s">
        <v>70</v>
      </c>
      <c r="B3357" s="34" t="s">
        <v>1441</v>
      </c>
      <c r="C3357" s="34">
        <v>75.0</v>
      </c>
      <c r="D3357" s="34" t="s">
        <v>1441</v>
      </c>
      <c r="E3357" s="34" t="s">
        <v>7843</v>
      </c>
      <c r="F3357" s="34" t="s">
        <v>7844</v>
      </c>
      <c r="G3357" s="34">
        <v>75113.0</v>
      </c>
      <c r="H3357" s="34" t="s">
        <v>1477</v>
      </c>
      <c r="I3357" s="34" t="s">
        <v>17</v>
      </c>
      <c r="J3357" s="34" t="s">
        <v>15</v>
      </c>
      <c r="K3357" s="45">
        <v>121.6</v>
      </c>
      <c r="L3357" s="9"/>
      <c r="M3357" s="45">
        <v>121.6</v>
      </c>
    </row>
    <row r="3358">
      <c r="A3358" s="34" t="s">
        <v>70</v>
      </c>
      <c r="B3358" s="34" t="s">
        <v>1441</v>
      </c>
      <c r="C3358" s="34">
        <v>75.0</v>
      </c>
      <c r="D3358" s="34" t="s">
        <v>1441</v>
      </c>
      <c r="E3358" s="34" t="s">
        <v>7845</v>
      </c>
      <c r="F3358" s="34" t="s">
        <v>7846</v>
      </c>
      <c r="G3358" s="34">
        <v>75118.0</v>
      </c>
      <c r="H3358" s="34" t="s">
        <v>1463</v>
      </c>
      <c r="I3358" s="34" t="s">
        <v>18</v>
      </c>
      <c r="J3358" s="34" t="s">
        <v>13</v>
      </c>
      <c r="K3358" s="9"/>
      <c r="L3358" s="45">
        <v>79.1</v>
      </c>
      <c r="M3358" s="45">
        <v>79.1</v>
      </c>
    </row>
    <row r="3359">
      <c r="A3359" s="34" t="s">
        <v>70</v>
      </c>
      <c r="B3359" s="34" t="s">
        <v>1441</v>
      </c>
      <c r="C3359" s="34">
        <v>75.0</v>
      </c>
      <c r="D3359" s="34" t="s">
        <v>1441</v>
      </c>
      <c r="E3359" s="34" t="s">
        <v>7847</v>
      </c>
      <c r="F3359" s="34" t="s">
        <v>7848</v>
      </c>
      <c r="G3359" s="34">
        <v>75114.0</v>
      </c>
      <c r="H3359" s="34" t="s">
        <v>3331</v>
      </c>
      <c r="I3359" s="34" t="s">
        <v>18</v>
      </c>
      <c r="J3359" s="34" t="s">
        <v>13</v>
      </c>
      <c r="K3359" s="9"/>
      <c r="L3359" s="45">
        <v>102.5</v>
      </c>
      <c r="M3359" s="45">
        <v>102.5</v>
      </c>
    </row>
    <row r="3360">
      <c r="A3360" s="34" t="s">
        <v>70</v>
      </c>
      <c r="B3360" s="34" t="s">
        <v>1441</v>
      </c>
      <c r="C3360" s="34">
        <v>75.0</v>
      </c>
      <c r="D3360" s="34" t="s">
        <v>1441</v>
      </c>
      <c r="E3360" s="34" t="s">
        <v>7849</v>
      </c>
      <c r="F3360" s="34" t="s">
        <v>7850</v>
      </c>
      <c r="G3360" s="34">
        <v>75120.0</v>
      </c>
      <c r="H3360" s="34" t="s">
        <v>1488</v>
      </c>
      <c r="I3360" s="34" t="s">
        <v>18</v>
      </c>
      <c r="J3360" s="34" t="s">
        <v>13</v>
      </c>
      <c r="K3360" s="9"/>
      <c r="L3360" s="45">
        <v>76.9</v>
      </c>
      <c r="M3360" s="45">
        <v>76.9</v>
      </c>
    </row>
    <row r="3361">
      <c r="A3361" s="34" t="s">
        <v>70</v>
      </c>
      <c r="B3361" s="34" t="s">
        <v>1441</v>
      </c>
      <c r="C3361" s="34">
        <v>75.0</v>
      </c>
      <c r="D3361" s="34" t="s">
        <v>1441</v>
      </c>
      <c r="E3361" s="34" t="s">
        <v>7851</v>
      </c>
      <c r="F3361" s="34" t="s">
        <v>7852</v>
      </c>
      <c r="G3361" s="34">
        <v>75113.0</v>
      </c>
      <c r="H3361" s="34" t="s">
        <v>1477</v>
      </c>
      <c r="I3361" s="34" t="s">
        <v>18</v>
      </c>
      <c r="J3361" s="34" t="s">
        <v>13</v>
      </c>
      <c r="K3361" s="9"/>
      <c r="L3361" s="45">
        <v>80.5</v>
      </c>
      <c r="M3361" s="45">
        <v>80.5</v>
      </c>
    </row>
    <row r="3362">
      <c r="A3362" s="34" t="s">
        <v>70</v>
      </c>
      <c r="B3362" s="34" t="s">
        <v>1441</v>
      </c>
      <c r="C3362" s="34">
        <v>75.0</v>
      </c>
      <c r="D3362" s="34" t="s">
        <v>1441</v>
      </c>
      <c r="E3362" s="34" t="s">
        <v>7853</v>
      </c>
      <c r="F3362" s="34" t="s">
        <v>7854</v>
      </c>
      <c r="G3362" s="34">
        <v>75119.0</v>
      </c>
      <c r="H3362" s="34" t="s">
        <v>1471</v>
      </c>
      <c r="I3362" s="34" t="s">
        <v>18</v>
      </c>
      <c r="J3362" s="34" t="s">
        <v>14</v>
      </c>
      <c r="K3362" s="45">
        <v>83.8</v>
      </c>
      <c r="L3362" s="45">
        <v>76.6</v>
      </c>
      <c r="M3362" s="45">
        <v>77.9</v>
      </c>
    </row>
    <row r="3363">
      <c r="A3363" s="34" t="s">
        <v>70</v>
      </c>
      <c r="B3363" s="34" t="s">
        <v>1441</v>
      </c>
      <c r="C3363" s="34">
        <v>75.0</v>
      </c>
      <c r="D3363" s="34" t="s">
        <v>1441</v>
      </c>
      <c r="E3363" s="34" t="s">
        <v>7855</v>
      </c>
      <c r="F3363" s="34" t="s">
        <v>2763</v>
      </c>
      <c r="G3363" s="34">
        <v>75108.0</v>
      </c>
      <c r="H3363" s="34" t="s">
        <v>1452</v>
      </c>
      <c r="I3363" s="34" t="s">
        <v>18</v>
      </c>
      <c r="J3363" s="34" t="s">
        <v>15</v>
      </c>
      <c r="K3363" s="45">
        <v>130.4</v>
      </c>
      <c r="L3363" s="9"/>
      <c r="M3363" s="45">
        <v>130.4</v>
      </c>
    </row>
    <row r="3364">
      <c r="A3364" s="34" t="s">
        <v>70</v>
      </c>
      <c r="B3364" s="34" t="s">
        <v>1441</v>
      </c>
      <c r="C3364" s="34">
        <v>75.0</v>
      </c>
      <c r="D3364" s="34" t="s">
        <v>1441</v>
      </c>
      <c r="E3364" s="34" t="s">
        <v>7856</v>
      </c>
      <c r="F3364" s="34" t="s">
        <v>7857</v>
      </c>
      <c r="G3364" s="34">
        <v>75112.0</v>
      </c>
      <c r="H3364" s="34" t="s">
        <v>1498</v>
      </c>
      <c r="I3364" s="34" t="s">
        <v>18</v>
      </c>
      <c r="J3364" s="34" t="s">
        <v>15</v>
      </c>
      <c r="K3364" s="45">
        <v>120.1</v>
      </c>
      <c r="L3364" s="9"/>
      <c r="M3364" s="45">
        <v>120.1</v>
      </c>
    </row>
    <row r="3365">
      <c r="A3365" s="34" t="s">
        <v>70</v>
      </c>
      <c r="B3365" s="34" t="s">
        <v>1441</v>
      </c>
      <c r="C3365" s="34">
        <v>75.0</v>
      </c>
      <c r="D3365" s="34" t="s">
        <v>1441</v>
      </c>
      <c r="E3365" s="34" t="s">
        <v>7858</v>
      </c>
      <c r="F3365" s="34" t="s">
        <v>3920</v>
      </c>
      <c r="G3365" s="34">
        <v>75113.0</v>
      </c>
      <c r="H3365" s="34" t="s">
        <v>1477</v>
      </c>
      <c r="I3365" s="34" t="s">
        <v>18</v>
      </c>
      <c r="J3365" s="34" t="s">
        <v>15</v>
      </c>
      <c r="K3365" s="45">
        <v>116.7</v>
      </c>
      <c r="L3365" s="9"/>
      <c r="M3365" s="45">
        <v>116.7</v>
      </c>
    </row>
    <row r="3366">
      <c r="A3366" s="34" t="s">
        <v>70</v>
      </c>
      <c r="B3366" s="34" t="s">
        <v>1441</v>
      </c>
      <c r="C3366" s="34">
        <v>75.0</v>
      </c>
      <c r="D3366" s="34" t="s">
        <v>1441</v>
      </c>
      <c r="E3366" s="34" t="s">
        <v>7859</v>
      </c>
      <c r="F3366" s="34" t="s">
        <v>3451</v>
      </c>
      <c r="G3366" s="34">
        <v>75114.0</v>
      </c>
      <c r="H3366" s="34" t="s">
        <v>3331</v>
      </c>
      <c r="I3366" s="34" t="s">
        <v>18</v>
      </c>
      <c r="J3366" s="34" t="s">
        <v>15</v>
      </c>
      <c r="K3366" s="45">
        <v>100.2</v>
      </c>
      <c r="L3366" s="9"/>
      <c r="M3366" s="45">
        <v>100.2</v>
      </c>
    </row>
    <row r="3367">
      <c r="A3367" s="34" t="s">
        <v>70</v>
      </c>
      <c r="B3367" s="34" t="s">
        <v>1441</v>
      </c>
      <c r="C3367" s="34">
        <v>75.0</v>
      </c>
      <c r="D3367" s="34" t="s">
        <v>1441</v>
      </c>
      <c r="E3367" s="34" t="s">
        <v>7860</v>
      </c>
      <c r="F3367" s="34" t="s">
        <v>7861</v>
      </c>
      <c r="G3367" s="34">
        <v>75115.0</v>
      </c>
      <c r="H3367" s="34" t="s">
        <v>1501</v>
      </c>
      <c r="I3367" s="34" t="s">
        <v>18</v>
      </c>
      <c r="J3367" s="34" t="s">
        <v>15</v>
      </c>
      <c r="K3367" s="45">
        <v>130.9</v>
      </c>
      <c r="L3367" s="9"/>
      <c r="M3367" s="45">
        <v>130.9</v>
      </c>
    </row>
    <row r="3368">
      <c r="A3368" s="34" t="s">
        <v>70</v>
      </c>
      <c r="B3368" s="34" t="s">
        <v>1441</v>
      </c>
      <c r="C3368" s="34">
        <v>75.0</v>
      </c>
      <c r="D3368" s="34" t="s">
        <v>1441</v>
      </c>
      <c r="E3368" s="34" t="s">
        <v>7862</v>
      </c>
      <c r="F3368" s="34" t="s">
        <v>7863</v>
      </c>
      <c r="G3368" s="34">
        <v>75117.0</v>
      </c>
      <c r="H3368" s="34" t="s">
        <v>1469</v>
      </c>
      <c r="I3368" s="34" t="s">
        <v>18</v>
      </c>
      <c r="J3368" s="34" t="s">
        <v>15</v>
      </c>
      <c r="K3368" s="45">
        <v>119.4</v>
      </c>
      <c r="L3368" s="9"/>
      <c r="M3368" s="45">
        <v>119.4</v>
      </c>
    </row>
    <row r="3369">
      <c r="A3369" s="34" t="s">
        <v>70</v>
      </c>
      <c r="B3369" s="34" t="s">
        <v>1441</v>
      </c>
      <c r="C3369" s="34">
        <v>75.0</v>
      </c>
      <c r="D3369" s="34" t="s">
        <v>1441</v>
      </c>
      <c r="E3369" s="34" t="s">
        <v>7864</v>
      </c>
      <c r="F3369" s="34" t="s">
        <v>7865</v>
      </c>
      <c r="G3369" s="34">
        <v>75117.0</v>
      </c>
      <c r="H3369" s="34" t="s">
        <v>1469</v>
      </c>
      <c r="I3369" s="34" t="s">
        <v>18</v>
      </c>
      <c r="J3369" s="34" t="s">
        <v>14</v>
      </c>
      <c r="K3369" s="45">
        <v>121.6</v>
      </c>
      <c r="L3369" s="45">
        <v>100.2</v>
      </c>
      <c r="M3369" s="45">
        <v>108.7</v>
      </c>
    </row>
    <row r="3370">
      <c r="A3370" s="34" t="s">
        <v>70</v>
      </c>
      <c r="B3370" s="34" t="s">
        <v>1441</v>
      </c>
      <c r="C3370" s="34">
        <v>75.0</v>
      </c>
      <c r="D3370" s="34" t="s">
        <v>1441</v>
      </c>
      <c r="E3370" s="34" t="s">
        <v>7866</v>
      </c>
      <c r="F3370" s="34" t="s">
        <v>7867</v>
      </c>
      <c r="G3370" s="34">
        <v>75120.0</v>
      </c>
      <c r="H3370" s="34" t="s">
        <v>1488</v>
      </c>
      <c r="I3370" s="34" t="s">
        <v>18</v>
      </c>
      <c r="J3370" s="34" t="s">
        <v>15</v>
      </c>
      <c r="K3370" s="45">
        <v>120.1</v>
      </c>
      <c r="L3370" s="9"/>
      <c r="M3370" s="45">
        <v>120.1</v>
      </c>
    </row>
    <row r="3371">
      <c r="A3371" s="34" t="s">
        <v>70</v>
      </c>
      <c r="B3371" s="34" t="s">
        <v>1441</v>
      </c>
      <c r="C3371" s="34">
        <v>75.0</v>
      </c>
      <c r="D3371" s="34" t="s">
        <v>1441</v>
      </c>
      <c r="E3371" s="34" t="s">
        <v>7868</v>
      </c>
      <c r="F3371" s="34" t="s">
        <v>7869</v>
      </c>
      <c r="G3371" s="34">
        <v>75115.0</v>
      </c>
      <c r="H3371" s="34" t="s">
        <v>1501</v>
      </c>
      <c r="I3371" s="34" t="s">
        <v>18</v>
      </c>
      <c r="J3371" s="34" t="s">
        <v>13</v>
      </c>
      <c r="K3371" s="9"/>
      <c r="L3371" s="45">
        <v>113.4</v>
      </c>
      <c r="M3371" s="45">
        <v>113.4</v>
      </c>
    </row>
    <row r="3372">
      <c r="A3372" s="34" t="s">
        <v>70</v>
      </c>
      <c r="B3372" s="34" t="s">
        <v>1441</v>
      </c>
      <c r="C3372" s="34">
        <v>75.0</v>
      </c>
      <c r="D3372" s="34" t="s">
        <v>1441</v>
      </c>
      <c r="E3372" s="34" t="s">
        <v>7870</v>
      </c>
      <c r="F3372" s="34" t="s">
        <v>1355</v>
      </c>
      <c r="G3372" s="34">
        <v>75115.0</v>
      </c>
      <c r="H3372" s="34" t="s">
        <v>1501</v>
      </c>
      <c r="I3372" s="34" t="s">
        <v>18</v>
      </c>
      <c r="J3372" s="34" t="s">
        <v>14</v>
      </c>
      <c r="K3372" s="45">
        <v>99.8</v>
      </c>
      <c r="L3372" s="45">
        <v>85.0</v>
      </c>
      <c r="M3372" s="45">
        <v>93.6</v>
      </c>
    </row>
    <row r="3373">
      <c r="A3373" s="34" t="s">
        <v>70</v>
      </c>
      <c r="B3373" s="34" t="s">
        <v>1441</v>
      </c>
      <c r="C3373" s="34">
        <v>75.0</v>
      </c>
      <c r="D3373" s="34" t="s">
        <v>1441</v>
      </c>
      <c r="E3373" s="34" t="s">
        <v>7871</v>
      </c>
      <c r="F3373" s="34" t="s">
        <v>7872</v>
      </c>
      <c r="G3373" s="34">
        <v>75113.0</v>
      </c>
      <c r="H3373" s="34" t="s">
        <v>1477</v>
      </c>
      <c r="I3373" s="34" t="s">
        <v>18</v>
      </c>
      <c r="J3373" s="34" t="s">
        <v>13</v>
      </c>
      <c r="K3373" s="9"/>
      <c r="L3373" s="45">
        <v>79.7</v>
      </c>
      <c r="M3373" s="45">
        <v>79.7</v>
      </c>
    </row>
    <row r="3374">
      <c r="A3374" s="34" t="s">
        <v>70</v>
      </c>
      <c r="B3374" s="34" t="s">
        <v>1441</v>
      </c>
      <c r="C3374" s="34">
        <v>75.0</v>
      </c>
      <c r="D3374" s="34" t="s">
        <v>1441</v>
      </c>
      <c r="E3374" s="34" t="s">
        <v>7873</v>
      </c>
      <c r="F3374" s="34" t="s">
        <v>7874</v>
      </c>
      <c r="G3374" s="34">
        <v>75112.0</v>
      </c>
      <c r="H3374" s="34" t="s">
        <v>1498</v>
      </c>
      <c r="I3374" s="34" t="s">
        <v>18</v>
      </c>
      <c r="J3374" s="34" t="s">
        <v>13</v>
      </c>
      <c r="K3374" s="9"/>
      <c r="L3374" s="45">
        <v>85.8</v>
      </c>
      <c r="M3374" s="45">
        <v>85.8</v>
      </c>
    </row>
    <row r="3375">
      <c r="A3375" s="34" t="s">
        <v>70</v>
      </c>
      <c r="B3375" s="34" t="s">
        <v>1441</v>
      </c>
      <c r="C3375" s="34">
        <v>75.0</v>
      </c>
      <c r="D3375" s="34" t="s">
        <v>1441</v>
      </c>
      <c r="E3375" s="34" t="s">
        <v>7875</v>
      </c>
      <c r="F3375" s="34" t="s">
        <v>4244</v>
      </c>
      <c r="G3375" s="34">
        <v>75116.0</v>
      </c>
      <c r="H3375" s="34" t="s">
        <v>1466</v>
      </c>
      <c r="I3375" s="34" t="s">
        <v>17</v>
      </c>
      <c r="J3375" s="34" t="s">
        <v>14</v>
      </c>
      <c r="K3375" s="45">
        <v>103.3</v>
      </c>
      <c r="L3375" s="45">
        <v>89.2</v>
      </c>
      <c r="M3375" s="45">
        <v>95.2</v>
      </c>
    </row>
    <row r="3376">
      <c r="A3376" s="34" t="s">
        <v>70</v>
      </c>
      <c r="B3376" s="34" t="s">
        <v>1441</v>
      </c>
      <c r="C3376" s="34">
        <v>75.0</v>
      </c>
      <c r="D3376" s="34" t="s">
        <v>1441</v>
      </c>
      <c r="E3376" s="34" t="s">
        <v>7876</v>
      </c>
      <c r="F3376" s="34" t="s">
        <v>7877</v>
      </c>
      <c r="G3376" s="34">
        <v>75107.0</v>
      </c>
      <c r="H3376" s="34" t="s">
        <v>1449</v>
      </c>
      <c r="I3376" s="34" t="s">
        <v>17</v>
      </c>
      <c r="J3376" s="34" t="s">
        <v>15</v>
      </c>
      <c r="K3376" s="45">
        <v>151.1</v>
      </c>
      <c r="L3376" s="9"/>
      <c r="M3376" s="45">
        <v>151.1</v>
      </c>
    </row>
    <row r="3377">
      <c r="A3377" s="34" t="s">
        <v>70</v>
      </c>
      <c r="B3377" s="34" t="s">
        <v>1441</v>
      </c>
      <c r="C3377" s="34">
        <v>75.0</v>
      </c>
      <c r="D3377" s="34" t="s">
        <v>1441</v>
      </c>
      <c r="E3377" s="34" t="s">
        <v>7878</v>
      </c>
      <c r="F3377" s="34" t="s">
        <v>7879</v>
      </c>
      <c r="G3377" s="34">
        <v>75119.0</v>
      </c>
      <c r="H3377" s="34" t="s">
        <v>1471</v>
      </c>
      <c r="I3377" s="34" t="s">
        <v>17</v>
      </c>
      <c r="J3377" s="34" t="s">
        <v>15</v>
      </c>
      <c r="K3377" s="45">
        <v>143.7</v>
      </c>
      <c r="L3377" s="9"/>
      <c r="M3377" s="45">
        <v>143.7</v>
      </c>
    </row>
    <row r="3378">
      <c r="A3378" s="34" t="s">
        <v>70</v>
      </c>
      <c r="B3378" s="34" t="s">
        <v>1441</v>
      </c>
      <c r="C3378" s="34">
        <v>75.0</v>
      </c>
      <c r="D3378" s="34" t="s">
        <v>1441</v>
      </c>
      <c r="E3378" s="34" t="s">
        <v>7880</v>
      </c>
      <c r="F3378" s="34" t="s">
        <v>7881</v>
      </c>
      <c r="G3378" s="34">
        <v>75106.0</v>
      </c>
      <c r="H3378" s="34" t="s">
        <v>1495</v>
      </c>
      <c r="I3378" s="34" t="s">
        <v>17</v>
      </c>
      <c r="J3378" s="34" t="s">
        <v>15</v>
      </c>
      <c r="K3378" s="45">
        <v>148.0</v>
      </c>
      <c r="L3378" s="9"/>
      <c r="M3378" s="45">
        <v>148.0</v>
      </c>
    </row>
    <row r="3379">
      <c r="A3379" s="34" t="s">
        <v>70</v>
      </c>
      <c r="B3379" s="34" t="s">
        <v>1441</v>
      </c>
      <c r="C3379" s="34">
        <v>75.0</v>
      </c>
      <c r="D3379" s="34" t="s">
        <v>1441</v>
      </c>
      <c r="E3379" s="34" t="s">
        <v>7882</v>
      </c>
      <c r="F3379" s="34" t="s">
        <v>7883</v>
      </c>
      <c r="G3379" s="34">
        <v>75107.0</v>
      </c>
      <c r="H3379" s="34" t="s">
        <v>1449</v>
      </c>
      <c r="I3379" s="34" t="s">
        <v>17</v>
      </c>
      <c r="J3379" s="34" t="s">
        <v>15</v>
      </c>
      <c r="K3379" s="45">
        <v>147.1</v>
      </c>
      <c r="L3379" s="9"/>
      <c r="M3379" s="45">
        <v>147.1</v>
      </c>
    </row>
    <row r="3380">
      <c r="A3380" s="34" t="s">
        <v>70</v>
      </c>
      <c r="B3380" s="34" t="s">
        <v>1441</v>
      </c>
      <c r="C3380" s="34">
        <v>75.0</v>
      </c>
      <c r="D3380" s="34" t="s">
        <v>1441</v>
      </c>
      <c r="E3380" s="34" t="s">
        <v>7884</v>
      </c>
      <c r="F3380" s="34" t="s">
        <v>7885</v>
      </c>
      <c r="G3380" s="34">
        <v>75115.0</v>
      </c>
      <c r="H3380" s="34" t="s">
        <v>1501</v>
      </c>
      <c r="I3380" s="34" t="s">
        <v>17</v>
      </c>
      <c r="J3380" s="34" t="s">
        <v>15</v>
      </c>
      <c r="K3380" s="45">
        <v>155.9</v>
      </c>
      <c r="L3380" s="9"/>
      <c r="M3380" s="45">
        <v>155.9</v>
      </c>
    </row>
    <row r="3381">
      <c r="A3381" s="34" t="s">
        <v>70</v>
      </c>
      <c r="B3381" s="34" t="s">
        <v>1441</v>
      </c>
      <c r="C3381" s="34">
        <v>75.0</v>
      </c>
      <c r="D3381" s="34" t="s">
        <v>1441</v>
      </c>
      <c r="E3381" s="34" t="s">
        <v>7886</v>
      </c>
      <c r="F3381" s="34" t="s">
        <v>7887</v>
      </c>
      <c r="G3381" s="34">
        <v>75110.0</v>
      </c>
      <c r="H3381" s="34" t="s">
        <v>1460</v>
      </c>
      <c r="I3381" s="34" t="s">
        <v>17</v>
      </c>
      <c r="J3381" s="34" t="s">
        <v>15</v>
      </c>
      <c r="K3381" s="45">
        <v>151.7</v>
      </c>
      <c r="L3381" s="9"/>
      <c r="M3381" s="45">
        <v>151.7</v>
      </c>
    </row>
    <row r="3382">
      <c r="A3382" s="34" t="s">
        <v>70</v>
      </c>
      <c r="B3382" s="34" t="s">
        <v>1441</v>
      </c>
      <c r="C3382" s="34">
        <v>75.0</v>
      </c>
      <c r="D3382" s="34" t="s">
        <v>1441</v>
      </c>
      <c r="E3382" s="34" t="s">
        <v>7888</v>
      </c>
      <c r="F3382" s="34" t="s">
        <v>7889</v>
      </c>
      <c r="G3382" s="34">
        <v>75110.0</v>
      </c>
      <c r="H3382" s="34" t="s">
        <v>1460</v>
      </c>
      <c r="I3382" s="34" t="s">
        <v>17</v>
      </c>
      <c r="J3382" s="34" t="s">
        <v>15</v>
      </c>
      <c r="K3382" s="45">
        <v>131.2</v>
      </c>
      <c r="L3382" s="9"/>
      <c r="M3382" s="45">
        <v>131.2</v>
      </c>
    </row>
    <row r="3383">
      <c r="A3383" s="34" t="s">
        <v>70</v>
      </c>
      <c r="B3383" s="34" t="s">
        <v>1441</v>
      </c>
      <c r="C3383" s="34">
        <v>75.0</v>
      </c>
      <c r="D3383" s="34" t="s">
        <v>1441</v>
      </c>
      <c r="E3383" s="34" t="s">
        <v>7890</v>
      </c>
      <c r="F3383" s="34" t="s">
        <v>7891</v>
      </c>
      <c r="G3383" s="34">
        <v>75110.0</v>
      </c>
      <c r="H3383" s="34" t="s">
        <v>1460</v>
      </c>
      <c r="I3383" s="34" t="s">
        <v>17</v>
      </c>
      <c r="J3383" s="34" t="s">
        <v>15</v>
      </c>
      <c r="K3383" s="45">
        <v>136.7</v>
      </c>
      <c r="L3383" s="9"/>
      <c r="M3383" s="45">
        <v>136.7</v>
      </c>
    </row>
    <row r="3384">
      <c r="A3384" s="34" t="s">
        <v>70</v>
      </c>
      <c r="B3384" s="34" t="s">
        <v>1441</v>
      </c>
      <c r="C3384" s="34">
        <v>75.0</v>
      </c>
      <c r="D3384" s="34" t="s">
        <v>1441</v>
      </c>
      <c r="E3384" s="34" t="s">
        <v>7892</v>
      </c>
      <c r="F3384" s="34" t="s">
        <v>7893</v>
      </c>
      <c r="G3384" s="34">
        <v>75116.0</v>
      </c>
      <c r="H3384" s="34" t="s">
        <v>1466</v>
      </c>
      <c r="I3384" s="34" t="s">
        <v>17</v>
      </c>
      <c r="J3384" s="34" t="s">
        <v>15</v>
      </c>
      <c r="K3384" s="45">
        <v>123.2</v>
      </c>
      <c r="L3384" s="9"/>
      <c r="M3384" s="45">
        <v>123.2</v>
      </c>
    </row>
    <row r="3385">
      <c r="A3385" s="34" t="s">
        <v>70</v>
      </c>
      <c r="B3385" s="34" t="s">
        <v>1441</v>
      </c>
      <c r="C3385" s="34">
        <v>75.0</v>
      </c>
      <c r="D3385" s="34" t="s">
        <v>1441</v>
      </c>
      <c r="E3385" s="34" t="s">
        <v>7894</v>
      </c>
      <c r="F3385" s="34" t="s">
        <v>7895</v>
      </c>
      <c r="G3385" s="34">
        <v>75116.0</v>
      </c>
      <c r="H3385" s="34" t="s">
        <v>1466</v>
      </c>
      <c r="I3385" s="34" t="s">
        <v>17</v>
      </c>
      <c r="J3385" s="34" t="s">
        <v>15</v>
      </c>
      <c r="K3385" s="45">
        <v>137.6</v>
      </c>
      <c r="L3385" s="9"/>
      <c r="M3385" s="45">
        <v>137.6</v>
      </c>
    </row>
    <row r="3386">
      <c r="A3386" s="34" t="s">
        <v>70</v>
      </c>
      <c r="B3386" s="34" t="s">
        <v>1441</v>
      </c>
      <c r="C3386" s="34">
        <v>75.0</v>
      </c>
      <c r="D3386" s="34" t="s">
        <v>1441</v>
      </c>
      <c r="E3386" s="34" t="s">
        <v>7896</v>
      </c>
      <c r="F3386" s="34" t="s">
        <v>7897</v>
      </c>
      <c r="G3386" s="34">
        <v>75119.0</v>
      </c>
      <c r="H3386" s="34" t="s">
        <v>1471</v>
      </c>
      <c r="I3386" s="34" t="s">
        <v>17</v>
      </c>
      <c r="J3386" s="34" t="s">
        <v>14</v>
      </c>
      <c r="K3386" s="45">
        <v>123.0</v>
      </c>
      <c r="L3386" s="45">
        <v>122.1</v>
      </c>
      <c r="M3386" s="45">
        <v>122.3</v>
      </c>
    </row>
    <row r="3387">
      <c r="A3387" s="34" t="s">
        <v>70</v>
      </c>
      <c r="B3387" s="34" t="s">
        <v>1441</v>
      </c>
      <c r="C3387" s="34">
        <v>75.0</v>
      </c>
      <c r="D3387" s="34" t="s">
        <v>1441</v>
      </c>
      <c r="E3387" s="34" t="s">
        <v>7898</v>
      </c>
      <c r="F3387" s="34" t="s">
        <v>7899</v>
      </c>
      <c r="G3387" s="34">
        <v>75114.0</v>
      </c>
      <c r="H3387" s="34" t="s">
        <v>3331</v>
      </c>
      <c r="I3387" s="34" t="s">
        <v>17</v>
      </c>
      <c r="J3387" s="34" t="s">
        <v>14</v>
      </c>
      <c r="K3387" s="45">
        <v>121.9</v>
      </c>
      <c r="L3387" s="45">
        <v>112.6</v>
      </c>
      <c r="M3387" s="45">
        <v>118.1</v>
      </c>
    </row>
    <row r="3388">
      <c r="A3388" s="34" t="s">
        <v>70</v>
      </c>
      <c r="B3388" s="34" t="s">
        <v>1441</v>
      </c>
      <c r="C3388" s="34">
        <v>75.0</v>
      </c>
      <c r="D3388" s="34" t="s">
        <v>1441</v>
      </c>
      <c r="E3388" s="34" t="s">
        <v>7900</v>
      </c>
      <c r="F3388" s="34" t="s">
        <v>3232</v>
      </c>
      <c r="G3388" s="34">
        <v>75119.0</v>
      </c>
      <c r="H3388" s="34" t="s">
        <v>1471</v>
      </c>
      <c r="I3388" s="34" t="s">
        <v>17</v>
      </c>
      <c r="J3388" s="34" t="s">
        <v>15</v>
      </c>
      <c r="K3388" s="45">
        <v>123.7</v>
      </c>
      <c r="L3388" s="9"/>
      <c r="M3388" s="45">
        <v>123.7</v>
      </c>
    </row>
    <row r="3389">
      <c r="A3389" s="34" t="s">
        <v>70</v>
      </c>
      <c r="B3389" s="34" t="s">
        <v>1441</v>
      </c>
      <c r="C3389" s="34">
        <v>75.0</v>
      </c>
      <c r="D3389" s="34" t="s">
        <v>1441</v>
      </c>
      <c r="E3389" s="34" t="s">
        <v>7901</v>
      </c>
      <c r="F3389" s="34" t="s">
        <v>7902</v>
      </c>
      <c r="G3389" s="34">
        <v>75111.0</v>
      </c>
      <c r="H3389" s="34" t="s">
        <v>3362</v>
      </c>
      <c r="I3389" s="34" t="s">
        <v>17</v>
      </c>
      <c r="J3389" s="34" t="s">
        <v>15</v>
      </c>
      <c r="K3389" s="45">
        <v>115.3</v>
      </c>
      <c r="L3389" s="9"/>
      <c r="M3389" s="45">
        <v>115.3</v>
      </c>
    </row>
    <row r="3390">
      <c r="A3390" s="34" t="s">
        <v>70</v>
      </c>
      <c r="B3390" s="34" t="s">
        <v>1441</v>
      </c>
      <c r="C3390" s="34">
        <v>75.0</v>
      </c>
      <c r="D3390" s="34" t="s">
        <v>1441</v>
      </c>
      <c r="E3390" s="34" t="s">
        <v>7903</v>
      </c>
      <c r="F3390" s="34" t="s">
        <v>7904</v>
      </c>
      <c r="G3390" s="34">
        <v>75120.0</v>
      </c>
      <c r="H3390" s="34" t="s">
        <v>1488</v>
      </c>
      <c r="I3390" s="34" t="s">
        <v>18</v>
      </c>
      <c r="J3390" s="34" t="s">
        <v>14</v>
      </c>
      <c r="K3390" s="45">
        <v>82.7</v>
      </c>
      <c r="L3390" s="45">
        <v>75.0</v>
      </c>
      <c r="M3390" s="45">
        <v>77.7</v>
      </c>
    </row>
    <row r="3391">
      <c r="A3391" s="34" t="s">
        <v>70</v>
      </c>
      <c r="B3391" s="34" t="s">
        <v>1441</v>
      </c>
      <c r="C3391" s="34">
        <v>75.0</v>
      </c>
      <c r="D3391" s="34" t="s">
        <v>1441</v>
      </c>
      <c r="E3391" s="34" t="s">
        <v>7905</v>
      </c>
      <c r="F3391" s="34" t="s">
        <v>7906</v>
      </c>
      <c r="G3391" s="34">
        <v>75107.0</v>
      </c>
      <c r="H3391" s="34" t="s">
        <v>1449</v>
      </c>
      <c r="I3391" s="34" t="s">
        <v>17</v>
      </c>
      <c r="J3391" s="34" t="s">
        <v>15</v>
      </c>
      <c r="K3391" s="45">
        <v>137.4</v>
      </c>
      <c r="L3391" s="9"/>
      <c r="M3391" s="45">
        <v>137.4</v>
      </c>
    </row>
    <row r="3392">
      <c r="A3392" s="34" t="s">
        <v>70</v>
      </c>
      <c r="B3392" s="34" t="s">
        <v>269</v>
      </c>
      <c r="C3392" s="34">
        <v>76.0</v>
      </c>
      <c r="D3392" s="34" t="s">
        <v>1506</v>
      </c>
      <c r="E3392" s="34" t="s">
        <v>7907</v>
      </c>
      <c r="F3392" s="34" t="s">
        <v>7908</v>
      </c>
      <c r="G3392" s="34">
        <v>76057.0</v>
      </c>
      <c r="H3392" s="34" t="s">
        <v>6530</v>
      </c>
      <c r="I3392" s="34" t="s">
        <v>18</v>
      </c>
      <c r="J3392" s="34" t="s">
        <v>13</v>
      </c>
      <c r="K3392" s="9"/>
      <c r="L3392" s="45">
        <v>84.3</v>
      </c>
      <c r="M3392" s="45">
        <v>84.3</v>
      </c>
    </row>
    <row r="3393">
      <c r="A3393" s="34" t="s">
        <v>70</v>
      </c>
      <c r="B3393" s="34" t="s">
        <v>269</v>
      </c>
      <c r="C3393" s="34">
        <v>76.0</v>
      </c>
      <c r="D3393" s="34" t="s">
        <v>1506</v>
      </c>
      <c r="E3393" s="34" t="s">
        <v>7909</v>
      </c>
      <c r="F3393" s="34" t="s">
        <v>7910</v>
      </c>
      <c r="G3393" s="34">
        <v>76231.0</v>
      </c>
      <c r="H3393" s="34" t="s">
        <v>1509</v>
      </c>
      <c r="I3393" s="34" t="s">
        <v>18</v>
      </c>
      <c r="J3393" s="34" t="s">
        <v>14</v>
      </c>
      <c r="K3393" s="45">
        <v>111.0</v>
      </c>
      <c r="L3393" s="45">
        <v>83.3</v>
      </c>
      <c r="M3393" s="45">
        <v>102.4</v>
      </c>
    </row>
    <row r="3394">
      <c r="A3394" s="34" t="s">
        <v>70</v>
      </c>
      <c r="B3394" s="34" t="s">
        <v>269</v>
      </c>
      <c r="C3394" s="34">
        <v>76.0</v>
      </c>
      <c r="D3394" s="34" t="s">
        <v>1506</v>
      </c>
      <c r="E3394" s="34" t="s">
        <v>7911</v>
      </c>
      <c r="F3394" s="34" t="s">
        <v>4962</v>
      </c>
      <c r="G3394" s="34">
        <v>76351.0</v>
      </c>
      <c r="H3394" s="34" t="s">
        <v>1515</v>
      </c>
      <c r="I3394" s="34" t="s">
        <v>18</v>
      </c>
      <c r="J3394" s="34" t="s">
        <v>15</v>
      </c>
      <c r="K3394" s="45">
        <v>106.9</v>
      </c>
      <c r="L3394" s="9"/>
      <c r="M3394" s="45">
        <v>106.9</v>
      </c>
    </row>
    <row r="3395">
      <c r="A3395" s="34" t="s">
        <v>70</v>
      </c>
      <c r="B3395" s="34" t="s">
        <v>269</v>
      </c>
      <c r="C3395" s="34">
        <v>76.0</v>
      </c>
      <c r="D3395" s="34" t="s">
        <v>1506</v>
      </c>
      <c r="E3395" s="34" t="s">
        <v>7912</v>
      </c>
      <c r="F3395" s="34" t="s">
        <v>7913</v>
      </c>
      <c r="G3395" s="34">
        <v>76482.0</v>
      </c>
      <c r="H3395" s="34" t="s">
        <v>7914</v>
      </c>
      <c r="I3395" s="34" t="s">
        <v>18</v>
      </c>
      <c r="J3395" s="34" t="s">
        <v>13</v>
      </c>
      <c r="K3395" s="9"/>
      <c r="L3395" s="45">
        <v>82.6</v>
      </c>
      <c r="M3395" s="45">
        <v>82.6</v>
      </c>
    </row>
    <row r="3396">
      <c r="A3396" s="34" t="s">
        <v>70</v>
      </c>
      <c r="B3396" s="34" t="s">
        <v>269</v>
      </c>
      <c r="C3396" s="34">
        <v>76.0</v>
      </c>
      <c r="D3396" s="34" t="s">
        <v>1506</v>
      </c>
      <c r="E3396" s="34" t="s">
        <v>7915</v>
      </c>
      <c r="F3396" s="34" t="s">
        <v>7916</v>
      </c>
      <c r="G3396" s="34">
        <v>76351.0</v>
      </c>
      <c r="H3396" s="34" t="s">
        <v>1515</v>
      </c>
      <c r="I3396" s="34" t="s">
        <v>18</v>
      </c>
      <c r="J3396" s="34" t="s">
        <v>13</v>
      </c>
      <c r="K3396" s="9"/>
      <c r="L3396" s="45">
        <v>85.7</v>
      </c>
      <c r="M3396" s="45">
        <v>85.7</v>
      </c>
    </row>
    <row r="3397">
      <c r="A3397" s="34" t="s">
        <v>70</v>
      </c>
      <c r="B3397" s="34" t="s">
        <v>269</v>
      </c>
      <c r="C3397" s="34">
        <v>76.0</v>
      </c>
      <c r="D3397" s="34" t="s">
        <v>1506</v>
      </c>
      <c r="E3397" s="34" t="s">
        <v>7917</v>
      </c>
      <c r="F3397" s="34" t="s">
        <v>7918</v>
      </c>
      <c r="G3397" s="34">
        <v>76322.0</v>
      </c>
      <c r="H3397" s="34" t="s">
        <v>5034</v>
      </c>
      <c r="I3397" s="34" t="s">
        <v>18</v>
      </c>
      <c r="J3397" s="34" t="s">
        <v>13</v>
      </c>
      <c r="K3397" s="9"/>
      <c r="L3397" s="45">
        <v>77.6</v>
      </c>
      <c r="M3397" s="45">
        <v>77.6</v>
      </c>
    </row>
    <row r="3398">
      <c r="A3398" s="34" t="s">
        <v>70</v>
      </c>
      <c r="B3398" s="34" t="s">
        <v>269</v>
      </c>
      <c r="C3398" s="34">
        <v>76.0</v>
      </c>
      <c r="D3398" s="34" t="s">
        <v>1506</v>
      </c>
      <c r="E3398" s="34" t="s">
        <v>7919</v>
      </c>
      <c r="F3398" s="34" t="s">
        <v>1716</v>
      </c>
      <c r="G3398" s="34">
        <v>76758.0</v>
      </c>
      <c r="H3398" s="34" t="s">
        <v>1537</v>
      </c>
      <c r="I3398" s="34" t="s">
        <v>17</v>
      </c>
      <c r="J3398" s="34" t="s">
        <v>15</v>
      </c>
      <c r="K3398" s="45">
        <v>125.3</v>
      </c>
      <c r="L3398" s="9"/>
      <c r="M3398" s="45">
        <v>125.3</v>
      </c>
    </row>
    <row r="3399">
      <c r="A3399" s="34" t="s">
        <v>70</v>
      </c>
      <c r="B3399" s="34" t="s">
        <v>269</v>
      </c>
      <c r="C3399" s="34">
        <v>76.0</v>
      </c>
      <c r="D3399" s="34" t="s">
        <v>1506</v>
      </c>
      <c r="E3399" s="34" t="s">
        <v>7920</v>
      </c>
      <c r="F3399" s="34" t="s">
        <v>2149</v>
      </c>
      <c r="G3399" s="34">
        <v>76427.0</v>
      </c>
      <c r="H3399" s="34" t="s">
        <v>7921</v>
      </c>
      <c r="I3399" s="34" t="s">
        <v>17</v>
      </c>
      <c r="J3399" s="34" t="s">
        <v>14</v>
      </c>
      <c r="K3399" s="45">
        <v>92.7</v>
      </c>
      <c r="L3399" s="45">
        <v>113.0</v>
      </c>
      <c r="M3399" s="45">
        <v>106.9</v>
      </c>
    </row>
    <row r="3400">
      <c r="A3400" s="34" t="s">
        <v>70</v>
      </c>
      <c r="B3400" s="34" t="s">
        <v>269</v>
      </c>
      <c r="C3400" s="34">
        <v>76.0</v>
      </c>
      <c r="D3400" s="34" t="s">
        <v>1506</v>
      </c>
      <c r="E3400" s="34" t="s">
        <v>7922</v>
      </c>
      <c r="F3400" s="34" t="s">
        <v>7923</v>
      </c>
      <c r="G3400" s="34">
        <v>76351.0</v>
      </c>
      <c r="H3400" s="34" t="s">
        <v>1515</v>
      </c>
      <c r="I3400" s="34" t="s">
        <v>18</v>
      </c>
      <c r="J3400" s="34" t="s">
        <v>13</v>
      </c>
      <c r="K3400" s="9"/>
      <c r="L3400" s="45">
        <v>80.0</v>
      </c>
      <c r="M3400" s="45">
        <v>80.0</v>
      </c>
    </row>
    <row r="3401">
      <c r="A3401" s="34" t="s">
        <v>70</v>
      </c>
      <c r="B3401" s="34" t="s">
        <v>269</v>
      </c>
      <c r="C3401" s="34">
        <v>76.0</v>
      </c>
      <c r="D3401" s="34" t="s">
        <v>1506</v>
      </c>
      <c r="E3401" s="34" t="s">
        <v>7924</v>
      </c>
      <c r="F3401" s="34" t="s">
        <v>7584</v>
      </c>
      <c r="G3401" s="34">
        <v>76319.0</v>
      </c>
      <c r="H3401" s="34" t="s">
        <v>7925</v>
      </c>
      <c r="I3401" s="34" t="s">
        <v>18</v>
      </c>
      <c r="J3401" s="34" t="s">
        <v>13</v>
      </c>
      <c r="K3401" s="9"/>
      <c r="L3401" s="45">
        <v>81.2</v>
      </c>
      <c r="M3401" s="45">
        <v>81.2</v>
      </c>
    </row>
    <row r="3402">
      <c r="A3402" s="34" t="s">
        <v>70</v>
      </c>
      <c r="B3402" s="34" t="s">
        <v>269</v>
      </c>
      <c r="C3402" s="34">
        <v>76.0</v>
      </c>
      <c r="D3402" s="34" t="s">
        <v>1506</v>
      </c>
      <c r="E3402" s="34" t="s">
        <v>7926</v>
      </c>
      <c r="F3402" s="34" t="s">
        <v>7927</v>
      </c>
      <c r="G3402" s="34">
        <v>76216.0</v>
      </c>
      <c r="H3402" s="34" t="s">
        <v>7928</v>
      </c>
      <c r="I3402" s="34" t="s">
        <v>18</v>
      </c>
      <c r="J3402" s="34" t="s">
        <v>15</v>
      </c>
      <c r="K3402" s="45">
        <v>98.8</v>
      </c>
      <c r="L3402" s="9"/>
      <c r="M3402" s="45">
        <v>98.8</v>
      </c>
    </row>
    <row r="3403">
      <c r="A3403" s="34" t="s">
        <v>70</v>
      </c>
      <c r="B3403" s="34" t="s">
        <v>269</v>
      </c>
      <c r="C3403" s="34">
        <v>76.0</v>
      </c>
      <c r="D3403" s="34" t="s">
        <v>1506</v>
      </c>
      <c r="E3403" s="34" t="s">
        <v>7929</v>
      </c>
      <c r="F3403" s="34" t="s">
        <v>7930</v>
      </c>
      <c r="G3403" s="34">
        <v>76475.0</v>
      </c>
      <c r="H3403" s="34" t="s">
        <v>7931</v>
      </c>
      <c r="I3403" s="34" t="s">
        <v>18</v>
      </c>
      <c r="J3403" s="34" t="s">
        <v>14</v>
      </c>
      <c r="K3403" s="45">
        <v>122.7</v>
      </c>
      <c r="L3403" s="45">
        <v>92.5</v>
      </c>
      <c r="M3403" s="45">
        <v>121.9</v>
      </c>
    </row>
    <row r="3404">
      <c r="A3404" s="34" t="s">
        <v>70</v>
      </c>
      <c r="B3404" s="34" t="s">
        <v>269</v>
      </c>
      <c r="C3404" s="34">
        <v>76.0</v>
      </c>
      <c r="D3404" s="34" t="s">
        <v>1506</v>
      </c>
      <c r="E3404" s="34" t="s">
        <v>7932</v>
      </c>
      <c r="F3404" s="34" t="s">
        <v>7933</v>
      </c>
      <c r="G3404" s="34">
        <v>76114.0</v>
      </c>
      <c r="H3404" s="34" t="s">
        <v>3382</v>
      </c>
      <c r="I3404" s="34" t="s">
        <v>18</v>
      </c>
      <c r="J3404" s="34" t="s">
        <v>14</v>
      </c>
      <c r="K3404" s="45">
        <v>106.7</v>
      </c>
      <c r="L3404" s="45">
        <v>87.7</v>
      </c>
      <c r="M3404" s="45">
        <v>97.3</v>
      </c>
    </row>
    <row r="3405">
      <c r="A3405" s="34" t="s">
        <v>70</v>
      </c>
      <c r="B3405" s="34" t="s">
        <v>269</v>
      </c>
      <c r="C3405" s="34">
        <v>76.0</v>
      </c>
      <c r="D3405" s="34" t="s">
        <v>1506</v>
      </c>
      <c r="E3405" s="34" t="s">
        <v>7934</v>
      </c>
      <c r="F3405" s="34" t="s">
        <v>7935</v>
      </c>
      <c r="G3405" s="34">
        <v>76235.0</v>
      </c>
      <c r="H3405" s="34" t="s">
        <v>7936</v>
      </c>
      <c r="I3405" s="34" t="s">
        <v>18</v>
      </c>
      <c r="J3405" s="34" t="s">
        <v>13</v>
      </c>
      <c r="K3405" s="9"/>
      <c r="L3405" s="45">
        <v>91.7</v>
      </c>
      <c r="M3405" s="45">
        <v>91.7</v>
      </c>
    </row>
    <row r="3406">
      <c r="A3406" s="34" t="s">
        <v>70</v>
      </c>
      <c r="B3406" s="34" t="s">
        <v>1545</v>
      </c>
      <c r="C3406" s="34">
        <v>77.0</v>
      </c>
      <c r="D3406" s="34" t="s">
        <v>1546</v>
      </c>
      <c r="E3406" s="34" t="s">
        <v>7937</v>
      </c>
      <c r="F3406" s="34" t="s">
        <v>7938</v>
      </c>
      <c r="G3406" s="34">
        <v>77079.0</v>
      </c>
      <c r="H3406" s="34" t="s">
        <v>7939</v>
      </c>
      <c r="I3406" s="34" t="s">
        <v>18</v>
      </c>
      <c r="J3406" s="34" t="s">
        <v>14</v>
      </c>
      <c r="K3406" s="45">
        <v>119.7</v>
      </c>
      <c r="L3406" s="45">
        <v>95.3</v>
      </c>
      <c r="M3406" s="45">
        <v>102.8</v>
      </c>
    </row>
    <row r="3407">
      <c r="A3407" s="34" t="s">
        <v>70</v>
      </c>
      <c r="B3407" s="34" t="s">
        <v>1545</v>
      </c>
      <c r="C3407" s="34">
        <v>77.0</v>
      </c>
      <c r="D3407" s="34" t="s">
        <v>1546</v>
      </c>
      <c r="E3407" s="34" t="s">
        <v>7940</v>
      </c>
      <c r="F3407" s="34" t="s">
        <v>7941</v>
      </c>
      <c r="G3407" s="34">
        <v>77284.0</v>
      </c>
      <c r="H3407" s="34" t="s">
        <v>6581</v>
      </c>
      <c r="I3407" s="34" t="s">
        <v>18</v>
      </c>
      <c r="J3407" s="34" t="s">
        <v>15</v>
      </c>
      <c r="K3407" s="45">
        <v>101.7</v>
      </c>
      <c r="L3407" s="9"/>
      <c r="M3407" s="45">
        <v>101.7</v>
      </c>
    </row>
    <row r="3408">
      <c r="A3408" s="34" t="s">
        <v>70</v>
      </c>
      <c r="B3408" s="34" t="s">
        <v>1545</v>
      </c>
      <c r="C3408" s="34">
        <v>77.0</v>
      </c>
      <c r="D3408" s="34" t="s">
        <v>1546</v>
      </c>
      <c r="E3408" s="34" t="s">
        <v>7942</v>
      </c>
      <c r="F3408" s="34" t="s">
        <v>7943</v>
      </c>
      <c r="G3408" s="34">
        <v>77284.0</v>
      </c>
      <c r="H3408" s="34" t="s">
        <v>6581</v>
      </c>
      <c r="I3408" s="34" t="s">
        <v>18</v>
      </c>
      <c r="J3408" s="34" t="s">
        <v>14</v>
      </c>
      <c r="K3408" s="45">
        <v>112.6</v>
      </c>
      <c r="L3408" s="45">
        <v>94.6</v>
      </c>
      <c r="M3408" s="45">
        <v>108.1</v>
      </c>
    </row>
    <row r="3409">
      <c r="A3409" s="34" t="s">
        <v>70</v>
      </c>
      <c r="B3409" s="34" t="s">
        <v>1545</v>
      </c>
      <c r="C3409" s="34">
        <v>77.0</v>
      </c>
      <c r="D3409" s="34" t="s">
        <v>1546</v>
      </c>
      <c r="E3409" s="34" t="s">
        <v>7944</v>
      </c>
      <c r="F3409" s="34" t="s">
        <v>7945</v>
      </c>
      <c r="G3409" s="34">
        <v>77288.0</v>
      </c>
      <c r="H3409" s="34" t="s">
        <v>1552</v>
      </c>
      <c r="I3409" s="34" t="s">
        <v>18</v>
      </c>
      <c r="J3409" s="34" t="s">
        <v>15</v>
      </c>
      <c r="K3409" s="45">
        <v>107.3</v>
      </c>
      <c r="L3409" s="9"/>
      <c r="M3409" s="45">
        <v>107.3</v>
      </c>
    </row>
    <row r="3410">
      <c r="A3410" s="34" t="s">
        <v>70</v>
      </c>
      <c r="B3410" s="34" t="s">
        <v>1545</v>
      </c>
      <c r="C3410" s="34">
        <v>77.0</v>
      </c>
      <c r="D3410" s="34" t="s">
        <v>1546</v>
      </c>
      <c r="E3410" s="34" t="s">
        <v>7946</v>
      </c>
      <c r="F3410" s="34" t="s">
        <v>7947</v>
      </c>
      <c r="G3410" s="34">
        <v>77305.0</v>
      </c>
      <c r="H3410" s="34" t="s">
        <v>3440</v>
      </c>
      <c r="I3410" s="34" t="s">
        <v>18</v>
      </c>
      <c r="J3410" s="34" t="s">
        <v>14</v>
      </c>
      <c r="K3410" s="45">
        <v>104.2</v>
      </c>
      <c r="L3410" s="45">
        <v>93.3</v>
      </c>
      <c r="M3410" s="45">
        <v>101.3</v>
      </c>
    </row>
    <row r="3411">
      <c r="A3411" s="34" t="s">
        <v>70</v>
      </c>
      <c r="B3411" s="34" t="s">
        <v>1545</v>
      </c>
      <c r="C3411" s="34">
        <v>77.0</v>
      </c>
      <c r="D3411" s="34" t="s">
        <v>1546</v>
      </c>
      <c r="E3411" s="34" t="s">
        <v>7948</v>
      </c>
      <c r="F3411" s="34" t="s">
        <v>7949</v>
      </c>
      <c r="G3411" s="34">
        <v>77243.0</v>
      </c>
      <c r="H3411" s="34" t="s">
        <v>6576</v>
      </c>
      <c r="I3411" s="34" t="s">
        <v>18</v>
      </c>
      <c r="J3411" s="34" t="s">
        <v>15</v>
      </c>
      <c r="K3411" s="45">
        <v>118.7</v>
      </c>
      <c r="L3411" s="9"/>
      <c r="M3411" s="45">
        <v>118.7</v>
      </c>
    </row>
    <row r="3412">
      <c r="A3412" s="34" t="s">
        <v>70</v>
      </c>
      <c r="B3412" s="34" t="s">
        <v>1545</v>
      </c>
      <c r="C3412" s="34">
        <v>77.0</v>
      </c>
      <c r="D3412" s="34" t="s">
        <v>1546</v>
      </c>
      <c r="E3412" s="34" t="s">
        <v>7950</v>
      </c>
      <c r="F3412" s="34" t="s">
        <v>7951</v>
      </c>
      <c r="G3412" s="34">
        <v>77284.0</v>
      </c>
      <c r="H3412" s="34" t="s">
        <v>6581</v>
      </c>
      <c r="I3412" s="34" t="s">
        <v>18</v>
      </c>
      <c r="J3412" s="34" t="s">
        <v>13</v>
      </c>
      <c r="K3412" s="9"/>
      <c r="L3412" s="45">
        <v>87.4</v>
      </c>
      <c r="M3412" s="45">
        <v>87.4</v>
      </c>
    </row>
    <row r="3413">
      <c r="A3413" s="34" t="s">
        <v>70</v>
      </c>
      <c r="B3413" s="34" t="s">
        <v>1545</v>
      </c>
      <c r="C3413" s="34">
        <v>77.0</v>
      </c>
      <c r="D3413" s="34" t="s">
        <v>1546</v>
      </c>
      <c r="E3413" s="34" t="s">
        <v>7952</v>
      </c>
      <c r="F3413" s="34" t="s">
        <v>7953</v>
      </c>
      <c r="G3413" s="34">
        <v>77118.0</v>
      </c>
      <c r="H3413" s="34" t="s">
        <v>7954</v>
      </c>
      <c r="I3413" s="34" t="s">
        <v>18</v>
      </c>
      <c r="J3413" s="34" t="s">
        <v>13</v>
      </c>
      <c r="K3413" s="9"/>
      <c r="L3413" s="45">
        <v>86.4</v>
      </c>
      <c r="M3413" s="45">
        <v>86.4</v>
      </c>
    </row>
    <row r="3414">
      <c r="A3414" s="34" t="s">
        <v>70</v>
      </c>
      <c r="B3414" s="34" t="s">
        <v>1545</v>
      </c>
      <c r="C3414" s="34">
        <v>77.0</v>
      </c>
      <c r="D3414" s="34" t="s">
        <v>1546</v>
      </c>
      <c r="E3414" s="34" t="s">
        <v>7955</v>
      </c>
      <c r="F3414" s="34" t="s">
        <v>456</v>
      </c>
      <c r="G3414" s="34">
        <v>77468.0</v>
      </c>
      <c r="H3414" s="34" t="s">
        <v>7956</v>
      </c>
      <c r="I3414" s="34" t="s">
        <v>18</v>
      </c>
      <c r="J3414" s="34" t="s">
        <v>14</v>
      </c>
      <c r="K3414" s="45">
        <v>104.3</v>
      </c>
      <c r="L3414" s="45">
        <v>88.2</v>
      </c>
      <c r="M3414" s="45">
        <v>99.9</v>
      </c>
    </row>
    <row r="3415">
      <c r="A3415" s="34" t="s">
        <v>70</v>
      </c>
      <c r="B3415" s="34" t="s">
        <v>1545</v>
      </c>
      <c r="C3415" s="34">
        <v>77.0</v>
      </c>
      <c r="D3415" s="34" t="s">
        <v>1546</v>
      </c>
      <c r="E3415" s="34" t="s">
        <v>7957</v>
      </c>
      <c r="F3415" s="34" t="s">
        <v>1950</v>
      </c>
      <c r="G3415" s="34">
        <v>77122.0</v>
      </c>
      <c r="H3415" s="34" t="s">
        <v>6587</v>
      </c>
      <c r="I3415" s="34" t="s">
        <v>18</v>
      </c>
      <c r="J3415" s="34" t="s">
        <v>15</v>
      </c>
      <c r="K3415" s="45">
        <v>120.1</v>
      </c>
      <c r="L3415" s="9"/>
      <c r="M3415" s="45">
        <v>120.1</v>
      </c>
    </row>
    <row r="3416">
      <c r="A3416" s="34" t="s">
        <v>70</v>
      </c>
      <c r="B3416" s="34" t="s">
        <v>1545</v>
      </c>
      <c r="C3416" s="34">
        <v>77.0</v>
      </c>
      <c r="D3416" s="34" t="s">
        <v>1546</v>
      </c>
      <c r="E3416" s="34" t="s">
        <v>7958</v>
      </c>
      <c r="F3416" s="34" t="s">
        <v>7959</v>
      </c>
      <c r="G3416" s="34">
        <v>77284.0</v>
      </c>
      <c r="H3416" s="34" t="s">
        <v>6581</v>
      </c>
      <c r="I3416" s="34" t="s">
        <v>17</v>
      </c>
      <c r="J3416" s="34" t="s">
        <v>13</v>
      </c>
      <c r="K3416" s="9"/>
      <c r="L3416" s="45">
        <v>114.2</v>
      </c>
      <c r="M3416" s="45">
        <v>114.2</v>
      </c>
    </row>
    <row r="3417">
      <c r="A3417" s="34" t="s">
        <v>70</v>
      </c>
      <c r="B3417" s="34" t="s">
        <v>1545</v>
      </c>
      <c r="C3417" s="34">
        <v>77.0</v>
      </c>
      <c r="D3417" s="34" t="s">
        <v>1546</v>
      </c>
      <c r="E3417" s="34" t="s">
        <v>7960</v>
      </c>
      <c r="F3417" s="34" t="s">
        <v>3454</v>
      </c>
      <c r="G3417" s="34">
        <v>77284.0</v>
      </c>
      <c r="H3417" s="34" t="s">
        <v>6581</v>
      </c>
      <c r="I3417" s="34" t="s">
        <v>18</v>
      </c>
      <c r="J3417" s="34" t="s">
        <v>15</v>
      </c>
      <c r="K3417" s="45">
        <v>108.3</v>
      </c>
      <c r="L3417" s="9"/>
      <c r="M3417" s="45">
        <v>108.3</v>
      </c>
    </row>
    <row r="3418">
      <c r="A3418" s="34" t="s">
        <v>70</v>
      </c>
      <c r="B3418" s="34" t="s">
        <v>1545</v>
      </c>
      <c r="C3418" s="34">
        <v>77.0</v>
      </c>
      <c r="D3418" s="34" t="s">
        <v>1546</v>
      </c>
      <c r="E3418" s="34" t="s">
        <v>7961</v>
      </c>
      <c r="F3418" s="34" t="s">
        <v>7962</v>
      </c>
      <c r="G3418" s="34">
        <v>77487.0</v>
      </c>
      <c r="H3418" s="34" t="s">
        <v>7963</v>
      </c>
      <c r="I3418" s="34" t="s">
        <v>18</v>
      </c>
      <c r="J3418" s="34" t="s">
        <v>14</v>
      </c>
      <c r="K3418" s="45">
        <v>116.5</v>
      </c>
      <c r="L3418" s="45">
        <v>86.9</v>
      </c>
      <c r="M3418" s="45">
        <v>107.8</v>
      </c>
    </row>
    <row r="3419">
      <c r="A3419" s="34" t="s">
        <v>70</v>
      </c>
      <c r="B3419" s="34" t="s">
        <v>1545</v>
      </c>
      <c r="C3419" s="34">
        <v>77.0</v>
      </c>
      <c r="D3419" s="34" t="s">
        <v>1546</v>
      </c>
      <c r="E3419" s="34" t="s">
        <v>7964</v>
      </c>
      <c r="F3419" s="34" t="s">
        <v>7965</v>
      </c>
      <c r="G3419" s="34">
        <v>77459.0</v>
      </c>
      <c r="H3419" s="34" t="s">
        <v>7966</v>
      </c>
      <c r="I3419" s="34" t="s">
        <v>18</v>
      </c>
      <c r="J3419" s="34" t="s">
        <v>15</v>
      </c>
      <c r="K3419" s="45">
        <v>95.6</v>
      </c>
      <c r="L3419" s="9"/>
      <c r="M3419" s="45">
        <v>95.6</v>
      </c>
    </row>
    <row r="3420">
      <c r="A3420" s="34" t="s">
        <v>70</v>
      </c>
      <c r="B3420" s="34" t="s">
        <v>1579</v>
      </c>
      <c r="C3420" s="34">
        <v>78.0</v>
      </c>
      <c r="D3420" s="34" t="s">
        <v>1580</v>
      </c>
      <c r="E3420" s="34" t="s">
        <v>7967</v>
      </c>
      <c r="F3420" s="34" t="s">
        <v>7968</v>
      </c>
      <c r="G3420" s="34">
        <v>78621.0</v>
      </c>
      <c r="H3420" s="34" t="s">
        <v>1583</v>
      </c>
      <c r="I3420" s="34" t="s">
        <v>18</v>
      </c>
      <c r="J3420" s="34" t="s">
        <v>13</v>
      </c>
      <c r="K3420" s="9"/>
      <c r="L3420" s="45">
        <v>82.8</v>
      </c>
      <c r="M3420" s="45">
        <v>82.8</v>
      </c>
    </row>
    <row r="3421">
      <c r="A3421" s="34" t="s">
        <v>70</v>
      </c>
      <c r="B3421" s="34" t="s">
        <v>1579</v>
      </c>
      <c r="C3421" s="34">
        <v>78.0</v>
      </c>
      <c r="D3421" s="34" t="s">
        <v>1580</v>
      </c>
      <c r="E3421" s="34" t="s">
        <v>7969</v>
      </c>
      <c r="F3421" s="34" t="s">
        <v>7970</v>
      </c>
      <c r="G3421" s="34">
        <v>78621.0</v>
      </c>
      <c r="H3421" s="34" t="s">
        <v>1583</v>
      </c>
      <c r="I3421" s="34" t="s">
        <v>18</v>
      </c>
      <c r="J3421" s="34" t="s">
        <v>15</v>
      </c>
      <c r="K3421" s="45">
        <v>90.4</v>
      </c>
      <c r="L3421" s="9"/>
      <c r="M3421" s="45">
        <v>90.4</v>
      </c>
    </row>
    <row r="3422">
      <c r="A3422" s="34" t="s">
        <v>70</v>
      </c>
      <c r="B3422" s="34" t="s">
        <v>1579</v>
      </c>
      <c r="C3422" s="34">
        <v>78.0</v>
      </c>
      <c r="D3422" s="34" t="s">
        <v>1580</v>
      </c>
      <c r="E3422" s="34" t="s">
        <v>7971</v>
      </c>
      <c r="F3422" s="34" t="s">
        <v>7972</v>
      </c>
      <c r="G3422" s="34">
        <v>78423.0</v>
      </c>
      <c r="H3422" s="34" t="s">
        <v>1589</v>
      </c>
      <c r="I3422" s="34" t="s">
        <v>18</v>
      </c>
      <c r="J3422" s="34" t="s">
        <v>14</v>
      </c>
      <c r="K3422" s="45">
        <v>124.3</v>
      </c>
      <c r="L3422" s="45">
        <v>110.0</v>
      </c>
      <c r="M3422" s="45">
        <v>123.2</v>
      </c>
    </row>
    <row r="3423">
      <c r="A3423" s="34" t="s">
        <v>70</v>
      </c>
      <c r="B3423" s="34" t="s">
        <v>1579</v>
      </c>
      <c r="C3423" s="34">
        <v>78.0</v>
      </c>
      <c r="D3423" s="34" t="s">
        <v>1580</v>
      </c>
      <c r="E3423" s="34" t="s">
        <v>7973</v>
      </c>
      <c r="F3423" s="34" t="s">
        <v>7974</v>
      </c>
      <c r="G3423" s="34">
        <v>78551.0</v>
      </c>
      <c r="H3423" s="34" t="s">
        <v>1592</v>
      </c>
      <c r="I3423" s="34" t="s">
        <v>17</v>
      </c>
      <c r="J3423" s="34" t="s">
        <v>13</v>
      </c>
      <c r="K3423" s="9"/>
      <c r="L3423" s="45">
        <v>125.3</v>
      </c>
      <c r="M3423" s="45">
        <v>125.3</v>
      </c>
    </row>
    <row r="3424">
      <c r="A3424" s="34" t="s">
        <v>70</v>
      </c>
      <c r="B3424" s="34" t="s">
        <v>1579</v>
      </c>
      <c r="C3424" s="34">
        <v>78.0</v>
      </c>
      <c r="D3424" s="34" t="s">
        <v>1580</v>
      </c>
      <c r="E3424" s="34" t="s">
        <v>7975</v>
      </c>
      <c r="F3424" s="34" t="s">
        <v>7976</v>
      </c>
      <c r="G3424" s="34">
        <v>78029.0</v>
      </c>
      <c r="H3424" s="34" t="s">
        <v>7977</v>
      </c>
      <c r="I3424" s="34" t="s">
        <v>18</v>
      </c>
      <c r="J3424" s="34" t="s">
        <v>15</v>
      </c>
      <c r="K3424" s="45">
        <v>121.8</v>
      </c>
      <c r="L3424" s="9"/>
      <c r="M3424" s="45">
        <v>121.8</v>
      </c>
    </row>
    <row r="3425">
      <c r="A3425" s="34" t="s">
        <v>70</v>
      </c>
      <c r="B3425" s="34" t="s">
        <v>1579</v>
      </c>
      <c r="C3425" s="34">
        <v>78.0</v>
      </c>
      <c r="D3425" s="34" t="s">
        <v>1580</v>
      </c>
      <c r="E3425" s="34" t="s">
        <v>7978</v>
      </c>
      <c r="F3425" s="34" t="s">
        <v>982</v>
      </c>
      <c r="G3425" s="34">
        <v>78498.0</v>
      </c>
      <c r="H3425" s="34" t="s">
        <v>1606</v>
      </c>
      <c r="I3425" s="34" t="s">
        <v>18</v>
      </c>
      <c r="J3425" s="34" t="s">
        <v>15</v>
      </c>
      <c r="K3425" s="45">
        <v>124.1</v>
      </c>
      <c r="L3425" s="9"/>
      <c r="M3425" s="45">
        <v>124.1</v>
      </c>
    </row>
    <row r="3426">
      <c r="A3426" s="34" t="s">
        <v>70</v>
      </c>
      <c r="B3426" s="34" t="s">
        <v>1579</v>
      </c>
      <c r="C3426" s="34">
        <v>78.0</v>
      </c>
      <c r="D3426" s="34" t="s">
        <v>1580</v>
      </c>
      <c r="E3426" s="34" t="s">
        <v>7979</v>
      </c>
      <c r="F3426" s="34" t="s">
        <v>7980</v>
      </c>
      <c r="G3426" s="34">
        <v>78423.0</v>
      </c>
      <c r="H3426" s="34" t="s">
        <v>1589</v>
      </c>
      <c r="I3426" s="34" t="s">
        <v>17</v>
      </c>
      <c r="J3426" s="34" t="s">
        <v>15</v>
      </c>
      <c r="K3426" s="45">
        <v>140.6</v>
      </c>
      <c r="L3426" s="9"/>
      <c r="M3426" s="45">
        <v>140.6</v>
      </c>
    </row>
    <row r="3427">
      <c r="A3427" s="34" t="s">
        <v>70</v>
      </c>
      <c r="B3427" s="34" t="s">
        <v>1579</v>
      </c>
      <c r="C3427" s="34">
        <v>78.0</v>
      </c>
      <c r="D3427" s="34" t="s">
        <v>1580</v>
      </c>
      <c r="E3427" s="34" t="s">
        <v>7981</v>
      </c>
      <c r="F3427" s="34" t="s">
        <v>7982</v>
      </c>
      <c r="G3427" s="34">
        <v>78498.0</v>
      </c>
      <c r="H3427" s="34" t="s">
        <v>1606</v>
      </c>
      <c r="I3427" s="34" t="s">
        <v>18</v>
      </c>
      <c r="J3427" s="34" t="s">
        <v>13</v>
      </c>
      <c r="K3427" s="9"/>
      <c r="L3427" s="45">
        <v>87.7</v>
      </c>
      <c r="M3427" s="45">
        <v>87.7</v>
      </c>
    </row>
    <row r="3428">
      <c r="A3428" s="34" t="s">
        <v>70</v>
      </c>
      <c r="B3428" s="34" t="s">
        <v>1579</v>
      </c>
      <c r="C3428" s="34">
        <v>78.0</v>
      </c>
      <c r="D3428" s="34" t="s">
        <v>1580</v>
      </c>
      <c r="E3428" s="34" t="s">
        <v>7983</v>
      </c>
      <c r="F3428" s="34" t="s">
        <v>2333</v>
      </c>
      <c r="G3428" s="34">
        <v>78361.0</v>
      </c>
      <c r="H3428" s="34" t="s">
        <v>3478</v>
      </c>
      <c r="I3428" s="34" t="s">
        <v>18</v>
      </c>
      <c r="J3428" s="34" t="s">
        <v>15</v>
      </c>
      <c r="K3428" s="45">
        <v>100.5</v>
      </c>
      <c r="L3428" s="9"/>
      <c r="M3428" s="45">
        <v>100.5</v>
      </c>
    </row>
    <row r="3429">
      <c r="A3429" s="34" t="s">
        <v>70</v>
      </c>
      <c r="B3429" s="34" t="s">
        <v>1579</v>
      </c>
      <c r="C3429" s="34">
        <v>78.0</v>
      </c>
      <c r="D3429" s="34" t="s">
        <v>1580</v>
      </c>
      <c r="E3429" s="34" t="s">
        <v>7984</v>
      </c>
      <c r="F3429" s="34" t="s">
        <v>3689</v>
      </c>
      <c r="G3429" s="34">
        <v>78361.0</v>
      </c>
      <c r="H3429" s="34" t="s">
        <v>3478</v>
      </c>
      <c r="I3429" s="34" t="s">
        <v>18</v>
      </c>
      <c r="J3429" s="34" t="s">
        <v>14</v>
      </c>
      <c r="K3429" s="45">
        <v>95.1</v>
      </c>
      <c r="L3429" s="45">
        <v>79.6</v>
      </c>
      <c r="M3429" s="45">
        <v>88.9</v>
      </c>
    </row>
    <row r="3430">
      <c r="A3430" s="34" t="s">
        <v>70</v>
      </c>
      <c r="B3430" s="34" t="s">
        <v>1579</v>
      </c>
      <c r="C3430" s="34">
        <v>78.0</v>
      </c>
      <c r="D3430" s="34" t="s">
        <v>1580</v>
      </c>
      <c r="E3430" s="34" t="s">
        <v>7985</v>
      </c>
      <c r="F3430" s="34" t="s">
        <v>7986</v>
      </c>
      <c r="G3430" s="34">
        <v>78517.0</v>
      </c>
      <c r="H3430" s="34" t="s">
        <v>3457</v>
      </c>
      <c r="I3430" s="34" t="s">
        <v>18</v>
      </c>
      <c r="J3430" s="34" t="s">
        <v>14</v>
      </c>
      <c r="K3430" s="45">
        <v>131.8</v>
      </c>
      <c r="L3430" s="45">
        <v>98.2</v>
      </c>
      <c r="M3430" s="45">
        <v>127.5</v>
      </c>
    </row>
    <row r="3431">
      <c r="A3431" s="34" t="s">
        <v>70</v>
      </c>
      <c r="B3431" s="34" t="s">
        <v>1579</v>
      </c>
      <c r="C3431" s="34">
        <v>78.0</v>
      </c>
      <c r="D3431" s="34" t="s">
        <v>1580</v>
      </c>
      <c r="E3431" s="34" t="s">
        <v>7987</v>
      </c>
      <c r="F3431" s="34" t="s">
        <v>6222</v>
      </c>
      <c r="G3431" s="34">
        <v>78650.0</v>
      </c>
      <c r="H3431" s="34" t="s">
        <v>7988</v>
      </c>
      <c r="I3431" s="34" t="s">
        <v>18</v>
      </c>
      <c r="J3431" s="34" t="s">
        <v>15</v>
      </c>
      <c r="K3431" s="45">
        <v>143.2</v>
      </c>
      <c r="L3431" s="9"/>
      <c r="M3431" s="45">
        <v>143.2</v>
      </c>
    </row>
    <row r="3432">
      <c r="A3432" s="34" t="s">
        <v>70</v>
      </c>
      <c r="B3432" s="34" t="s">
        <v>1579</v>
      </c>
      <c r="C3432" s="34">
        <v>78.0</v>
      </c>
      <c r="D3432" s="34" t="s">
        <v>1580</v>
      </c>
      <c r="E3432" s="34" t="s">
        <v>7989</v>
      </c>
      <c r="F3432" s="34" t="s">
        <v>7990</v>
      </c>
      <c r="G3432" s="34">
        <v>78683.0</v>
      </c>
      <c r="H3432" s="34" t="s">
        <v>7991</v>
      </c>
      <c r="I3432" s="34" t="s">
        <v>18</v>
      </c>
      <c r="J3432" s="34" t="s">
        <v>14</v>
      </c>
      <c r="K3432" s="45">
        <v>140.2</v>
      </c>
      <c r="L3432" s="45">
        <v>102.1</v>
      </c>
      <c r="M3432" s="45">
        <v>126.4</v>
      </c>
    </row>
    <row r="3433">
      <c r="A3433" s="34" t="s">
        <v>70</v>
      </c>
      <c r="B3433" s="34" t="s">
        <v>1579</v>
      </c>
      <c r="C3433" s="34">
        <v>78.0</v>
      </c>
      <c r="D3433" s="34" t="s">
        <v>1580</v>
      </c>
      <c r="E3433" s="34" t="s">
        <v>7992</v>
      </c>
      <c r="F3433" s="34" t="s">
        <v>7993</v>
      </c>
      <c r="G3433" s="34">
        <v>78158.0</v>
      </c>
      <c r="H3433" s="34" t="s">
        <v>6621</v>
      </c>
      <c r="I3433" s="34" t="s">
        <v>18</v>
      </c>
      <c r="J3433" s="34" t="s">
        <v>13</v>
      </c>
      <c r="K3433" s="9"/>
      <c r="L3433" s="45">
        <v>91.1</v>
      </c>
      <c r="M3433" s="45">
        <v>91.1</v>
      </c>
    </row>
    <row r="3434">
      <c r="A3434" s="34" t="s">
        <v>70</v>
      </c>
      <c r="B3434" s="34" t="s">
        <v>1579</v>
      </c>
      <c r="C3434" s="34">
        <v>78.0</v>
      </c>
      <c r="D3434" s="34" t="s">
        <v>1580</v>
      </c>
      <c r="E3434" s="34" t="s">
        <v>7994</v>
      </c>
      <c r="F3434" s="34" t="s">
        <v>5877</v>
      </c>
      <c r="G3434" s="34">
        <v>78646.0</v>
      </c>
      <c r="H3434" s="34" t="s">
        <v>1579</v>
      </c>
      <c r="I3434" s="34" t="s">
        <v>18</v>
      </c>
      <c r="J3434" s="34" t="s">
        <v>13</v>
      </c>
      <c r="K3434" s="9"/>
      <c r="L3434" s="45">
        <v>94.2</v>
      </c>
      <c r="M3434" s="45">
        <v>94.2</v>
      </c>
    </row>
    <row r="3435">
      <c r="A3435" s="34" t="s">
        <v>70</v>
      </c>
      <c r="B3435" s="34" t="s">
        <v>1579</v>
      </c>
      <c r="C3435" s="34">
        <v>78.0</v>
      </c>
      <c r="D3435" s="34" t="s">
        <v>1580</v>
      </c>
      <c r="E3435" s="34" t="s">
        <v>7995</v>
      </c>
      <c r="F3435" s="34" t="s">
        <v>7996</v>
      </c>
      <c r="G3435" s="34">
        <v>78650.0</v>
      </c>
      <c r="H3435" s="34" t="s">
        <v>7988</v>
      </c>
      <c r="I3435" s="34" t="s">
        <v>17</v>
      </c>
      <c r="J3435" s="34" t="s">
        <v>15</v>
      </c>
      <c r="K3435" s="45">
        <v>145.8</v>
      </c>
      <c r="L3435" s="9"/>
      <c r="M3435" s="45">
        <v>145.8</v>
      </c>
    </row>
    <row r="3436">
      <c r="A3436" s="34" t="s">
        <v>70</v>
      </c>
      <c r="B3436" s="34" t="s">
        <v>1579</v>
      </c>
      <c r="C3436" s="34">
        <v>78.0</v>
      </c>
      <c r="D3436" s="34" t="s">
        <v>1580</v>
      </c>
      <c r="E3436" s="34" t="s">
        <v>7997</v>
      </c>
      <c r="F3436" s="34" t="s">
        <v>7998</v>
      </c>
      <c r="G3436" s="34">
        <v>78172.0</v>
      </c>
      <c r="H3436" s="34" t="s">
        <v>1595</v>
      </c>
      <c r="I3436" s="34" t="s">
        <v>18</v>
      </c>
      <c r="J3436" s="34" t="s">
        <v>13</v>
      </c>
      <c r="K3436" s="9"/>
      <c r="L3436" s="45">
        <v>88.4</v>
      </c>
      <c r="M3436" s="45">
        <v>88.4</v>
      </c>
    </row>
    <row r="3437">
      <c r="A3437" s="34" t="s">
        <v>70</v>
      </c>
      <c r="B3437" s="34" t="s">
        <v>1579</v>
      </c>
      <c r="C3437" s="34">
        <v>78.0</v>
      </c>
      <c r="D3437" s="34" t="s">
        <v>1580</v>
      </c>
      <c r="E3437" s="34" t="s">
        <v>7999</v>
      </c>
      <c r="F3437" s="34" t="s">
        <v>8000</v>
      </c>
      <c r="G3437" s="34">
        <v>78117.0</v>
      </c>
      <c r="H3437" s="34" t="s">
        <v>8001</v>
      </c>
      <c r="I3437" s="34" t="s">
        <v>18</v>
      </c>
      <c r="J3437" s="34" t="s">
        <v>15</v>
      </c>
      <c r="K3437" s="45">
        <v>159.0</v>
      </c>
      <c r="L3437" s="9"/>
      <c r="M3437" s="45">
        <v>159.0</v>
      </c>
    </row>
    <row r="3438">
      <c r="A3438" s="34" t="s">
        <v>70</v>
      </c>
      <c r="B3438" s="34" t="s">
        <v>284</v>
      </c>
      <c r="C3438" s="34">
        <v>79.0</v>
      </c>
      <c r="D3438" s="34" t="s">
        <v>1622</v>
      </c>
      <c r="E3438" s="34" t="s">
        <v>8002</v>
      </c>
      <c r="F3438" s="34" t="s">
        <v>8003</v>
      </c>
      <c r="G3438" s="34">
        <v>79049.0</v>
      </c>
      <c r="H3438" s="34" t="s">
        <v>1632</v>
      </c>
      <c r="I3438" s="34" t="s">
        <v>18</v>
      </c>
      <c r="J3438" s="34" t="s">
        <v>15</v>
      </c>
      <c r="K3438" s="45">
        <v>108.6</v>
      </c>
      <c r="L3438" s="9"/>
      <c r="M3438" s="45">
        <v>108.6</v>
      </c>
    </row>
    <row r="3439">
      <c r="A3439" s="34" t="s">
        <v>70</v>
      </c>
      <c r="B3439" s="34" t="s">
        <v>284</v>
      </c>
      <c r="C3439" s="34">
        <v>79.0</v>
      </c>
      <c r="D3439" s="34" t="s">
        <v>1622</v>
      </c>
      <c r="E3439" s="34" t="s">
        <v>8004</v>
      </c>
      <c r="F3439" s="34" t="s">
        <v>8005</v>
      </c>
      <c r="G3439" s="34">
        <v>79083.0</v>
      </c>
      <c r="H3439" s="34" t="s">
        <v>8006</v>
      </c>
      <c r="I3439" s="34" t="s">
        <v>18</v>
      </c>
      <c r="J3439" s="34" t="s">
        <v>13</v>
      </c>
      <c r="K3439" s="9"/>
      <c r="L3439" s="45">
        <v>84.3</v>
      </c>
      <c r="M3439" s="45">
        <v>84.3</v>
      </c>
    </row>
    <row r="3440">
      <c r="A3440" s="34" t="s">
        <v>70</v>
      </c>
      <c r="B3440" s="34" t="s">
        <v>284</v>
      </c>
      <c r="C3440" s="34">
        <v>79.0</v>
      </c>
      <c r="D3440" s="34" t="s">
        <v>1622</v>
      </c>
      <c r="E3440" s="34" t="s">
        <v>8007</v>
      </c>
      <c r="F3440" s="34" t="s">
        <v>8008</v>
      </c>
      <c r="G3440" s="34">
        <v>79202.0</v>
      </c>
      <c r="H3440" s="34" t="s">
        <v>8009</v>
      </c>
      <c r="I3440" s="34" t="s">
        <v>18</v>
      </c>
      <c r="J3440" s="34" t="s">
        <v>15</v>
      </c>
      <c r="K3440" s="45">
        <v>112.2</v>
      </c>
      <c r="L3440" s="9"/>
      <c r="M3440" s="45">
        <v>112.2</v>
      </c>
    </row>
    <row r="3441">
      <c r="A3441" s="34" t="s">
        <v>70</v>
      </c>
      <c r="B3441" s="34" t="s">
        <v>284</v>
      </c>
      <c r="C3441" s="34">
        <v>79.0</v>
      </c>
      <c r="D3441" s="34" t="s">
        <v>1622</v>
      </c>
      <c r="E3441" s="34" t="s">
        <v>8010</v>
      </c>
      <c r="F3441" s="34" t="s">
        <v>8011</v>
      </c>
      <c r="G3441" s="34">
        <v>79202.0</v>
      </c>
      <c r="H3441" s="34" t="s">
        <v>8009</v>
      </c>
      <c r="I3441" s="34" t="s">
        <v>18</v>
      </c>
      <c r="J3441" s="34" t="s">
        <v>13</v>
      </c>
      <c r="K3441" s="9"/>
      <c r="L3441" s="45">
        <v>87.8</v>
      </c>
      <c r="M3441" s="45">
        <v>87.8</v>
      </c>
    </row>
    <row r="3442">
      <c r="A3442" s="34" t="s">
        <v>70</v>
      </c>
      <c r="B3442" s="34" t="s">
        <v>284</v>
      </c>
      <c r="C3442" s="34">
        <v>79.0</v>
      </c>
      <c r="D3442" s="34" t="s">
        <v>1622</v>
      </c>
      <c r="E3442" s="34" t="s">
        <v>8012</v>
      </c>
      <c r="F3442" s="34" t="s">
        <v>8013</v>
      </c>
      <c r="G3442" s="34">
        <v>79049.0</v>
      </c>
      <c r="H3442" s="34" t="s">
        <v>1632</v>
      </c>
      <c r="I3442" s="34" t="s">
        <v>18</v>
      </c>
      <c r="J3442" s="34" t="s">
        <v>13</v>
      </c>
      <c r="K3442" s="9"/>
      <c r="L3442" s="45">
        <v>82.3</v>
      </c>
      <c r="M3442" s="45">
        <v>82.3</v>
      </c>
    </row>
    <row r="3443">
      <c r="A3443" s="34" t="s">
        <v>70</v>
      </c>
      <c r="B3443" s="34" t="s">
        <v>284</v>
      </c>
      <c r="C3443" s="34">
        <v>79.0</v>
      </c>
      <c r="D3443" s="34" t="s">
        <v>1622</v>
      </c>
      <c r="E3443" s="34" t="s">
        <v>8014</v>
      </c>
      <c r="F3443" s="34" t="s">
        <v>8015</v>
      </c>
      <c r="G3443" s="34">
        <v>79191.0</v>
      </c>
      <c r="H3443" s="34" t="s">
        <v>1625</v>
      </c>
      <c r="I3443" s="34" t="s">
        <v>18</v>
      </c>
      <c r="J3443" s="34" t="s">
        <v>13</v>
      </c>
      <c r="K3443" s="9"/>
      <c r="L3443" s="45">
        <v>83.2</v>
      </c>
      <c r="M3443" s="45">
        <v>83.2</v>
      </c>
    </row>
    <row r="3444">
      <c r="A3444" s="34" t="s">
        <v>70</v>
      </c>
      <c r="B3444" s="34" t="s">
        <v>88</v>
      </c>
      <c r="C3444" s="34">
        <v>80.0</v>
      </c>
      <c r="D3444" s="34" t="s">
        <v>1635</v>
      </c>
      <c r="E3444" s="34" t="s">
        <v>8016</v>
      </c>
      <c r="F3444" s="34" t="s">
        <v>8017</v>
      </c>
      <c r="G3444" s="34">
        <v>80021.0</v>
      </c>
      <c r="H3444" s="34" t="s">
        <v>88</v>
      </c>
      <c r="I3444" s="34" t="s">
        <v>18</v>
      </c>
      <c r="J3444" s="34" t="s">
        <v>15</v>
      </c>
      <c r="K3444" s="45">
        <v>122.0</v>
      </c>
      <c r="L3444" s="9"/>
      <c r="M3444" s="45">
        <v>122.0</v>
      </c>
    </row>
    <row r="3445">
      <c r="A3445" s="34" t="s">
        <v>70</v>
      </c>
      <c r="B3445" s="34" t="s">
        <v>88</v>
      </c>
      <c r="C3445" s="34">
        <v>80.0</v>
      </c>
      <c r="D3445" s="34" t="s">
        <v>1635</v>
      </c>
      <c r="E3445" s="34" t="s">
        <v>8018</v>
      </c>
      <c r="F3445" s="34" t="s">
        <v>8019</v>
      </c>
      <c r="G3445" s="34">
        <v>80021.0</v>
      </c>
      <c r="H3445" s="34" t="s">
        <v>88</v>
      </c>
      <c r="I3445" s="34" t="s">
        <v>18</v>
      </c>
      <c r="J3445" s="34" t="s">
        <v>15</v>
      </c>
      <c r="K3445" s="45">
        <v>120.7</v>
      </c>
      <c r="L3445" s="9"/>
      <c r="M3445" s="45">
        <v>120.7</v>
      </c>
    </row>
    <row r="3446">
      <c r="A3446" s="34" t="s">
        <v>70</v>
      </c>
      <c r="B3446" s="34" t="s">
        <v>88</v>
      </c>
      <c r="C3446" s="34">
        <v>80.0</v>
      </c>
      <c r="D3446" s="34" t="s">
        <v>1635</v>
      </c>
      <c r="E3446" s="34" t="s">
        <v>8020</v>
      </c>
      <c r="F3446" s="34" t="s">
        <v>8021</v>
      </c>
      <c r="G3446" s="34">
        <v>80001.0</v>
      </c>
      <c r="H3446" s="34" t="s">
        <v>3488</v>
      </c>
      <c r="I3446" s="34" t="s">
        <v>18</v>
      </c>
      <c r="J3446" s="34" t="s">
        <v>13</v>
      </c>
      <c r="K3446" s="9"/>
      <c r="L3446" s="45">
        <v>77.9</v>
      </c>
      <c r="M3446" s="45">
        <v>77.9</v>
      </c>
    </row>
    <row r="3447">
      <c r="A3447" s="34" t="s">
        <v>70</v>
      </c>
      <c r="B3447" s="34" t="s">
        <v>88</v>
      </c>
      <c r="C3447" s="34">
        <v>80.0</v>
      </c>
      <c r="D3447" s="34" t="s">
        <v>1635</v>
      </c>
      <c r="E3447" s="34" t="s">
        <v>8022</v>
      </c>
      <c r="F3447" s="34" t="s">
        <v>8023</v>
      </c>
      <c r="G3447" s="34">
        <v>80410.0</v>
      </c>
      <c r="H3447" s="34" t="s">
        <v>8024</v>
      </c>
      <c r="I3447" s="34" t="s">
        <v>18</v>
      </c>
      <c r="J3447" s="34" t="s">
        <v>13</v>
      </c>
      <c r="K3447" s="9"/>
      <c r="L3447" s="45">
        <v>70.4</v>
      </c>
      <c r="M3447" s="45">
        <v>70.4</v>
      </c>
    </row>
    <row r="3448">
      <c r="A3448" s="34" t="s">
        <v>70</v>
      </c>
      <c r="B3448" s="34" t="s">
        <v>88</v>
      </c>
      <c r="C3448" s="34">
        <v>80.0</v>
      </c>
      <c r="D3448" s="34" t="s">
        <v>1635</v>
      </c>
      <c r="E3448" s="34" t="s">
        <v>8025</v>
      </c>
      <c r="F3448" s="34" t="s">
        <v>8026</v>
      </c>
      <c r="G3448" s="34">
        <v>80021.0</v>
      </c>
      <c r="H3448" s="34" t="s">
        <v>88</v>
      </c>
      <c r="I3448" s="34" t="s">
        <v>18</v>
      </c>
      <c r="J3448" s="34" t="s">
        <v>13</v>
      </c>
      <c r="K3448" s="9"/>
      <c r="L3448" s="45">
        <v>84.6</v>
      </c>
      <c r="M3448" s="45">
        <v>84.6</v>
      </c>
    </row>
    <row r="3449">
      <c r="A3449" s="34" t="s">
        <v>70</v>
      </c>
      <c r="B3449" s="34" t="s">
        <v>88</v>
      </c>
      <c r="C3449" s="34">
        <v>80.0</v>
      </c>
      <c r="D3449" s="34" t="s">
        <v>1635</v>
      </c>
      <c r="E3449" s="34" t="s">
        <v>8027</v>
      </c>
      <c r="F3449" s="34" t="s">
        <v>8028</v>
      </c>
      <c r="G3449" s="34">
        <v>80021.0</v>
      </c>
      <c r="H3449" s="34" t="s">
        <v>88</v>
      </c>
      <c r="I3449" s="34" t="s">
        <v>17</v>
      </c>
      <c r="J3449" s="34" t="s">
        <v>15</v>
      </c>
      <c r="K3449" s="45">
        <v>91.4</v>
      </c>
      <c r="L3449" s="9"/>
      <c r="M3449" s="45">
        <v>91.4</v>
      </c>
    </row>
    <row r="3450">
      <c r="A3450" s="34" t="s">
        <v>70</v>
      </c>
      <c r="B3450" s="34" t="s">
        <v>88</v>
      </c>
      <c r="C3450" s="34">
        <v>80.0</v>
      </c>
      <c r="D3450" s="34" t="s">
        <v>1635</v>
      </c>
      <c r="E3450" s="34" t="s">
        <v>8029</v>
      </c>
      <c r="F3450" s="34" t="s">
        <v>8030</v>
      </c>
      <c r="G3450" s="34">
        <v>80688.0</v>
      </c>
      <c r="H3450" s="34" t="s">
        <v>8031</v>
      </c>
      <c r="I3450" s="34" t="s">
        <v>18</v>
      </c>
      <c r="J3450" s="34" t="s">
        <v>13</v>
      </c>
      <c r="K3450" s="9"/>
      <c r="L3450" s="45">
        <v>76.2</v>
      </c>
      <c r="M3450" s="45">
        <v>76.2</v>
      </c>
    </row>
    <row r="3451">
      <c r="A3451" s="34" t="s">
        <v>70</v>
      </c>
      <c r="B3451" s="34" t="s">
        <v>88</v>
      </c>
      <c r="C3451" s="34">
        <v>80.0</v>
      </c>
      <c r="D3451" s="34" t="s">
        <v>1635</v>
      </c>
      <c r="E3451" s="34" t="s">
        <v>8032</v>
      </c>
      <c r="F3451" s="34" t="s">
        <v>8033</v>
      </c>
      <c r="G3451" s="34">
        <v>80021.0</v>
      </c>
      <c r="H3451" s="34" t="s">
        <v>88</v>
      </c>
      <c r="I3451" s="34" t="s">
        <v>17</v>
      </c>
      <c r="J3451" s="34" t="s">
        <v>13</v>
      </c>
      <c r="K3451" s="9"/>
      <c r="L3451" s="45">
        <v>96.0</v>
      </c>
      <c r="M3451" s="45">
        <v>96.0</v>
      </c>
    </row>
    <row r="3452">
      <c r="A3452" s="34" t="s">
        <v>70</v>
      </c>
      <c r="B3452" s="34" t="s">
        <v>88</v>
      </c>
      <c r="C3452" s="34">
        <v>80.0</v>
      </c>
      <c r="D3452" s="34" t="s">
        <v>1635</v>
      </c>
      <c r="E3452" s="34" t="s">
        <v>8034</v>
      </c>
      <c r="F3452" s="34" t="s">
        <v>8035</v>
      </c>
      <c r="G3452" s="34">
        <v>80021.0</v>
      </c>
      <c r="H3452" s="34" t="s">
        <v>88</v>
      </c>
      <c r="I3452" s="34" t="s">
        <v>17</v>
      </c>
      <c r="J3452" s="34" t="s">
        <v>13</v>
      </c>
      <c r="K3452" s="9"/>
      <c r="L3452" s="45">
        <v>97.4</v>
      </c>
      <c r="M3452" s="45">
        <v>97.4</v>
      </c>
    </row>
    <row r="3453">
      <c r="A3453" s="34" t="s">
        <v>70</v>
      </c>
      <c r="B3453" s="34" t="s">
        <v>182</v>
      </c>
      <c r="C3453" s="34">
        <v>81.0</v>
      </c>
      <c r="D3453" s="34" t="s">
        <v>1650</v>
      </c>
      <c r="E3453" s="34" t="s">
        <v>8036</v>
      </c>
      <c r="F3453" s="34" t="s">
        <v>8037</v>
      </c>
      <c r="G3453" s="34">
        <v>81004.0</v>
      </c>
      <c r="H3453" s="34" t="s">
        <v>1653</v>
      </c>
      <c r="I3453" s="34" t="s">
        <v>18</v>
      </c>
      <c r="J3453" s="34" t="s">
        <v>15</v>
      </c>
      <c r="K3453" s="45">
        <v>127.0</v>
      </c>
      <c r="L3453" s="9"/>
      <c r="M3453" s="45">
        <v>127.0</v>
      </c>
    </row>
    <row r="3454">
      <c r="A3454" s="34" t="s">
        <v>70</v>
      </c>
      <c r="B3454" s="34" t="s">
        <v>182</v>
      </c>
      <c r="C3454" s="34">
        <v>81.0</v>
      </c>
      <c r="D3454" s="34" t="s">
        <v>1650</v>
      </c>
      <c r="E3454" s="34" t="s">
        <v>8038</v>
      </c>
      <c r="F3454" s="34" t="s">
        <v>8039</v>
      </c>
      <c r="G3454" s="34">
        <v>81099.0</v>
      </c>
      <c r="H3454" s="34" t="s">
        <v>5113</v>
      </c>
      <c r="I3454" s="34" t="s">
        <v>17</v>
      </c>
      <c r="J3454" s="34" t="s">
        <v>15</v>
      </c>
      <c r="K3454" s="45">
        <v>119.1</v>
      </c>
      <c r="L3454" s="9"/>
      <c r="M3454" s="45">
        <v>119.1</v>
      </c>
    </row>
    <row r="3455">
      <c r="A3455" s="34" t="s">
        <v>70</v>
      </c>
      <c r="B3455" s="34" t="s">
        <v>182</v>
      </c>
      <c r="C3455" s="34">
        <v>81.0</v>
      </c>
      <c r="D3455" s="34" t="s">
        <v>1650</v>
      </c>
      <c r="E3455" s="34" t="s">
        <v>8040</v>
      </c>
      <c r="F3455" s="34" t="s">
        <v>8041</v>
      </c>
      <c r="G3455" s="34">
        <v>81163.0</v>
      </c>
      <c r="H3455" s="34" t="s">
        <v>1664</v>
      </c>
      <c r="I3455" s="34" t="s">
        <v>17</v>
      </c>
      <c r="J3455" s="34" t="s">
        <v>13</v>
      </c>
      <c r="K3455" s="9"/>
      <c r="L3455" s="45">
        <v>87.8</v>
      </c>
      <c r="M3455" s="45">
        <v>87.8</v>
      </c>
    </row>
    <row r="3456">
      <c r="A3456" s="34" t="s">
        <v>70</v>
      </c>
      <c r="B3456" s="34" t="s">
        <v>182</v>
      </c>
      <c r="C3456" s="34">
        <v>81.0</v>
      </c>
      <c r="D3456" s="34" t="s">
        <v>1650</v>
      </c>
      <c r="E3456" s="34" t="s">
        <v>8042</v>
      </c>
      <c r="F3456" s="34" t="s">
        <v>8043</v>
      </c>
      <c r="G3456" s="34">
        <v>81065.0</v>
      </c>
      <c r="H3456" s="34" t="s">
        <v>1659</v>
      </c>
      <c r="I3456" s="34" t="s">
        <v>18</v>
      </c>
      <c r="J3456" s="34" t="s">
        <v>14</v>
      </c>
      <c r="K3456" s="45">
        <v>113.0</v>
      </c>
      <c r="L3456" s="45">
        <v>90.7</v>
      </c>
      <c r="M3456" s="45">
        <v>110.4</v>
      </c>
    </row>
    <row r="3457">
      <c r="A3457" s="34" t="s">
        <v>70</v>
      </c>
      <c r="B3457" s="34" t="s">
        <v>182</v>
      </c>
      <c r="C3457" s="34">
        <v>81.0</v>
      </c>
      <c r="D3457" s="34" t="s">
        <v>1650</v>
      </c>
      <c r="E3457" s="34" t="s">
        <v>8044</v>
      </c>
      <c r="F3457" s="34" t="s">
        <v>8045</v>
      </c>
      <c r="G3457" s="34">
        <v>81105.0</v>
      </c>
      <c r="H3457" s="34" t="s">
        <v>8046</v>
      </c>
      <c r="I3457" s="34" t="s">
        <v>18</v>
      </c>
      <c r="J3457" s="34" t="s">
        <v>13</v>
      </c>
      <c r="K3457" s="9"/>
      <c r="L3457" s="45">
        <v>86.9</v>
      </c>
      <c r="M3457" s="45">
        <v>86.9</v>
      </c>
    </row>
    <row r="3458">
      <c r="A3458" s="34" t="s">
        <v>70</v>
      </c>
      <c r="B3458" s="34" t="s">
        <v>182</v>
      </c>
      <c r="C3458" s="34">
        <v>82.0</v>
      </c>
      <c r="D3458" s="34" t="s">
        <v>1665</v>
      </c>
      <c r="E3458" s="34" t="s">
        <v>8047</v>
      </c>
      <c r="F3458" s="34" t="s">
        <v>8048</v>
      </c>
      <c r="G3458" s="34">
        <v>82013.0</v>
      </c>
      <c r="H3458" s="34" t="s">
        <v>8049</v>
      </c>
      <c r="I3458" s="34" t="s">
        <v>18</v>
      </c>
      <c r="J3458" s="34" t="s">
        <v>13</v>
      </c>
      <c r="K3458" s="9"/>
      <c r="L3458" s="45">
        <v>93.3</v>
      </c>
      <c r="M3458" s="45">
        <v>93.3</v>
      </c>
    </row>
    <row r="3459">
      <c r="A3459" s="34" t="s">
        <v>70</v>
      </c>
      <c r="B3459" s="34" t="s">
        <v>182</v>
      </c>
      <c r="C3459" s="34">
        <v>82.0</v>
      </c>
      <c r="D3459" s="34" t="s">
        <v>1665</v>
      </c>
      <c r="E3459" s="34" t="s">
        <v>8050</v>
      </c>
      <c r="F3459" s="34" t="s">
        <v>8051</v>
      </c>
      <c r="G3459" s="34">
        <v>82121.0</v>
      </c>
      <c r="H3459" s="34" t="s">
        <v>1674</v>
      </c>
      <c r="I3459" s="34" t="s">
        <v>18</v>
      </c>
      <c r="J3459" s="34" t="s">
        <v>15</v>
      </c>
      <c r="K3459" s="45">
        <v>107.6</v>
      </c>
      <c r="L3459" s="9"/>
      <c r="M3459" s="45">
        <v>107.6</v>
      </c>
    </row>
    <row r="3460">
      <c r="A3460" s="34" t="s">
        <v>70</v>
      </c>
      <c r="B3460" s="34" t="s">
        <v>134</v>
      </c>
      <c r="C3460" s="34">
        <v>83.0</v>
      </c>
      <c r="D3460" s="34" t="s">
        <v>1678</v>
      </c>
      <c r="E3460" s="34" t="s">
        <v>8052</v>
      </c>
      <c r="F3460" s="34" t="s">
        <v>8053</v>
      </c>
      <c r="G3460" s="34">
        <v>83137.0</v>
      </c>
      <c r="H3460" s="34" t="s">
        <v>1688</v>
      </c>
      <c r="I3460" s="34" t="s">
        <v>18</v>
      </c>
      <c r="J3460" s="34" t="s">
        <v>14</v>
      </c>
      <c r="K3460" s="45">
        <v>94.2</v>
      </c>
      <c r="L3460" s="45">
        <v>78.9</v>
      </c>
      <c r="M3460" s="45">
        <v>80.2</v>
      </c>
    </row>
    <row r="3461">
      <c r="A3461" s="34" t="s">
        <v>70</v>
      </c>
      <c r="B3461" s="34" t="s">
        <v>134</v>
      </c>
      <c r="C3461" s="34">
        <v>83.0</v>
      </c>
      <c r="D3461" s="34" t="s">
        <v>1678</v>
      </c>
      <c r="E3461" s="34" t="s">
        <v>8054</v>
      </c>
      <c r="F3461" s="34" t="s">
        <v>1089</v>
      </c>
      <c r="G3461" s="34">
        <v>83126.0</v>
      </c>
      <c r="H3461" s="34" t="s">
        <v>1685</v>
      </c>
      <c r="I3461" s="34" t="s">
        <v>17</v>
      </c>
      <c r="J3461" s="34" t="s">
        <v>15</v>
      </c>
      <c r="K3461" s="45">
        <v>122.4</v>
      </c>
      <c r="L3461" s="9"/>
      <c r="M3461" s="45">
        <v>122.4</v>
      </c>
    </row>
    <row r="3462">
      <c r="A3462" s="34" t="s">
        <v>70</v>
      </c>
      <c r="B3462" s="34" t="s">
        <v>134</v>
      </c>
      <c r="C3462" s="34">
        <v>83.0</v>
      </c>
      <c r="D3462" s="34" t="s">
        <v>1678</v>
      </c>
      <c r="E3462" s="34" t="s">
        <v>8055</v>
      </c>
      <c r="F3462" s="34" t="s">
        <v>8056</v>
      </c>
      <c r="G3462" s="34">
        <v>83069.0</v>
      </c>
      <c r="H3462" s="34" t="s">
        <v>6670</v>
      </c>
      <c r="I3462" s="34" t="s">
        <v>17</v>
      </c>
      <c r="J3462" s="34" t="s">
        <v>14</v>
      </c>
      <c r="K3462" s="45">
        <v>129.8</v>
      </c>
      <c r="L3462" s="45">
        <v>119.6</v>
      </c>
      <c r="M3462" s="45">
        <v>128.1</v>
      </c>
    </row>
    <row r="3463">
      <c r="A3463" s="34" t="s">
        <v>70</v>
      </c>
      <c r="B3463" s="34" t="s">
        <v>134</v>
      </c>
      <c r="C3463" s="34">
        <v>83.0</v>
      </c>
      <c r="D3463" s="34" t="s">
        <v>1678</v>
      </c>
      <c r="E3463" s="34" t="s">
        <v>8057</v>
      </c>
      <c r="F3463" s="34" t="s">
        <v>8058</v>
      </c>
      <c r="G3463" s="34">
        <v>83069.0</v>
      </c>
      <c r="H3463" s="34" t="s">
        <v>6670</v>
      </c>
      <c r="I3463" s="34" t="s">
        <v>18</v>
      </c>
      <c r="J3463" s="34" t="s">
        <v>13</v>
      </c>
      <c r="K3463" s="9"/>
      <c r="L3463" s="45">
        <v>91.6</v>
      </c>
      <c r="M3463" s="45">
        <v>91.6</v>
      </c>
    </row>
    <row r="3464">
      <c r="A3464" s="34" t="s">
        <v>70</v>
      </c>
      <c r="B3464" s="34" t="s">
        <v>134</v>
      </c>
      <c r="C3464" s="34">
        <v>83.0</v>
      </c>
      <c r="D3464" s="34" t="s">
        <v>1678</v>
      </c>
      <c r="E3464" s="34" t="s">
        <v>8059</v>
      </c>
      <c r="F3464" s="34" t="s">
        <v>8060</v>
      </c>
      <c r="G3464" s="34">
        <v>83137.0</v>
      </c>
      <c r="H3464" s="34" t="s">
        <v>1688</v>
      </c>
      <c r="I3464" s="34" t="s">
        <v>17</v>
      </c>
      <c r="J3464" s="34" t="s">
        <v>15</v>
      </c>
      <c r="K3464" s="45">
        <v>117.2</v>
      </c>
      <c r="L3464" s="9"/>
      <c r="M3464" s="45">
        <v>117.2</v>
      </c>
    </row>
    <row r="3465">
      <c r="A3465" s="34" t="s">
        <v>70</v>
      </c>
      <c r="B3465" s="34" t="s">
        <v>134</v>
      </c>
      <c r="C3465" s="34">
        <v>83.0</v>
      </c>
      <c r="D3465" s="34" t="s">
        <v>1678</v>
      </c>
      <c r="E3465" s="34" t="s">
        <v>8061</v>
      </c>
      <c r="F3465" s="34" t="s">
        <v>8062</v>
      </c>
      <c r="G3465" s="34">
        <v>83061.0</v>
      </c>
      <c r="H3465" s="34" t="s">
        <v>1695</v>
      </c>
      <c r="I3465" s="34" t="s">
        <v>18</v>
      </c>
      <c r="J3465" s="34" t="s">
        <v>14</v>
      </c>
      <c r="K3465" s="45">
        <v>108.4</v>
      </c>
      <c r="L3465" s="45">
        <v>90.6</v>
      </c>
      <c r="M3465" s="45">
        <v>104.3</v>
      </c>
    </row>
    <row r="3466">
      <c r="A3466" s="34" t="s">
        <v>70</v>
      </c>
      <c r="B3466" s="34" t="s">
        <v>134</v>
      </c>
      <c r="C3466" s="34">
        <v>83.0</v>
      </c>
      <c r="D3466" s="34" t="s">
        <v>1678</v>
      </c>
      <c r="E3466" s="34" t="s">
        <v>8063</v>
      </c>
      <c r="F3466" s="34" t="s">
        <v>3931</v>
      </c>
      <c r="G3466" s="34">
        <v>83118.0</v>
      </c>
      <c r="H3466" s="34" t="s">
        <v>1682</v>
      </c>
      <c r="I3466" s="34" t="s">
        <v>17</v>
      </c>
      <c r="J3466" s="34" t="s">
        <v>15</v>
      </c>
      <c r="K3466" s="45">
        <v>135.2</v>
      </c>
      <c r="L3466" s="9"/>
      <c r="M3466" s="45">
        <v>135.2</v>
      </c>
    </row>
    <row r="3467">
      <c r="A3467" s="34" t="s">
        <v>70</v>
      </c>
      <c r="B3467" s="34" t="s">
        <v>134</v>
      </c>
      <c r="C3467" s="34">
        <v>83.0</v>
      </c>
      <c r="D3467" s="34" t="s">
        <v>1678</v>
      </c>
      <c r="E3467" s="34" t="s">
        <v>8064</v>
      </c>
      <c r="F3467" s="34" t="s">
        <v>8065</v>
      </c>
      <c r="G3467" s="34">
        <v>83069.0</v>
      </c>
      <c r="H3467" s="34" t="s">
        <v>6670</v>
      </c>
      <c r="I3467" s="34" t="s">
        <v>18</v>
      </c>
      <c r="J3467" s="34" t="s">
        <v>14</v>
      </c>
      <c r="K3467" s="45">
        <v>124.0</v>
      </c>
      <c r="L3467" s="45">
        <v>99.1</v>
      </c>
      <c r="M3467" s="45">
        <v>119.5</v>
      </c>
    </row>
    <row r="3468">
      <c r="A3468" s="34" t="s">
        <v>70</v>
      </c>
      <c r="B3468" s="34" t="s">
        <v>129</v>
      </c>
      <c r="C3468" s="34">
        <v>84.0</v>
      </c>
      <c r="D3468" s="34" t="s">
        <v>1704</v>
      </c>
      <c r="E3468" s="34" t="s">
        <v>8066</v>
      </c>
      <c r="F3468" s="34" t="s">
        <v>8067</v>
      </c>
      <c r="G3468" s="34">
        <v>84031.0</v>
      </c>
      <c r="H3468" s="34" t="s">
        <v>6683</v>
      </c>
      <c r="I3468" s="34" t="s">
        <v>18</v>
      </c>
      <c r="J3468" s="34" t="s">
        <v>14</v>
      </c>
      <c r="K3468" s="45">
        <v>110.3</v>
      </c>
      <c r="L3468" s="45">
        <v>85.1</v>
      </c>
      <c r="M3468" s="45">
        <v>106.1</v>
      </c>
    </row>
    <row r="3469">
      <c r="A3469" s="34" t="s">
        <v>70</v>
      </c>
      <c r="B3469" s="34" t="s">
        <v>129</v>
      </c>
      <c r="C3469" s="34">
        <v>84.0</v>
      </c>
      <c r="D3469" s="34" t="s">
        <v>1704</v>
      </c>
      <c r="E3469" s="34" t="s">
        <v>8068</v>
      </c>
      <c r="F3469" s="34" t="s">
        <v>8069</v>
      </c>
      <c r="G3469" s="34">
        <v>84031.0</v>
      </c>
      <c r="H3469" s="34" t="s">
        <v>6683</v>
      </c>
      <c r="I3469" s="34" t="s">
        <v>18</v>
      </c>
      <c r="J3469" s="34" t="s">
        <v>14</v>
      </c>
      <c r="K3469" s="45">
        <v>104.0</v>
      </c>
      <c r="L3469" s="45">
        <v>85.1</v>
      </c>
      <c r="M3469" s="45">
        <v>98.8</v>
      </c>
    </row>
    <row r="3470">
      <c r="A3470" s="34" t="s">
        <v>70</v>
      </c>
      <c r="B3470" s="34" t="s">
        <v>129</v>
      </c>
      <c r="C3470" s="34">
        <v>84.0</v>
      </c>
      <c r="D3470" s="34" t="s">
        <v>1704</v>
      </c>
      <c r="E3470" s="34" t="s">
        <v>8070</v>
      </c>
      <c r="F3470" s="34" t="s">
        <v>8071</v>
      </c>
      <c r="G3470" s="34">
        <v>84141.0</v>
      </c>
      <c r="H3470" s="34" t="s">
        <v>8072</v>
      </c>
      <c r="I3470" s="34" t="s">
        <v>18</v>
      </c>
      <c r="J3470" s="34" t="s">
        <v>13</v>
      </c>
      <c r="K3470" s="9"/>
      <c r="L3470" s="45">
        <v>93.1</v>
      </c>
      <c r="M3470" s="45">
        <v>93.1</v>
      </c>
    </row>
    <row r="3471">
      <c r="A3471" s="34" t="s">
        <v>70</v>
      </c>
      <c r="B3471" s="34" t="s">
        <v>129</v>
      </c>
      <c r="C3471" s="34">
        <v>84.0</v>
      </c>
      <c r="D3471" s="34" t="s">
        <v>1704</v>
      </c>
      <c r="E3471" s="34" t="s">
        <v>8073</v>
      </c>
      <c r="F3471" s="34" t="s">
        <v>8074</v>
      </c>
      <c r="G3471" s="34">
        <v>84007.0</v>
      </c>
      <c r="H3471" s="34" t="s">
        <v>1707</v>
      </c>
      <c r="I3471" s="34" t="s">
        <v>17</v>
      </c>
      <c r="J3471" s="34" t="s">
        <v>13</v>
      </c>
      <c r="K3471" s="9"/>
      <c r="L3471" s="45">
        <v>96.7</v>
      </c>
      <c r="M3471" s="45">
        <v>96.7</v>
      </c>
    </row>
    <row r="3472">
      <c r="A3472" s="34" t="s">
        <v>70</v>
      </c>
      <c r="B3472" s="34" t="s">
        <v>129</v>
      </c>
      <c r="C3472" s="34">
        <v>84.0</v>
      </c>
      <c r="D3472" s="34" t="s">
        <v>1704</v>
      </c>
      <c r="E3472" s="34" t="s">
        <v>8075</v>
      </c>
      <c r="F3472" s="34" t="s">
        <v>8076</v>
      </c>
      <c r="G3472" s="34">
        <v>84035.0</v>
      </c>
      <c r="H3472" s="34" t="s">
        <v>3543</v>
      </c>
      <c r="I3472" s="34" t="s">
        <v>18</v>
      </c>
      <c r="J3472" s="34" t="s">
        <v>13</v>
      </c>
      <c r="K3472" s="9"/>
      <c r="L3472" s="45">
        <v>80.4</v>
      </c>
      <c r="M3472" s="45">
        <v>80.4</v>
      </c>
    </row>
    <row r="3473">
      <c r="A3473" s="34" t="s">
        <v>70</v>
      </c>
      <c r="B3473" s="34" t="s">
        <v>129</v>
      </c>
      <c r="C3473" s="34">
        <v>84.0</v>
      </c>
      <c r="D3473" s="34" t="s">
        <v>1704</v>
      </c>
      <c r="E3473" s="34" t="s">
        <v>8077</v>
      </c>
      <c r="F3473" s="34" t="s">
        <v>8078</v>
      </c>
      <c r="G3473" s="34">
        <v>84138.0</v>
      </c>
      <c r="H3473" s="34" t="s">
        <v>6694</v>
      </c>
      <c r="I3473" s="34" t="s">
        <v>18</v>
      </c>
      <c r="J3473" s="34" t="s">
        <v>13</v>
      </c>
      <c r="K3473" s="9"/>
      <c r="L3473" s="45">
        <v>82.8</v>
      </c>
      <c r="M3473" s="45">
        <v>82.8</v>
      </c>
    </row>
    <row r="3474">
      <c r="A3474" s="34" t="s">
        <v>70</v>
      </c>
      <c r="B3474" s="34" t="s">
        <v>129</v>
      </c>
      <c r="C3474" s="34">
        <v>84.0</v>
      </c>
      <c r="D3474" s="34" t="s">
        <v>1704</v>
      </c>
      <c r="E3474" s="34" t="s">
        <v>8079</v>
      </c>
      <c r="F3474" s="34" t="s">
        <v>8080</v>
      </c>
      <c r="G3474" s="34">
        <v>84007.0</v>
      </c>
      <c r="H3474" s="34" t="s">
        <v>1707</v>
      </c>
      <c r="I3474" s="34" t="s">
        <v>18</v>
      </c>
      <c r="J3474" s="34" t="s">
        <v>14</v>
      </c>
      <c r="K3474" s="45">
        <v>98.7</v>
      </c>
      <c r="L3474" s="45">
        <v>77.6</v>
      </c>
      <c r="M3474" s="45">
        <v>94.1</v>
      </c>
    </row>
    <row r="3475">
      <c r="A3475" s="34" t="s">
        <v>70</v>
      </c>
      <c r="B3475" s="34" t="s">
        <v>779</v>
      </c>
      <c r="C3475" s="34">
        <v>85.0</v>
      </c>
      <c r="D3475" s="34" t="s">
        <v>1708</v>
      </c>
      <c r="E3475" s="34" t="s">
        <v>8081</v>
      </c>
      <c r="F3475" s="34" t="s">
        <v>5165</v>
      </c>
      <c r="G3475" s="34">
        <v>85191.0</v>
      </c>
      <c r="H3475" s="34" t="s">
        <v>1725</v>
      </c>
      <c r="I3475" s="34" t="s">
        <v>18</v>
      </c>
      <c r="J3475" s="34" t="s">
        <v>14</v>
      </c>
      <c r="K3475" s="45">
        <v>110.2</v>
      </c>
      <c r="L3475" s="45">
        <v>84.8</v>
      </c>
      <c r="M3475" s="45">
        <v>86.0</v>
      </c>
    </row>
    <row r="3476">
      <c r="A3476" s="34" t="s">
        <v>70</v>
      </c>
      <c r="B3476" s="34" t="s">
        <v>779</v>
      </c>
      <c r="C3476" s="34">
        <v>85.0</v>
      </c>
      <c r="D3476" s="34" t="s">
        <v>1708</v>
      </c>
      <c r="E3476" s="34" t="s">
        <v>8082</v>
      </c>
      <c r="F3476" s="34" t="s">
        <v>8083</v>
      </c>
      <c r="G3476" s="34">
        <v>85194.0</v>
      </c>
      <c r="H3476" s="34" t="s">
        <v>1714</v>
      </c>
      <c r="I3476" s="34" t="s">
        <v>17</v>
      </c>
      <c r="J3476" s="34" t="s">
        <v>14</v>
      </c>
      <c r="K3476" s="45">
        <v>120.6</v>
      </c>
      <c r="L3476" s="45">
        <v>101.1</v>
      </c>
      <c r="M3476" s="45">
        <v>114.9</v>
      </c>
    </row>
    <row r="3477">
      <c r="A3477" s="34" t="s">
        <v>70</v>
      </c>
      <c r="B3477" s="34" t="s">
        <v>779</v>
      </c>
      <c r="C3477" s="34">
        <v>85.0</v>
      </c>
      <c r="D3477" s="34" t="s">
        <v>1708</v>
      </c>
      <c r="E3477" s="34" t="s">
        <v>8084</v>
      </c>
      <c r="F3477" s="34" t="s">
        <v>8085</v>
      </c>
      <c r="G3477" s="34">
        <v>85047.0</v>
      </c>
      <c r="H3477" s="34" t="s">
        <v>5154</v>
      </c>
      <c r="I3477" s="34" t="s">
        <v>18</v>
      </c>
      <c r="J3477" s="34" t="s">
        <v>15</v>
      </c>
      <c r="K3477" s="45">
        <v>109.6</v>
      </c>
      <c r="L3477" s="9"/>
      <c r="M3477" s="45">
        <v>109.6</v>
      </c>
    </row>
    <row r="3478">
      <c r="A3478" s="34" t="s">
        <v>70</v>
      </c>
      <c r="B3478" s="34" t="s">
        <v>779</v>
      </c>
      <c r="C3478" s="34">
        <v>85.0</v>
      </c>
      <c r="D3478" s="34" t="s">
        <v>1708</v>
      </c>
      <c r="E3478" s="34" t="s">
        <v>8086</v>
      </c>
      <c r="F3478" s="34" t="s">
        <v>8087</v>
      </c>
      <c r="G3478" s="34">
        <v>85238.0</v>
      </c>
      <c r="H3478" s="34" t="s">
        <v>6700</v>
      </c>
      <c r="I3478" s="34" t="s">
        <v>17</v>
      </c>
      <c r="J3478" s="34" t="s">
        <v>13</v>
      </c>
      <c r="K3478" s="9"/>
      <c r="L3478" s="45">
        <v>104.1</v>
      </c>
      <c r="M3478" s="45">
        <v>104.1</v>
      </c>
    </row>
    <row r="3479">
      <c r="A3479" s="34" t="s">
        <v>70</v>
      </c>
      <c r="B3479" s="34" t="s">
        <v>779</v>
      </c>
      <c r="C3479" s="34">
        <v>85.0</v>
      </c>
      <c r="D3479" s="34" t="s">
        <v>1708</v>
      </c>
      <c r="E3479" s="34" t="s">
        <v>8088</v>
      </c>
      <c r="F3479" s="34" t="s">
        <v>8089</v>
      </c>
      <c r="G3479" s="34">
        <v>85238.0</v>
      </c>
      <c r="H3479" s="34" t="s">
        <v>6700</v>
      </c>
      <c r="I3479" s="34" t="s">
        <v>17</v>
      </c>
      <c r="J3479" s="34" t="s">
        <v>13</v>
      </c>
      <c r="K3479" s="9"/>
      <c r="L3479" s="45">
        <v>104.1</v>
      </c>
      <c r="M3479" s="45">
        <v>104.1</v>
      </c>
    </row>
    <row r="3480">
      <c r="A3480" s="34" t="s">
        <v>70</v>
      </c>
      <c r="B3480" s="34" t="s">
        <v>284</v>
      </c>
      <c r="C3480" s="34">
        <v>86.0</v>
      </c>
      <c r="D3480" s="34" t="s">
        <v>695</v>
      </c>
      <c r="E3480" s="34" t="s">
        <v>8090</v>
      </c>
      <c r="F3480" s="34" t="s">
        <v>2485</v>
      </c>
      <c r="G3480" s="34">
        <v>86066.0</v>
      </c>
      <c r="H3480" s="34" t="s">
        <v>3583</v>
      </c>
      <c r="I3480" s="34" t="s">
        <v>18</v>
      </c>
      <c r="J3480" s="34" t="s">
        <v>15</v>
      </c>
      <c r="K3480" s="45">
        <v>114.0</v>
      </c>
      <c r="L3480" s="9"/>
      <c r="M3480" s="45">
        <v>114.0</v>
      </c>
    </row>
    <row r="3481">
      <c r="A3481" s="34" t="s">
        <v>70</v>
      </c>
      <c r="B3481" s="34" t="s">
        <v>284</v>
      </c>
      <c r="C3481" s="34">
        <v>86.0</v>
      </c>
      <c r="D3481" s="34" t="s">
        <v>695</v>
      </c>
      <c r="E3481" s="34" t="s">
        <v>8091</v>
      </c>
      <c r="F3481" s="34" t="s">
        <v>8092</v>
      </c>
      <c r="G3481" s="34">
        <v>86066.0</v>
      </c>
      <c r="H3481" s="34" t="s">
        <v>3583</v>
      </c>
      <c r="I3481" s="34" t="s">
        <v>17</v>
      </c>
      <c r="J3481" s="34" t="s">
        <v>13</v>
      </c>
      <c r="K3481" s="9"/>
      <c r="L3481" s="45">
        <v>88.5</v>
      </c>
      <c r="M3481" s="45">
        <v>88.5</v>
      </c>
    </row>
    <row r="3482">
      <c r="A3482" s="34" t="s">
        <v>70</v>
      </c>
      <c r="B3482" s="34" t="s">
        <v>284</v>
      </c>
      <c r="C3482" s="34">
        <v>86.0</v>
      </c>
      <c r="D3482" s="34" t="s">
        <v>695</v>
      </c>
      <c r="E3482" s="34" t="s">
        <v>8093</v>
      </c>
      <c r="F3482" s="34" t="s">
        <v>8094</v>
      </c>
      <c r="G3482" s="34">
        <v>86194.0</v>
      </c>
      <c r="H3482" s="34" t="s">
        <v>284</v>
      </c>
      <c r="I3482" s="34" t="s">
        <v>17</v>
      </c>
      <c r="J3482" s="34" t="s">
        <v>14</v>
      </c>
      <c r="K3482" s="45">
        <v>106.9</v>
      </c>
      <c r="L3482" s="45">
        <v>91.9</v>
      </c>
      <c r="M3482" s="45">
        <v>97.5</v>
      </c>
    </row>
    <row r="3483">
      <c r="A3483" s="34" t="s">
        <v>70</v>
      </c>
      <c r="B3483" s="34" t="s">
        <v>284</v>
      </c>
      <c r="C3483" s="34">
        <v>86.0</v>
      </c>
      <c r="D3483" s="34" t="s">
        <v>695</v>
      </c>
      <c r="E3483" s="34" t="s">
        <v>8095</v>
      </c>
      <c r="F3483" s="34" t="s">
        <v>8096</v>
      </c>
      <c r="G3483" s="34">
        <v>86194.0</v>
      </c>
      <c r="H3483" s="34" t="s">
        <v>284</v>
      </c>
      <c r="I3483" s="34" t="s">
        <v>17</v>
      </c>
      <c r="J3483" s="34" t="s">
        <v>13</v>
      </c>
      <c r="K3483" s="9"/>
      <c r="L3483" s="45">
        <v>90.1</v>
      </c>
      <c r="M3483" s="45">
        <v>90.1</v>
      </c>
    </row>
    <row r="3484">
      <c r="A3484" s="34" t="s">
        <v>70</v>
      </c>
      <c r="B3484" s="34" t="s">
        <v>284</v>
      </c>
      <c r="C3484" s="34">
        <v>86.0</v>
      </c>
      <c r="D3484" s="34" t="s">
        <v>695</v>
      </c>
      <c r="E3484" s="34" t="s">
        <v>8097</v>
      </c>
      <c r="F3484" s="34" t="s">
        <v>8098</v>
      </c>
      <c r="G3484" s="34">
        <v>86194.0</v>
      </c>
      <c r="H3484" s="34" t="s">
        <v>284</v>
      </c>
      <c r="I3484" s="34" t="s">
        <v>18</v>
      </c>
      <c r="J3484" s="34" t="s">
        <v>13</v>
      </c>
      <c r="K3484" s="9"/>
      <c r="L3484" s="45">
        <v>84.5</v>
      </c>
      <c r="M3484" s="45">
        <v>84.5</v>
      </c>
    </row>
    <row r="3485">
      <c r="A3485" s="34" t="s">
        <v>70</v>
      </c>
      <c r="B3485" s="34" t="s">
        <v>284</v>
      </c>
      <c r="C3485" s="34">
        <v>86.0</v>
      </c>
      <c r="D3485" s="34" t="s">
        <v>695</v>
      </c>
      <c r="E3485" s="34" t="s">
        <v>8099</v>
      </c>
      <c r="F3485" s="34" t="s">
        <v>8100</v>
      </c>
      <c r="G3485" s="34">
        <v>86194.0</v>
      </c>
      <c r="H3485" s="34" t="s">
        <v>284</v>
      </c>
      <c r="I3485" s="34" t="s">
        <v>18</v>
      </c>
      <c r="J3485" s="34" t="s">
        <v>15</v>
      </c>
      <c r="K3485" s="45">
        <v>125.6</v>
      </c>
      <c r="L3485" s="9"/>
      <c r="M3485" s="45">
        <v>125.6</v>
      </c>
    </row>
    <row r="3486">
      <c r="A3486" s="34" t="s">
        <v>70</v>
      </c>
      <c r="B3486" s="34" t="s">
        <v>322</v>
      </c>
      <c r="C3486" s="34">
        <v>87.0</v>
      </c>
      <c r="D3486" s="34" t="s">
        <v>1736</v>
      </c>
      <c r="E3486" s="34" t="s">
        <v>8101</v>
      </c>
      <c r="F3486" s="34" t="s">
        <v>8102</v>
      </c>
      <c r="G3486" s="34">
        <v>87011.0</v>
      </c>
      <c r="H3486" s="34" t="s">
        <v>6707</v>
      </c>
      <c r="I3486" s="34" t="s">
        <v>18</v>
      </c>
      <c r="J3486" s="34" t="s">
        <v>13</v>
      </c>
      <c r="K3486" s="9"/>
      <c r="L3486" s="45">
        <v>77.2</v>
      </c>
      <c r="M3486" s="45">
        <v>77.2</v>
      </c>
    </row>
    <row r="3487">
      <c r="A3487" s="34" t="s">
        <v>70</v>
      </c>
      <c r="B3487" s="34" t="s">
        <v>322</v>
      </c>
      <c r="C3487" s="34">
        <v>87.0</v>
      </c>
      <c r="D3487" s="34" t="s">
        <v>1736</v>
      </c>
      <c r="E3487" s="34" t="s">
        <v>8103</v>
      </c>
      <c r="F3487" s="34" t="s">
        <v>8104</v>
      </c>
      <c r="G3487" s="34">
        <v>87059.0</v>
      </c>
      <c r="H3487" s="34" t="s">
        <v>8105</v>
      </c>
      <c r="I3487" s="34" t="s">
        <v>18</v>
      </c>
      <c r="J3487" s="34" t="s">
        <v>13</v>
      </c>
      <c r="K3487" s="9"/>
      <c r="L3487" s="45">
        <v>77.8</v>
      </c>
      <c r="M3487" s="45">
        <v>77.8</v>
      </c>
    </row>
    <row r="3488">
      <c r="A3488" s="34" t="s">
        <v>70</v>
      </c>
      <c r="B3488" s="34" t="s">
        <v>322</v>
      </c>
      <c r="C3488" s="34">
        <v>87.0</v>
      </c>
      <c r="D3488" s="34" t="s">
        <v>1736</v>
      </c>
      <c r="E3488" s="34" t="s">
        <v>8106</v>
      </c>
      <c r="F3488" s="34" t="s">
        <v>140</v>
      </c>
      <c r="G3488" s="34">
        <v>87085.0</v>
      </c>
      <c r="H3488" s="34" t="s">
        <v>322</v>
      </c>
      <c r="I3488" s="34" t="s">
        <v>18</v>
      </c>
      <c r="J3488" s="34" t="s">
        <v>15</v>
      </c>
      <c r="K3488" s="45">
        <v>113.2</v>
      </c>
      <c r="L3488" s="9"/>
      <c r="M3488" s="45">
        <v>113.2</v>
      </c>
    </row>
    <row r="3489">
      <c r="A3489" s="34" t="s">
        <v>70</v>
      </c>
      <c r="B3489" s="34" t="s">
        <v>322</v>
      </c>
      <c r="C3489" s="34">
        <v>87.0</v>
      </c>
      <c r="D3489" s="34" t="s">
        <v>1736</v>
      </c>
      <c r="E3489" s="34" t="s">
        <v>8107</v>
      </c>
      <c r="F3489" s="34" t="s">
        <v>8108</v>
      </c>
      <c r="G3489" s="34">
        <v>87085.0</v>
      </c>
      <c r="H3489" s="34" t="s">
        <v>322</v>
      </c>
      <c r="I3489" s="34" t="s">
        <v>18</v>
      </c>
      <c r="J3489" s="34" t="s">
        <v>14</v>
      </c>
      <c r="K3489" s="45">
        <v>94.6</v>
      </c>
      <c r="L3489" s="45">
        <v>82.7</v>
      </c>
      <c r="M3489" s="45">
        <v>92.6</v>
      </c>
    </row>
    <row r="3490">
      <c r="A3490" s="34" t="s">
        <v>70</v>
      </c>
      <c r="B3490" s="34" t="s">
        <v>322</v>
      </c>
      <c r="C3490" s="34">
        <v>87.0</v>
      </c>
      <c r="D3490" s="34" t="s">
        <v>1736</v>
      </c>
      <c r="E3490" s="34" t="s">
        <v>8109</v>
      </c>
      <c r="F3490" s="34" t="s">
        <v>8110</v>
      </c>
      <c r="G3490" s="34">
        <v>87085.0</v>
      </c>
      <c r="H3490" s="34" t="s">
        <v>322</v>
      </c>
      <c r="I3490" s="34" t="s">
        <v>18</v>
      </c>
      <c r="J3490" s="34" t="s">
        <v>14</v>
      </c>
      <c r="K3490" s="45">
        <v>124.2</v>
      </c>
      <c r="L3490" s="45">
        <v>87.1</v>
      </c>
      <c r="M3490" s="45">
        <v>121.2</v>
      </c>
    </row>
    <row r="3491">
      <c r="A3491" s="34" t="s">
        <v>70</v>
      </c>
      <c r="B3491" s="34" t="s">
        <v>322</v>
      </c>
      <c r="C3491" s="34">
        <v>87.0</v>
      </c>
      <c r="D3491" s="34" t="s">
        <v>1736</v>
      </c>
      <c r="E3491" s="34" t="s">
        <v>8111</v>
      </c>
      <c r="F3491" s="34" t="s">
        <v>8112</v>
      </c>
      <c r="G3491" s="34">
        <v>87085.0</v>
      </c>
      <c r="H3491" s="34" t="s">
        <v>322</v>
      </c>
      <c r="I3491" s="34" t="s">
        <v>18</v>
      </c>
      <c r="J3491" s="34" t="s">
        <v>13</v>
      </c>
      <c r="K3491" s="9"/>
      <c r="L3491" s="45">
        <v>81.5</v>
      </c>
      <c r="M3491" s="45">
        <v>81.5</v>
      </c>
    </row>
    <row r="3492">
      <c r="A3492" s="34" t="s">
        <v>70</v>
      </c>
      <c r="B3492" s="34" t="s">
        <v>322</v>
      </c>
      <c r="C3492" s="34">
        <v>87.0</v>
      </c>
      <c r="D3492" s="34" t="s">
        <v>1736</v>
      </c>
      <c r="E3492" s="34" t="s">
        <v>8113</v>
      </c>
      <c r="F3492" s="34" t="s">
        <v>8114</v>
      </c>
      <c r="G3492" s="34">
        <v>87085.0</v>
      </c>
      <c r="H3492" s="34" t="s">
        <v>322</v>
      </c>
      <c r="I3492" s="34" t="s">
        <v>18</v>
      </c>
      <c r="J3492" s="34" t="s">
        <v>13</v>
      </c>
      <c r="K3492" s="9"/>
      <c r="L3492" s="45">
        <v>92.5</v>
      </c>
      <c r="M3492" s="45">
        <v>92.5</v>
      </c>
    </row>
    <row r="3493">
      <c r="A3493" s="34" t="s">
        <v>70</v>
      </c>
      <c r="B3493" s="34" t="s">
        <v>930</v>
      </c>
      <c r="C3493" s="34">
        <v>88.0</v>
      </c>
      <c r="D3493" s="34" t="s">
        <v>1745</v>
      </c>
      <c r="E3493" s="34" t="s">
        <v>8115</v>
      </c>
      <c r="F3493" s="34" t="s">
        <v>1594</v>
      </c>
      <c r="G3493" s="34">
        <v>88413.0</v>
      </c>
      <c r="H3493" s="34" t="s">
        <v>3594</v>
      </c>
      <c r="I3493" s="34" t="s">
        <v>18</v>
      </c>
      <c r="J3493" s="34" t="s">
        <v>15</v>
      </c>
      <c r="K3493" s="45">
        <v>101.8</v>
      </c>
      <c r="L3493" s="9"/>
      <c r="M3493" s="45">
        <v>101.8</v>
      </c>
    </row>
    <row r="3494">
      <c r="A3494" s="34" t="s">
        <v>70</v>
      </c>
      <c r="B3494" s="34" t="s">
        <v>930</v>
      </c>
      <c r="C3494" s="34">
        <v>88.0</v>
      </c>
      <c r="D3494" s="34" t="s">
        <v>1745</v>
      </c>
      <c r="E3494" s="34" t="s">
        <v>8116</v>
      </c>
      <c r="F3494" s="34" t="s">
        <v>8117</v>
      </c>
      <c r="G3494" s="34">
        <v>88413.0</v>
      </c>
      <c r="H3494" s="34" t="s">
        <v>3594</v>
      </c>
      <c r="I3494" s="34" t="s">
        <v>18</v>
      </c>
      <c r="J3494" s="34" t="s">
        <v>13</v>
      </c>
      <c r="K3494" s="9"/>
      <c r="L3494" s="45">
        <v>80.1</v>
      </c>
      <c r="M3494" s="45">
        <v>80.1</v>
      </c>
    </row>
    <row r="3495">
      <c r="A3495" s="34" t="s">
        <v>70</v>
      </c>
      <c r="B3495" s="34" t="s">
        <v>930</v>
      </c>
      <c r="C3495" s="34">
        <v>88.0</v>
      </c>
      <c r="D3495" s="34" t="s">
        <v>1745</v>
      </c>
      <c r="E3495" s="34" t="s">
        <v>8118</v>
      </c>
      <c r="F3495" s="34" t="s">
        <v>595</v>
      </c>
      <c r="G3495" s="34">
        <v>88383.0</v>
      </c>
      <c r="H3495" s="34" t="s">
        <v>3601</v>
      </c>
      <c r="I3495" s="34" t="s">
        <v>17</v>
      </c>
      <c r="J3495" s="34" t="s">
        <v>13</v>
      </c>
      <c r="K3495" s="9"/>
      <c r="L3495" s="45">
        <v>90.5</v>
      </c>
      <c r="M3495" s="45">
        <v>90.5</v>
      </c>
    </row>
    <row r="3496">
      <c r="A3496" s="34" t="s">
        <v>70</v>
      </c>
      <c r="B3496" s="34" t="s">
        <v>930</v>
      </c>
      <c r="C3496" s="34">
        <v>88.0</v>
      </c>
      <c r="D3496" s="34" t="s">
        <v>1745</v>
      </c>
      <c r="E3496" s="34" t="s">
        <v>8119</v>
      </c>
      <c r="F3496" s="34" t="s">
        <v>8120</v>
      </c>
      <c r="G3496" s="34">
        <v>88160.0</v>
      </c>
      <c r="H3496" s="34" t="s">
        <v>1748</v>
      </c>
      <c r="I3496" s="34" t="s">
        <v>17</v>
      </c>
      <c r="J3496" s="34" t="s">
        <v>13</v>
      </c>
      <c r="K3496" s="9"/>
      <c r="L3496" s="45">
        <v>87.5</v>
      </c>
      <c r="M3496" s="45">
        <v>87.5</v>
      </c>
    </row>
    <row r="3497">
      <c r="A3497" s="34" t="s">
        <v>70</v>
      </c>
      <c r="B3497" s="34" t="s">
        <v>333</v>
      </c>
      <c r="C3497" s="34">
        <v>89.0</v>
      </c>
      <c r="D3497" s="34" t="s">
        <v>1763</v>
      </c>
      <c r="E3497" s="34" t="s">
        <v>8121</v>
      </c>
      <c r="F3497" s="34" t="s">
        <v>8122</v>
      </c>
      <c r="G3497" s="34">
        <v>89387.0</v>
      </c>
      <c r="H3497" s="34" t="s">
        <v>3605</v>
      </c>
      <c r="I3497" s="34" t="s">
        <v>18</v>
      </c>
      <c r="J3497" s="34" t="s">
        <v>13</v>
      </c>
      <c r="K3497" s="9"/>
      <c r="L3497" s="45">
        <v>84.5</v>
      </c>
      <c r="M3497" s="45">
        <v>84.5</v>
      </c>
    </row>
    <row r="3498">
      <c r="A3498" s="34" t="s">
        <v>70</v>
      </c>
      <c r="B3498" s="34" t="s">
        <v>333</v>
      </c>
      <c r="C3498" s="34">
        <v>89.0</v>
      </c>
      <c r="D3498" s="34" t="s">
        <v>1763</v>
      </c>
      <c r="E3498" s="34" t="s">
        <v>8123</v>
      </c>
      <c r="F3498" s="34" t="s">
        <v>8124</v>
      </c>
      <c r="G3498" s="34">
        <v>89419.0</v>
      </c>
      <c r="H3498" s="34" t="s">
        <v>8125</v>
      </c>
      <c r="I3498" s="34" t="s">
        <v>18</v>
      </c>
      <c r="J3498" s="34" t="s">
        <v>15</v>
      </c>
      <c r="K3498" s="45">
        <v>109.4</v>
      </c>
      <c r="L3498" s="9"/>
      <c r="M3498" s="45">
        <v>109.4</v>
      </c>
    </row>
    <row r="3499">
      <c r="A3499" s="34" t="s">
        <v>70</v>
      </c>
      <c r="B3499" s="34" t="s">
        <v>333</v>
      </c>
      <c r="C3499" s="34">
        <v>89.0</v>
      </c>
      <c r="D3499" s="34" t="s">
        <v>1763</v>
      </c>
      <c r="E3499" s="34" t="s">
        <v>8126</v>
      </c>
      <c r="F3499" s="34" t="s">
        <v>8127</v>
      </c>
      <c r="G3499" s="34">
        <v>89387.0</v>
      </c>
      <c r="H3499" s="34" t="s">
        <v>3605</v>
      </c>
      <c r="I3499" s="34" t="s">
        <v>18</v>
      </c>
      <c r="J3499" s="34" t="s">
        <v>15</v>
      </c>
      <c r="K3499" s="45">
        <v>101.2</v>
      </c>
      <c r="L3499" s="9"/>
      <c r="M3499" s="45">
        <v>101.2</v>
      </c>
    </row>
    <row r="3500">
      <c r="A3500" s="34" t="s">
        <v>70</v>
      </c>
      <c r="B3500" s="34" t="s">
        <v>393</v>
      </c>
      <c r="C3500" s="34">
        <v>90.0</v>
      </c>
      <c r="D3500" s="34" t="s">
        <v>1778</v>
      </c>
      <c r="E3500" s="34" t="s">
        <v>8128</v>
      </c>
      <c r="F3500" s="34" t="s">
        <v>3672</v>
      </c>
      <c r="G3500" s="34">
        <v>90010.0</v>
      </c>
      <c r="H3500" s="34" t="s">
        <v>1781</v>
      </c>
      <c r="I3500" s="34" t="s">
        <v>18</v>
      </c>
      <c r="J3500" s="34" t="s">
        <v>15</v>
      </c>
      <c r="K3500" s="45">
        <v>115.6</v>
      </c>
      <c r="L3500" s="9"/>
      <c r="M3500" s="45">
        <v>115.6</v>
      </c>
    </row>
    <row r="3501">
      <c r="A3501" s="34" t="s">
        <v>70</v>
      </c>
      <c r="B3501" s="34" t="s">
        <v>393</v>
      </c>
      <c r="C3501" s="34">
        <v>90.0</v>
      </c>
      <c r="D3501" s="34" t="s">
        <v>1778</v>
      </c>
      <c r="E3501" s="34" t="s">
        <v>8129</v>
      </c>
      <c r="F3501" s="34" t="s">
        <v>8130</v>
      </c>
      <c r="G3501" s="34">
        <v>90033.0</v>
      </c>
      <c r="H3501" s="34" t="s">
        <v>8131</v>
      </c>
      <c r="I3501" s="34" t="s">
        <v>18</v>
      </c>
      <c r="J3501" s="34" t="s">
        <v>13</v>
      </c>
      <c r="K3501" s="9"/>
      <c r="L3501" s="45">
        <v>75.4</v>
      </c>
      <c r="M3501" s="45">
        <v>75.4</v>
      </c>
    </row>
    <row r="3502">
      <c r="A3502" s="34" t="s">
        <v>70</v>
      </c>
      <c r="B3502" s="34" t="s">
        <v>1579</v>
      </c>
      <c r="C3502" s="34">
        <v>91.0</v>
      </c>
      <c r="D3502" s="34" t="s">
        <v>1784</v>
      </c>
      <c r="E3502" s="34" t="s">
        <v>8132</v>
      </c>
      <c r="F3502" s="34" t="s">
        <v>3066</v>
      </c>
      <c r="G3502" s="34">
        <v>91471.0</v>
      </c>
      <c r="H3502" s="34" t="s">
        <v>8133</v>
      </c>
      <c r="I3502" s="34" t="s">
        <v>18</v>
      </c>
      <c r="J3502" s="34" t="s">
        <v>15</v>
      </c>
      <c r="K3502" s="45">
        <v>152.6</v>
      </c>
      <c r="L3502" s="9"/>
      <c r="M3502" s="45">
        <v>152.6</v>
      </c>
    </row>
    <row r="3503">
      <c r="A3503" s="34" t="s">
        <v>70</v>
      </c>
      <c r="B3503" s="34" t="s">
        <v>1579</v>
      </c>
      <c r="C3503" s="34">
        <v>91.0</v>
      </c>
      <c r="D3503" s="34" t="s">
        <v>1784</v>
      </c>
      <c r="E3503" s="34" t="s">
        <v>8134</v>
      </c>
      <c r="F3503" s="34" t="s">
        <v>8135</v>
      </c>
      <c r="G3503" s="34">
        <v>91021.0</v>
      </c>
      <c r="H3503" s="34" t="s">
        <v>1809</v>
      </c>
      <c r="I3503" s="34" t="s">
        <v>18</v>
      </c>
      <c r="J3503" s="34" t="s">
        <v>13</v>
      </c>
      <c r="K3503" s="9"/>
      <c r="L3503" s="45">
        <v>93.8</v>
      </c>
      <c r="M3503" s="45">
        <v>93.8</v>
      </c>
    </row>
    <row r="3504">
      <c r="A3504" s="34" t="s">
        <v>70</v>
      </c>
      <c r="B3504" s="34" t="s">
        <v>1579</v>
      </c>
      <c r="C3504" s="34">
        <v>91.0</v>
      </c>
      <c r="D3504" s="34" t="s">
        <v>1784</v>
      </c>
      <c r="E3504" s="34" t="s">
        <v>8136</v>
      </c>
      <c r="F3504" s="34" t="s">
        <v>8137</v>
      </c>
      <c r="G3504" s="34">
        <v>91225.0</v>
      </c>
      <c r="H3504" s="34" t="s">
        <v>8138</v>
      </c>
      <c r="I3504" s="34" t="s">
        <v>18</v>
      </c>
      <c r="J3504" s="34" t="s">
        <v>13</v>
      </c>
      <c r="K3504" s="9"/>
      <c r="L3504" s="45">
        <v>96.9</v>
      </c>
      <c r="M3504" s="45">
        <v>96.9</v>
      </c>
    </row>
    <row r="3505">
      <c r="A3505" s="34" t="s">
        <v>70</v>
      </c>
      <c r="B3505" s="34" t="s">
        <v>1579</v>
      </c>
      <c r="C3505" s="34">
        <v>91.0</v>
      </c>
      <c r="D3505" s="34" t="s">
        <v>1784</v>
      </c>
      <c r="E3505" s="34" t="s">
        <v>8139</v>
      </c>
      <c r="F3505" s="34" t="s">
        <v>8140</v>
      </c>
      <c r="G3505" s="34">
        <v>91326.0</v>
      </c>
      <c r="H3505" s="34" t="s">
        <v>8141</v>
      </c>
      <c r="I3505" s="34" t="s">
        <v>18</v>
      </c>
      <c r="J3505" s="34" t="s">
        <v>13</v>
      </c>
      <c r="K3505" s="9"/>
      <c r="L3505" s="45">
        <v>84.3</v>
      </c>
      <c r="M3505" s="45">
        <v>84.3</v>
      </c>
    </row>
    <row r="3506">
      <c r="A3506" s="34" t="s">
        <v>70</v>
      </c>
      <c r="B3506" s="34" t="s">
        <v>1579</v>
      </c>
      <c r="C3506" s="34">
        <v>91.0</v>
      </c>
      <c r="D3506" s="34" t="s">
        <v>1784</v>
      </c>
      <c r="E3506" s="34" t="s">
        <v>8142</v>
      </c>
      <c r="F3506" s="34" t="s">
        <v>3442</v>
      </c>
      <c r="G3506" s="34">
        <v>91027.0</v>
      </c>
      <c r="H3506" s="34" t="s">
        <v>5202</v>
      </c>
      <c r="I3506" s="34" t="s">
        <v>18</v>
      </c>
      <c r="J3506" s="34" t="s">
        <v>14</v>
      </c>
      <c r="K3506" s="45">
        <v>100.6</v>
      </c>
      <c r="L3506" s="45">
        <v>82.5</v>
      </c>
      <c r="M3506" s="45">
        <v>94.5</v>
      </c>
    </row>
    <row r="3507">
      <c r="A3507" s="34" t="s">
        <v>70</v>
      </c>
      <c r="B3507" s="34" t="s">
        <v>1579</v>
      </c>
      <c r="C3507" s="34">
        <v>91.0</v>
      </c>
      <c r="D3507" s="34" t="s">
        <v>1784</v>
      </c>
      <c r="E3507" s="34" t="s">
        <v>8143</v>
      </c>
      <c r="F3507" s="34" t="s">
        <v>8144</v>
      </c>
      <c r="G3507" s="34">
        <v>91345.0</v>
      </c>
      <c r="H3507" s="34" t="s">
        <v>6757</v>
      </c>
      <c r="I3507" s="34" t="s">
        <v>18</v>
      </c>
      <c r="J3507" s="34" t="s">
        <v>13</v>
      </c>
      <c r="K3507" s="9"/>
      <c r="L3507" s="45">
        <v>83.6</v>
      </c>
      <c r="M3507" s="45">
        <v>83.6</v>
      </c>
    </row>
    <row r="3508">
      <c r="A3508" s="34" t="s">
        <v>70</v>
      </c>
      <c r="B3508" s="34" t="s">
        <v>1579</v>
      </c>
      <c r="C3508" s="34">
        <v>91.0</v>
      </c>
      <c r="D3508" s="34" t="s">
        <v>1784</v>
      </c>
      <c r="E3508" s="34" t="s">
        <v>8145</v>
      </c>
      <c r="F3508" s="34" t="s">
        <v>8146</v>
      </c>
      <c r="G3508" s="34">
        <v>91691.0</v>
      </c>
      <c r="H3508" s="34" t="s">
        <v>1795</v>
      </c>
      <c r="I3508" s="34" t="s">
        <v>18</v>
      </c>
      <c r="J3508" s="34" t="s">
        <v>13</v>
      </c>
      <c r="K3508" s="9"/>
      <c r="L3508" s="45">
        <v>82.9</v>
      </c>
      <c r="M3508" s="45">
        <v>82.9</v>
      </c>
    </row>
    <row r="3509">
      <c r="A3509" s="34" t="s">
        <v>70</v>
      </c>
      <c r="B3509" s="34" t="s">
        <v>1579</v>
      </c>
      <c r="C3509" s="34">
        <v>91.0</v>
      </c>
      <c r="D3509" s="34" t="s">
        <v>1784</v>
      </c>
      <c r="E3509" s="34" t="s">
        <v>8147</v>
      </c>
      <c r="F3509" s="34" t="s">
        <v>210</v>
      </c>
      <c r="G3509" s="34">
        <v>91223.0</v>
      </c>
      <c r="H3509" s="34" t="s">
        <v>3615</v>
      </c>
      <c r="I3509" s="34" t="s">
        <v>17</v>
      </c>
      <c r="J3509" s="34" t="s">
        <v>15</v>
      </c>
      <c r="K3509" s="45">
        <v>131.8</v>
      </c>
      <c r="L3509" s="9"/>
      <c r="M3509" s="45">
        <v>131.8</v>
      </c>
    </row>
    <row r="3510">
      <c r="A3510" s="34" t="s">
        <v>70</v>
      </c>
      <c r="B3510" s="34" t="s">
        <v>1579</v>
      </c>
      <c r="C3510" s="34">
        <v>91.0</v>
      </c>
      <c r="D3510" s="34" t="s">
        <v>1784</v>
      </c>
      <c r="E3510" s="34" t="s">
        <v>8148</v>
      </c>
      <c r="F3510" s="34" t="s">
        <v>8149</v>
      </c>
      <c r="G3510" s="34">
        <v>91471.0</v>
      </c>
      <c r="H3510" s="34" t="s">
        <v>8133</v>
      </c>
      <c r="I3510" s="34" t="s">
        <v>17</v>
      </c>
      <c r="J3510" s="34" t="s">
        <v>15</v>
      </c>
      <c r="K3510" s="45">
        <v>150.6</v>
      </c>
      <c r="L3510" s="9"/>
      <c r="M3510" s="45">
        <v>150.6</v>
      </c>
    </row>
    <row r="3511">
      <c r="A3511" s="34" t="s">
        <v>70</v>
      </c>
      <c r="B3511" s="34" t="s">
        <v>1579</v>
      </c>
      <c r="C3511" s="34">
        <v>91.0</v>
      </c>
      <c r="D3511" s="34" t="s">
        <v>1784</v>
      </c>
      <c r="E3511" s="34" t="s">
        <v>8150</v>
      </c>
      <c r="F3511" s="34" t="s">
        <v>8151</v>
      </c>
      <c r="G3511" s="34">
        <v>91661.0</v>
      </c>
      <c r="H3511" s="34" t="s">
        <v>8152</v>
      </c>
      <c r="I3511" s="34" t="s">
        <v>17</v>
      </c>
      <c r="J3511" s="34" t="s">
        <v>15</v>
      </c>
      <c r="K3511" s="45">
        <v>127.3</v>
      </c>
      <c r="L3511" s="9"/>
      <c r="M3511" s="45">
        <v>127.3</v>
      </c>
    </row>
    <row r="3512">
      <c r="A3512" s="34" t="s">
        <v>70</v>
      </c>
      <c r="B3512" s="34" t="s">
        <v>1579</v>
      </c>
      <c r="C3512" s="34">
        <v>91.0</v>
      </c>
      <c r="D3512" s="34" t="s">
        <v>1784</v>
      </c>
      <c r="E3512" s="34" t="s">
        <v>8153</v>
      </c>
      <c r="F3512" s="34" t="s">
        <v>814</v>
      </c>
      <c r="G3512" s="34">
        <v>91477.0</v>
      </c>
      <c r="H3512" s="34" t="s">
        <v>3636</v>
      </c>
      <c r="I3512" s="34" t="s">
        <v>18</v>
      </c>
      <c r="J3512" s="34" t="s">
        <v>15</v>
      </c>
      <c r="K3512" s="45">
        <v>132.4</v>
      </c>
      <c r="L3512" s="9"/>
      <c r="M3512" s="45">
        <v>132.4</v>
      </c>
    </row>
    <row r="3513">
      <c r="A3513" s="34" t="s">
        <v>70</v>
      </c>
      <c r="B3513" s="34" t="s">
        <v>1579</v>
      </c>
      <c r="C3513" s="34">
        <v>91.0</v>
      </c>
      <c r="D3513" s="34" t="s">
        <v>1784</v>
      </c>
      <c r="E3513" s="34" t="s">
        <v>8154</v>
      </c>
      <c r="F3513" s="34" t="s">
        <v>3569</v>
      </c>
      <c r="G3513" s="34">
        <v>91570.0</v>
      </c>
      <c r="H3513" s="34" t="s">
        <v>8155</v>
      </c>
      <c r="I3513" s="34" t="s">
        <v>18</v>
      </c>
      <c r="J3513" s="34" t="s">
        <v>14</v>
      </c>
      <c r="K3513" s="45">
        <v>108.4</v>
      </c>
      <c r="L3513" s="45">
        <v>87.8</v>
      </c>
      <c r="M3513" s="45">
        <v>102.4</v>
      </c>
    </row>
    <row r="3514">
      <c r="A3514" s="34" t="s">
        <v>70</v>
      </c>
      <c r="B3514" s="34" t="s">
        <v>1579</v>
      </c>
      <c r="C3514" s="34">
        <v>91.0</v>
      </c>
      <c r="D3514" s="34" t="s">
        <v>1784</v>
      </c>
      <c r="E3514" s="34" t="s">
        <v>8156</v>
      </c>
      <c r="F3514" s="34" t="s">
        <v>8157</v>
      </c>
      <c r="G3514" s="34">
        <v>91549.0</v>
      </c>
      <c r="H3514" s="34" t="s">
        <v>6753</v>
      </c>
      <c r="I3514" s="34" t="s">
        <v>18</v>
      </c>
      <c r="J3514" s="34" t="s">
        <v>14</v>
      </c>
      <c r="K3514" s="45">
        <v>90.2</v>
      </c>
      <c r="L3514" s="45">
        <v>80.0</v>
      </c>
      <c r="M3514" s="45">
        <v>81.2</v>
      </c>
    </row>
    <row r="3515">
      <c r="A3515" s="34" t="s">
        <v>70</v>
      </c>
      <c r="B3515" s="34" t="s">
        <v>1579</v>
      </c>
      <c r="C3515" s="34">
        <v>92.0</v>
      </c>
      <c r="D3515" s="34" t="s">
        <v>1815</v>
      </c>
      <c r="E3515" s="34" t="s">
        <v>8158</v>
      </c>
      <c r="F3515" s="34" t="s">
        <v>489</v>
      </c>
      <c r="G3515" s="34">
        <v>92009.0</v>
      </c>
      <c r="H3515" s="34" t="s">
        <v>1848</v>
      </c>
      <c r="I3515" s="34" t="s">
        <v>18</v>
      </c>
      <c r="J3515" s="34" t="s">
        <v>15</v>
      </c>
      <c r="K3515" s="45">
        <v>131.2</v>
      </c>
      <c r="L3515" s="9"/>
      <c r="M3515" s="45">
        <v>131.2</v>
      </c>
    </row>
    <row r="3516">
      <c r="A3516" s="34" t="s">
        <v>70</v>
      </c>
      <c r="B3516" s="34" t="s">
        <v>1579</v>
      </c>
      <c r="C3516" s="34">
        <v>92.0</v>
      </c>
      <c r="D3516" s="34" t="s">
        <v>1815</v>
      </c>
      <c r="E3516" s="34" t="s">
        <v>8159</v>
      </c>
      <c r="F3516" s="34" t="s">
        <v>4185</v>
      </c>
      <c r="G3516" s="34">
        <v>92012.0</v>
      </c>
      <c r="H3516" s="34" t="s">
        <v>3651</v>
      </c>
      <c r="I3516" s="34" t="s">
        <v>18</v>
      </c>
      <c r="J3516" s="34" t="s">
        <v>15</v>
      </c>
      <c r="K3516" s="45">
        <v>125.7</v>
      </c>
      <c r="L3516" s="9"/>
      <c r="M3516" s="45">
        <v>125.7</v>
      </c>
    </row>
    <row r="3517">
      <c r="A3517" s="34" t="s">
        <v>70</v>
      </c>
      <c r="B3517" s="34" t="s">
        <v>1579</v>
      </c>
      <c r="C3517" s="34">
        <v>92.0</v>
      </c>
      <c r="D3517" s="34" t="s">
        <v>1815</v>
      </c>
      <c r="E3517" s="34" t="s">
        <v>8160</v>
      </c>
      <c r="F3517" s="34" t="s">
        <v>8161</v>
      </c>
      <c r="G3517" s="34">
        <v>92026.0</v>
      </c>
      <c r="H3517" s="34" t="s">
        <v>1851</v>
      </c>
      <c r="I3517" s="34" t="s">
        <v>18</v>
      </c>
      <c r="J3517" s="34" t="s">
        <v>15</v>
      </c>
      <c r="K3517" s="45">
        <v>124.5</v>
      </c>
      <c r="L3517" s="9"/>
      <c r="M3517" s="45">
        <v>124.5</v>
      </c>
    </row>
    <row r="3518">
      <c r="A3518" s="34" t="s">
        <v>70</v>
      </c>
      <c r="B3518" s="34" t="s">
        <v>1579</v>
      </c>
      <c r="C3518" s="34">
        <v>92.0</v>
      </c>
      <c r="D3518" s="34" t="s">
        <v>1815</v>
      </c>
      <c r="E3518" s="34" t="s">
        <v>8162</v>
      </c>
      <c r="F3518" s="34" t="s">
        <v>8163</v>
      </c>
      <c r="G3518" s="34">
        <v>92050.0</v>
      </c>
      <c r="H3518" s="34" t="s">
        <v>3664</v>
      </c>
      <c r="I3518" s="34" t="s">
        <v>18</v>
      </c>
      <c r="J3518" s="34" t="s">
        <v>14</v>
      </c>
      <c r="K3518" s="45">
        <v>95.2</v>
      </c>
      <c r="L3518" s="45">
        <v>93.5</v>
      </c>
      <c r="M3518" s="45">
        <v>95.1</v>
      </c>
    </row>
    <row r="3519">
      <c r="A3519" s="34" t="s">
        <v>70</v>
      </c>
      <c r="B3519" s="34" t="s">
        <v>1579</v>
      </c>
      <c r="C3519" s="34">
        <v>92.0</v>
      </c>
      <c r="D3519" s="34" t="s">
        <v>1815</v>
      </c>
      <c r="E3519" s="34" t="s">
        <v>8164</v>
      </c>
      <c r="F3519" s="34" t="s">
        <v>8165</v>
      </c>
      <c r="G3519" s="34">
        <v>92051.0</v>
      </c>
      <c r="H3519" s="34" t="s">
        <v>1821</v>
      </c>
      <c r="I3519" s="34" t="s">
        <v>18</v>
      </c>
      <c r="J3519" s="34" t="s">
        <v>15</v>
      </c>
      <c r="K3519" s="45">
        <v>146.9</v>
      </c>
      <c r="L3519" s="9"/>
      <c r="M3519" s="45">
        <v>146.9</v>
      </c>
    </row>
    <row r="3520">
      <c r="A3520" s="34" t="s">
        <v>70</v>
      </c>
      <c r="B3520" s="34" t="s">
        <v>1579</v>
      </c>
      <c r="C3520" s="34">
        <v>92.0</v>
      </c>
      <c r="D3520" s="34" t="s">
        <v>1815</v>
      </c>
      <c r="E3520" s="34" t="s">
        <v>8166</v>
      </c>
      <c r="F3520" s="34" t="s">
        <v>8167</v>
      </c>
      <c r="G3520" s="34">
        <v>92004.0</v>
      </c>
      <c r="H3520" s="34" t="s">
        <v>5239</v>
      </c>
      <c r="I3520" s="34" t="s">
        <v>18</v>
      </c>
      <c r="J3520" s="34" t="s">
        <v>13</v>
      </c>
      <c r="K3520" s="9"/>
      <c r="L3520" s="45">
        <v>90.4</v>
      </c>
      <c r="M3520" s="45">
        <v>90.4</v>
      </c>
    </row>
    <row r="3521">
      <c r="A3521" s="34" t="s">
        <v>70</v>
      </c>
      <c r="B3521" s="34" t="s">
        <v>1579</v>
      </c>
      <c r="C3521" s="34">
        <v>92.0</v>
      </c>
      <c r="D3521" s="34" t="s">
        <v>1815</v>
      </c>
      <c r="E3521" s="34" t="s">
        <v>8168</v>
      </c>
      <c r="F3521" s="34" t="s">
        <v>8169</v>
      </c>
      <c r="G3521" s="34">
        <v>92035.0</v>
      </c>
      <c r="H3521" s="34" t="s">
        <v>8170</v>
      </c>
      <c r="I3521" s="34" t="s">
        <v>18</v>
      </c>
      <c r="J3521" s="34" t="s">
        <v>13</v>
      </c>
      <c r="K3521" s="9"/>
      <c r="L3521" s="45">
        <v>88.0</v>
      </c>
      <c r="M3521" s="45">
        <v>88.0</v>
      </c>
    </row>
    <row r="3522">
      <c r="A3522" s="34" t="s">
        <v>70</v>
      </c>
      <c r="B3522" s="34" t="s">
        <v>1579</v>
      </c>
      <c r="C3522" s="34">
        <v>92.0</v>
      </c>
      <c r="D3522" s="34" t="s">
        <v>1815</v>
      </c>
      <c r="E3522" s="34" t="s">
        <v>8171</v>
      </c>
      <c r="F3522" s="34" t="s">
        <v>8172</v>
      </c>
      <c r="G3522" s="34">
        <v>92046.0</v>
      </c>
      <c r="H3522" s="34" t="s">
        <v>8173</v>
      </c>
      <c r="I3522" s="34" t="s">
        <v>18</v>
      </c>
      <c r="J3522" s="34" t="s">
        <v>13</v>
      </c>
      <c r="K3522" s="9"/>
      <c r="L3522" s="45">
        <v>96.0</v>
      </c>
      <c r="M3522" s="45">
        <v>96.0</v>
      </c>
    </row>
    <row r="3523">
      <c r="A3523" s="34" t="s">
        <v>70</v>
      </c>
      <c r="B3523" s="34" t="s">
        <v>1579</v>
      </c>
      <c r="C3523" s="34">
        <v>92.0</v>
      </c>
      <c r="D3523" s="34" t="s">
        <v>1815</v>
      </c>
      <c r="E3523" s="34" t="s">
        <v>8174</v>
      </c>
      <c r="F3523" s="34" t="s">
        <v>1462</v>
      </c>
      <c r="G3523" s="34">
        <v>92048.0</v>
      </c>
      <c r="H3523" s="34" t="s">
        <v>1832</v>
      </c>
      <c r="I3523" s="34" t="s">
        <v>18</v>
      </c>
      <c r="J3523" s="34" t="s">
        <v>15</v>
      </c>
      <c r="K3523" s="45">
        <v>132.1</v>
      </c>
      <c r="L3523" s="9"/>
      <c r="M3523" s="45">
        <v>132.1</v>
      </c>
    </row>
    <row r="3524">
      <c r="A3524" s="34" t="s">
        <v>70</v>
      </c>
      <c r="B3524" s="34" t="s">
        <v>1579</v>
      </c>
      <c r="C3524" s="34">
        <v>92.0</v>
      </c>
      <c r="D3524" s="34" t="s">
        <v>1815</v>
      </c>
      <c r="E3524" s="34" t="s">
        <v>8175</v>
      </c>
      <c r="F3524" s="34" t="s">
        <v>2778</v>
      </c>
      <c r="G3524" s="34">
        <v>92051.0</v>
      </c>
      <c r="H3524" s="34" t="s">
        <v>1821</v>
      </c>
      <c r="I3524" s="34" t="s">
        <v>17</v>
      </c>
      <c r="J3524" s="34" t="s">
        <v>15</v>
      </c>
      <c r="K3524" s="45">
        <v>147.1</v>
      </c>
      <c r="L3524" s="9"/>
      <c r="M3524" s="45">
        <v>147.1</v>
      </c>
    </row>
    <row r="3525">
      <c r="A3525" s="34" t="s">
        <v>70</v>
      </c>
      <c r="B3525" s="34" t="s">
        <v>1579</v>
      </c>
      <c r="C3525" s="34">
        <v>92.0</v>
      </c>
      <c r="D3525" s="34" t="s">
        <v>1815</v>
      </c>
      <c r="E3525" s="34" t="s">
        <v>8176</v>
      </c>
      <c r="F3525" s="34" t="s">
        <v>1617</v>
      </c>
      <c r="G3525" s="34">
        <v>92012.0</v>
      </c>
      <c r="H3525" s="34" t="s">
        <v>3651</v>
      </c>
      <c r="I3525" s="34" t="s">
        <v>17</v>
      </c>
      <c r="J3525" s="34" t="s">
        <v>15</v>
      </c>
      <c r="K3525" s="45">
        <v>144.9</v>
      </c>
      <c r="L3525" s="9"/>
      <c r="M3525" s="45">
        <v>144.9</v>
      </c>
    </row>
    <row r="3526">
      <c r="A3526" s="34" t="s">
        <v>70</v>
      </c>
      <c r="B3526" s="34" t="s">
        <v>1579</v>
      </c>
      <c r="C3526" s="34">
        <v>92.0</v>
      </c>
      <c r="D3526" s="34" t="s">
        <v>1815</v>
      </c>
      <c r="E3526" s="34" t="s">
        <v>8177</v>
      </c>
      <c r="F3526" s="34" t="s">
        <v>1617</v>
      </c>
      <c r="G3526" s="34">
        <v>92014.0</v>
      </c>
      <c r="H3526" s="34" t="s">
        <v>8178</v>
      </c>
      <c r="I3526" s="34" t="s">
        <v>17</v>
      </c>
      <c r="J3526" s="34" t="s">
        <v>15</v>
      </c>
      <c r="K3526" s="45">
        <v>145.4</v>
      </c>
      <c r="L3526" s="9"/>
      <c r="M3526" s="45">
        <v>145.4</v>
      </c>
    </row>
    <row r="3527">
      <c r="A3527" s="34" t="s">
        <v>70</v>
      </c>
      <c r="B3527" s="34" t="s">
        <v>1579</v>
      </c>
      <c r="C3527" s="34">
        <v>92.0</v>
      </c>
      <c r="D3527" s="34" t="s">
        <v>1815</v>
      </c>
      <c r="E3527" s="34" t="s">
        <v>8179</v>
      </c>
      <c r="F3527" s="34" t="s">
        <v>1096</v>
      </c>
      <c r="G3527" s="34">
        <v>92032.0</v>
      </c>
      <c r="H3527" s="34" t="s">
        <v>8180</v>
      </c>
      <c r="I3527" s="34" t="s">
        <v>17</v>
      </c>
      <c r="J3527" s="34" t="s">
        <v>13</v>
      </c>
      <c r="K3527" s="9"/>
      <c r="L3527" s="45">
        <v>110.8</v>
      </c>
      <c r="M3527" s="45">
        <v>110.8</v>
      </c>
    </row>
    <row r="3528">
      <c r="A3528" s="34" t="s">
        <v>70</v>
      </c>
      <c r="B3528" s="34" t="s">
        <v>1579</v>
      </c>
      <c r="C3528" s="34">
        <v>92.0</v>
      </c>
      <c r="D3528" s="34" t="s">
        <v>1815</v>
      </c>
      <c r="E3528" s="34" t="s">
        <v>8181</v>
      </c>
      <c r="F3528" s="34" t="s">
        <v>8182</v>
      </c>
      <c r="G3528" s="34">
        <v>92036.0</v>
      </c>
      <c r="H3528" s="34" t="s">
        <v>8183</v>
      </c>
      <c r="I3528" s="34" t="s">
        <v>18</v>
      </c>
      <c r="J3528" s="34" t="s">
        <v>14</v>
      </c>
      <c r="K3528" s="45">
        <v>94.5</v>
      </c>
      <c r="L3528" s="45">
        <v>77.3</v>
      </c>
      <c r="M3528" s="45">
        <v>94.4</v>
      </c>
    </row>
    <row r="3529">
      <c r="A3529" s="34" t="s">
        <v>70</v>
      </c>
      <c r="B3529" s="34" t="s">
        <v>1579</v>
      </c>
      <c r="C3529" s="34">
        <v>92.0</v>
      </c>
      <c r="D3529" s="34" t="s">
        <v>1815</v>
      </c>
      <c r="E3529" s="34" t="s">
        <v>8184</v>
      </c>
      <c r="F3529" s="34" t="s">
        <v>8185</v>
      </c>
      <c r="G3529" s="34">
        <v>92044.0</v>
      </c>
      <c r="H3529" s="34" t="s">
        <v>8186</v>
      </c>
      <c r="I3529" s="34" t="s">
        <v>18</v>
      </c>
      <c r="J3529" s="34" t="s">
        <v>14</v>
      </c>
      <c r="K3529" s="45">
        <v>120.1</v>
      </c>
      <c r="L3529" s="45">
        <v>94.1</v>
      </c>
      <c r="M3529" s="45">
        <v>116.1</v>
      </c>
    </row>
    <row r="3530">
      <c r="A3530" s="34" t="s">
        <v>70</v>
      </c>
      <c r="B3530" s="34" t="s">
        <v>1579</v>
      </c>
      <c r="C3530" s="34">
        <v>92.0</v>
      </c>
      <c r="D3530" s="34" t="s">
        <v>1815</v>
      </c>
      <c r="E3530" s="34" t="s">
        <v>8187</v>
      </c>
      <c r="F3530" s="34" t="s">
        <v>8188</v>
      </c>
      <c r="G3530" s="34">
        <v>92026.0</v>
      </c>
      <c r="H3530" s="34" t="s">
        <v>1851</v>
      </c>
      <c r="I3530" s="34" t="s">
        <v>17</v>
      </c>
      <c r="J3530" s="34" t="s">
        <v>15</v>
      </c>
      <c r="K3530" s="45">
        <v>144.5</v>
      </c>
      <c r="L3530" s="9"/>
      <c r="M3530" s="45">
        <v>144.5</v>
      </c>
    </row>
    <row r="3531">
      <c r="A3531" s="34" t="s">
        <v>70</v>
      </c>
      <c r="B3531" s="34" t="s">
        <v>1579</v>
      </c>
      <c r="C3531" s="34">
        <v>92.0</v>
      </c>
      <c r="D3531" s="34" t="s">
        <v>1815</v>
      </c>
      <c r="E3531" s="34" t="s">
        <v>8189</v>
      </c>
      <c r="F3531" s="34" t="s">
        <v>8190</v>
      </c>
      <c r="G3531" s="34">
        <v>92062.0</v>
      </c>
      <c r="H3531" s="34" t="s">
        <v>1824</v>
      </c>
      <c r="I3531" s="34" t="s">
        <v>18</v>
      </c>
      <c r="J3531" s="34" t="s">
        <v>13</v>
      </c>
      <c r="K3531" s="9"/>
      <c r="L3531" s="45">
        <v>84.9</v>
      </c>
      <c r="M3531" s="45">
        <v>84.9</v>
      </c>
    </row>
    <row r="3532">
      <c r="A3532" s="34" t="s">
        <v>70</v>
      </c>
      <c r="B3532" s="34" t="s">
        <v>1579</v>
      </c>
      <c r="C3532" s="34">
        <v>92.0</v>
      </c>
      <c r="D3532" s="34" t="s">
        <v>1815</v>
      </c>
      <c r="E3532" s="34" t="s">
        <v>8191</v>
      </c>
      <c r="F3532" s="34" t="s">
        <v>2741</v>
      </c>
      <c r="G3532" s="34">
        <v>92023.0</v>
      </c>
      <c r="H3532" s="34" t="s">
        <v>8192</v>
      </c>
      <c r="I3532" s="34" t="s">
        <v>18</v>
      </c>
      <c r="J3532" s="34" t="s">
        <v>15</v>
      </c>
      <c r="K3532" s="45">
        <v>134.2</v>
      </c>
      <c r="L3532" s="9"/>
      <c r="M3532" s="45">
        <v>134.2</v>
      </c>
    </row>
    <row r="3533">
      <c r="A3533" s="34" t="s">
        <v>70</v>
      </c>
      <c r="B3533" s="34" t="s">
        <v>1579</v>
      </c>
      <c r="C3533" s="34">
        <v>92.0</v>
      </c>
      <c r="D3533" s="34" t="s">
        <v>1815</v>
      </c>
      <c r="E3533" s="34" t="s">
        <v>8193</v>
      </c>
      <c r="F3533" s="34" t="s">
        <v>8194</v>
      </c>
      <c r="G3533" s="34">
        <v>92048.0</v>
      </c>
      <c r="H3533" s="34" t="s">
        <v>1832</v>
      </c>
      <c r="I3533" s="34" t="s">
        <v>18</v>
      </c>
      <c r="J3533" s="34" t="s">
        <v>13</v>
      </c>
      <c r="K3533" s="9"/>
      <c r="L3533" s="45">
        <v>91.4</v>
      </c>
      <c r="M3533" s="45">
        <v>91.4</v>
      </c>
    </row>
    <row r="3534">
      <c r="A3534" s="34" t="s">
        <v>70</v>
      </c>
      <c r="B3534" s="34" t="s">
        <v>1579</v>
      </c>
      <c r="C3534" s="34">
        <v>92.0</v>
      </c>
      <c r="D3534" s="34" t="s">
        <v>1815</v>
      </c>
      <c r="E3534" s="34" t="s">
        <v>8195</v>
      </c>
      <c r="F3534" s="34" t="s">
        <v>8196</v>
      </c>
      <c r="G3534" s="34">
        <v>92050.0</v>
      </c>
      <c r="H3534" s="34" t="s">
        <v>3664</v>
      </c>
      <c r="I3534" s="34" t="s">
        <v>18</v>
      </c>
      <c r="J3534" s="34" t="s">
        <v>13</v>
      </c>
      <c r="K3534" s="9"/>
      <c r="L3534" s="45">
        <v>85.2</v>
      </c>
      <c r="M3534" s="45">
        <v>85.2</v>
      </c>
    </row>
    <row r="3535">
      <c r="A3535" s="34" t="s">
        <v>70</v>
      </c>
      <c r="B3535" s="34" t="s">
        <v>1579</v>
      </c>
      <c r="C3535" s="34">
        <v>92.0</v>
      </c>
      <c r="D3535" s="34" t="s">
        <v>1815</v>
      </c>
      <c r="E3535" s="34" t="s">
        <v>8197</v>
      </c>
      <c r="F3535" s="34" t="s">
        <v>8198</v>
      </c>
      <c r="G3535" s="34">
        <v>92060.0</v>
      </c>
      <c r="H3535" s="34" t="s">
        <v>8199</v>
      </c>
      <c r="I3535" s="34" t="s">
        <v>18</v>
      </c>
      <c r="J3535" s="34" t="s">
        <v>14</v>
      </c>
      <c r="K3535" s="45">
        <v>116.4</v>
      </c>
      <c r="L3535" s="45">
        <v>90.1</v>
      </c>
      <c r="M3535" s="45">
        <v>113.8</v>
      </c>
    </row>
    <row r="3536">
      <c r="A3536" s="34" t="s">
        <v>70</v>
      </c>
      <c r="B3536" s="34" t="s">
        <v>1579</v>
      </c>
      <c r="C3536" s="34">
        <v>92.0</v>
      </c>
      <c r="D3536" s="34" t="s">
        <v>1815</v>
      </c>
      <c r="E3536" s="34" t="s">
        <v>8200</v>
      </c>
      <c r="F3536" s="34" t="s">
        <v>8201</v>
      </c>
      <c r="G3536" s="34">
        <v>92064.0</v>
      </c>
      <c r="H3536" s="34" t="s">
        <v>6779</v>
      </c>
      <c r="I3536" s="34" t="s">
        <v>18</v>
      </c>
      <c r="J3536" s="34" t="s">
        <v>14</v>
      </c>
      <c r="K3536" s="45">
        <v>102.7</v>
      </c>
      <c r="L3536" s="45">
        <v>93.2</v>
      </c>
      <c r="M3536" s="45">
        <v>94.4</v>
      </c>
    </row>
    <row r="3537">
      <c r="A3537" s="34" t="s">
        <v>70</v>
      </c>
      <c r="B3537" s="34" t="s">
        <v>1579</v>
      </c>
      <c r="C3537" s="34">
        <v>92.0</v>
      </c>
      <c r="D3537" s="34" t="s">
        <v>1815</v>
      </c>
      <c r="E3537" s="34" t="s">
        <v>8202</v>
      </c>
      <c r="F3537" s="34" t="s">
        <v>8203</v>
      </c>
      <c r="G3537" s="34">
        <v>92026.0</v>
      </c>
      <c r="H3537" s="34" t="s">
        <v>1851</v>
      </c>
      <c r="I3537" s="34" t="s">
        <v>18</v>
      </c>
      <c r="J3537" s="34" t="s">
        <v>15</v>
      </c>
      <c r="K3537" s="45">
        <v>122.5</v>
      </c>
      <c r="L3537" s="9"/>
      <c r="M3537" s="45">
        <v>122.5</v>
      </c>
    </row>
    <row r="3538">
      <c r="A3538" s="34" t="s">
        <v>70</v>
      </c>
      <c r="B3538" s="34" t="s">
        <v>1579</v>
      </c>
      <c r="C3538" s="34">
        <v>92.0</v>
      </c>
      <c r="D3538" s="34" t="s">
        <v>1815</v>
      </c>
      <c r="E3538" s="34" t="s">
        <v>8204</v>
      </c>
      <c r="F3538" s="34" t="s">
        <v>5863</v>
      </c>
      <c r="G3538" s="34">
        <v>92012.0</v>
      </c>
      <c r="H3538" s="34" t="s">
        <v>3651</v>
      </c>
      <c r="I3538" s="34" t="s">
        <v>18</v>
      </c>
      <c r="J3538" s="34" t="s">
        <v>15</v>
      </c>
      <c r="K3538" s="45">
        <v>121.2</v>
      </c>
      <c r="L3538" s="9"/>
      <c r="M3538" s="45">
        <v>121.2</v>
      </c>
    </row>
    <row r="3539">
      <c r="A3539" s="34" t="s">
        <v>70</v>
      </c>
      <c r="B3539" s="34" t="s">
        <v>1545</v>
      </c>
      <c r="C3539" s="34">
        <v>93.0</v>
      </c>
      <c r="D3539" s="34" t="s">
        <v>1852</v>
      </c>
      <c r="E3539" s="34" t="s">
        <v>8205</v>
      </c>
      <c r="F3539" s="34" t="s">
        <v>1071</v>
      </c>
      <c r="G3539" s="34">
        <v>93001.0</v>
      </c>
      <c r="H3539" s="34" t="s">
        <v>1874</v>
      </c>
      <c r="I3539" s="34" t="s">
        <v>18</v>
      </c>
      <c r="J3539" s="34" t="s">
        <v>15</v>
      </c>
      <c r="K3539" s="45">
        <v>83.5</v>
      </c>
      <c r="L3539" s="9"/>
      <c r="M3539" s="45">
        <v>83.5</v>
      </c>
    </row>
    <row r="3540">
      <c r="A3540" s="34" t="s">
        <v>70</v>
      </c>
      <c r="B3540" s="34" t="s">
        <v>1545</v>
      </c>
      <c r="C3540" s="34">
        <v>93.0</v>
      </c>
      <c r="D3540" s="34" t="s">
        <v>1852</v>
      </c>
      <c r="E3540" s="34" t="s">
        <v>8206</v>
      </c>
      <c r="F3540" s="34" t="s">
        <v>7377</v>
      </c>
      <c r="G3540" s="34">
        <v>93027.0</v>
      </c>
      <c r="H3540" s="34" t="s">
        <v>1880</v>
      </c>
      <c r="I3540" s="34" t="s">
        <v>18</v>
      </c>
      <c r="J3540" s="34" t="s">
        <v>14</v>
      </c>
      <c r="K3540" s="45">
        <v>71.5</v>
      </c>
      <c r="L3540" s="45">
        <v>75.6</v>
      </c>
      <c r="M3540" s="45">
        <v>75.5</v>
      </c>
    </row>
    <row r="3541">
      <c r="A3541" s="34" t="s">
        <v>70</v>
      </c>
      <c r="B3541" s="34" t="s">
        <v>1545</v>
      </c>
      <c r="C3541" s="34">
        <v>93.0</v>
      </c>
      <c r="D3541" s="34" t="s">
        <v>1852</v>
      </c>
      <c r="E3541" s="34" t="s">
        <v>8207</v>
      </c>
      <c r="F3541" s="34" t="s">
        <v>3119</v>
      </c>
      <c r="G3541" s="34">
        <v>93066.0</v>
      </c>
      <c r="H3541" s="34" t="s">
        <v>1858</v>
      </c>
      <c r="I3541" s="34" t="s">
        <v>17</v>
      </c>
      <c r="J3541" s="34" t="s">
        <v>13</v>
      </c>
      <c r="K3541" s="9"/>
      <c r="L3541" s="45">
        <v>99.5</v>
      </c>
      <c r="M3541" s="45">
        <v>99.5</v>
      </c>
    </row>
    <row r="3542">
      <c r="A3542" s="34" t="s">
        <v>70</v>
      </c>
      <c r="B3542" s="34" t="s">
        <v>1545</v>
      </c>
      <c r="C3542" s="34">
        <v>93.0</v>
      </c>
      <c r="D3542" s="34" t="s">
        <v>1852</v>
      </c>
      <c r="E3542" s="34" t="s">
        <v>8208</v>
      </c>
      <c r="F3542" s="34" t="s">
        <v>8209</v>
      </c>
      <c r="G3542" s="34">
        <v>93031.0</v>
      </c>
      <c r="H3542" s="34" t="s">
        <v>6798</v>
      </c>
      <c r="I3542" s="34" t="s">
        <v>18</v>
      </c>
      <c r="J3542" s="34" t="s">
        <v>14</v>
      </c>
      <c r="K3542" s="45">
        <v>81.5</v>
      </c>
      <c r="L3542" s="45">
        <v>72.7</v>
      </c>
      <c r="M3542" s="45">
        <v>75.4</v>
      </c>
    </row>
    <row r="3543">
      <c r="A3543" s="34" t="s">
        <v>70</v>
      </c>
      <c r="B3543" s="34" t="s">
        <v>1545</v>
      </c>
      <c r="C3543" s="34">
        <v>93.0</v>
      </c>
      <c r="D3543" s="34" t="s">
        <v>1852</v>
      </c>
      <c r="E3543" s="34" t="s">
        <v>8210</v>
      </c>
      <c r="F3543" s="34" t="s">
        <v>8211</v>
      </c>
      <c r="G3543" s="34">
        <v>93048.0</v>
      </c>
      <c r="H3543" s="34" t="s">
        <v>1855</v>
      </c>
      <c r="I3543" s="34" t="s">
        <v>18</v>
      </c>
      <c r="J3543" s="34" t="s">
        <v>13</v>
      </c>
      <c r="K3543" s="9"/>
      <c r="L3543" s="45">
        <v>87.9</v>
      </c>
      <c r="M3543" s="45">
        <v>87.9</v>
      </c>
    </row>
    <row r="3544">
      <c r="A3544" s="34" t="s">
        <v>70</v>
      </c>
      <c r="B3544" s="34" t="s">
        <v>1545</v>
      </c>
      <c r="C3544" s="34">
        <v>93.0</v>
      </c>
      <c r="D3544" s="34" t="s">
        <v>1852</v>
      </c>
      <c r="E3544" s="34" t="s">
        <v>8212</v>
      </c>
      <c r="F3544" s="34" t="s">
        <v>5127</v>
      </c>
      <c r="G3544" s="34">
        <v>93074.0</v>
      </c>
      <c r="H3544" s="34" t="s">
        <v>8213</v>
      </c>
      <c r="I3544" s="34" t="s">
        <v>17</v>
      </c>
      <c r="J3544" s="34" t="s">
        <v>15</v>
      </c>
      <c r="K3544" s="45">
        <v>121.1</v>
      </c>
      <c r="L3544" s="9"/>
      <c r="M3544" s="45">
        <v>121.1</v>
      </c>
    </row>
    <row r="3545">
      <c r="A3545" s="34" t="s">
        <v>70</v>
      </c>
      <c r="B3545" s="34" t="s">
        <v>1545</v>
      </c>
      <c r="C3545" s="34">
        <v>93.0</v>
      </c>
      <c r="D3545" s="34" t="s">
        <v>1852</v>
      </c>
      <c r="E3545" s="34" t="s">
        <v>8214</v>
      </c>
      <c r="F3545" s="34" t="s">
        <v>8215</v>
      </c>
      <c r="G3545" s="34">
        <v>93051.0</v>
      </c>
      <c r="H3545" s="34" t="s">
        <v>3698</v>
      </c>
      <c r="I3545" s="34" t="s">
        <v>17</v>
      </c>
      <c r="J3545" s="34" t="s">
        <v>15</v>
      </c>
      <c r="K3545" s="45">
        <v>137.1</v>
      </c>
      <c r="L3545" s="9"/>
      <c r="M3545" s="45">
        <v>137.1</v>
      </c>
    </row>
    <row r="3546">
      <c r="A3546" s="34" t="s">
        <v>70</v>
      </c>
      <c r="B3546" s="34" t="s">
        <v>1545</v>
      </c>
      <c r="C3546" s="34">
        <v>93.0</v>
      </c>
      <c r="D3546" s="34" t="s">
        <v>1852</v>
      </c>
      <c r="E3546" s="34" t="s">
        <v>8216</v>
      </c>
      <c r="F3546" s="34" t="s">
        <v>8217</v>
      </c>
      <c r="G3546" s="34">
        <v>93073.0</v>
      </c>
      <c r="H3546" s="34" t="s">
        <v>6818</v>
      </c>
      <c r="I3546" s="34" t="s">
        <v>18</v>
      </c>
      <c r="J3546" s="34" t="s">
        <v>14</v>
      </c>
      <c r="K3546" s="45">
        <v>98.4</v>
      </c>
      <c r="L3546" s="45">
        <v>84.8</v>
      </c>
      <c r="M3546" s="45">
        <v>95.8</v>
      </c>
    </row>
    <row r="3547">
      <c r="A3547" s="34" t="s">
        <v>70</v>
      </c>
      <c r="B3547" s="34" t="s">
        <v>1545</v>
      </c>
      <c r="C3547" s="34">
        <v>93.0</v>
      </c>
      <c r="D3547" s="34" t="s">
        <v>1852</v>
      </c>
      <c r="E3547" s="34" t="s">
        <v>8218</v>
      </c>
      <c r="F3547" s="34" t="s">
        <v>8219</v>
      </c>
      <c r="G3547" s="34">
        <v>93071.0</v>
      </c>
      <c r="H3547" s="34" t="s">
        <v>8220</v>
      </c>
      <c r="I3547" s="34" t="s">
        <v>18</v>
      </c>
      <c r="J3547" s="34" t="s">
        <v>14</v>
      </c>
      <c r="K3547" s="45">
        <v>85.8</v>
      </c>
      <c r="L3547" s="45">
        <v>75.6</v>
      </c>
      <c r="M3547" s="45">
        <v>83.8</v>
      </c>
    </row>
    <row r="3548">
      <c r="A3548" s="34" t="s">
        <v>70</v>
      </c>
      <c r="B3548" s="34" t="s">
        <v>1545</v>
      </c>
      <c r="C3548" s="34">
        <v>93.0</v>
      </c>
      <c r="D3548" s="34" t="s">
        <v>1852</v>
      </c>
      <c r="E3548" s="34" t="s">
        <v>8221</v>
      </c>
      <c r="F3548" s="34" t="s">
        <v>8222</v>
      </c>
      <c r="G3548" s="34">
        <v>93001.0</v>
      </c>
      <c r="H3548" s="34" t="s">
        <v>1874</v>
      </c>
      <c r="I3548" s="34" t="s">
        <v>17</v>
      </c>
      <c r="J3548" s="34" t="s">
        <v>15</v>
      </c>
      <c r="K3548" s="45">
        <v>103.1</v>
      </c>
      <c r="L3548" s="9"/>
      <c r="M3548" s="45">
        <v>103.1</v>
      </c>
    </row>
    <row r="3549">
      <c r="A3549" s="34" t="s">
        <v>70</v>
      </c>
      <c r="B3549" s="34" t="s">
        <v>1545</v>
      </c>
      <c r="C3549" s="34">
        <v>93.0</v>
      </c>
      <c r="D3549" s="34" t="s">
        <v>1852</v>
      </c>
      <c r="E3549" s="34" t="s">
        <v>8223</v>
      </c>
      <c r="F3549" s="34" t="s">
        <v>2482</v>
      </c>
      <c r="G3549" s="34">
        <v>93055.0</v>
      </c>
      <c r="H3549" s="34" t="s">
        <v>1894</v>
      </c>
      <c r="I3549" s="34" t="s">
        <v>18</v>
      </c>
      <c r="J3549" s="34" t="s">
        <v>14</v>
      </c>
      <c r="K3549" s="45">
        <v>83.6</v>
      </c>
      <c r="L3549" s="45">
        <v>75.6</v>
      </c>
      <c r="M3549" s="45">
        <v>79.4</v>
      </c>
    </row>
    <row r="3550">
      <c r="A3550" s="34" t="s">
        <v>70</v>
      </c>
      <c r="B3550" s="34" t="s">
        <v>1545</v>
      </c>
      <c r="C3550" s="34">
        <v>93.0</v>
      </c>
      <c r="D3550" s="34" t="s">
        <v>1852</v>
      </c>
      <c r="E3550" s="34" t="s">
        <v>8224</v>
      </c>
      <c r="F3550" s="34" t="s">
        <v>7085</v>
      </c>
      <c r="G3550" s="34">
        <v>93030.0</v>
      </c>
      <c r="H3550" s="34" t="s">
        <v>3687</v>
      </c>
      <c r="I3550" s="34" t="s">
        <v>18</v>
      </c>
      <c r="J3550" s="34" t="s">
        <v>14</v>
      </c>
      <c r="K3550" s="45">
        <v>93.9</v>
      </c>
      <c r="L3550" s="45">
        <v>73.8</v>
      </c>
      <c r="M3550" s="45">
        <v>76.2</v>
      </c>
    </row>
    <row r="3551">
      <c r="A3551" s="34" t="s">
        <v>70</v>
      </c>
      <c r="B3551" s="34" t="s">
        <v>1545</v>
      </c>
      <c r="C3551" s="34">
        <v>93.0</v>
      </c>
      <c r="D3551" s="34" t="s">
        <v>1852</v>
      </c>
      <c r="E3551" s="34" t="s">
        <v>8225</v>
      </c>
      <c r="F3551" s="34" t="s">
        <v>8226</v>
      </c>
      <c r="G3551" s="34">
        <v>93066.0</v>
      </c>
      <c r="H3551" s="34" t="s">
        <v>1858</v>
      </c>
      <c r="I3551" s="34" t="s">
        <v>18</v>
      </c>
      <c r="J3551" s="34" t="s">
        <v>13</v>
      </c>
      <c r="K3551" s="9"/>
      <c r="L3551" s="45">
        <v>74.3</v>
      </c>
      <c r="M3551" s="45">
        <v>74.3</v>
      </c>
    </row>
    <row r="3552">
      <c r="A3552" s="34" t="s">
        <v>70</v>
      </c>
      <c r="B3552" s="34" t="s">
        <v>1545</v>
      </c>
      <c r="C3552" s="34">
        <v>93.0</v>
      </c>
      <c r="D3552" s="34" t="s">
        <v>1852</v>
      </c>
      <c r="E3552" s="34" t="s">
        <v>8227</v>
      </c>
      <c r="F3552" s="34" t="s">
        <v>8228</v>
      </c>
      <c r="G3552" s="34">
        <v>93063.0</v>
      </c>
      <c r="H3552" s="34" t="s">
        <v>8229</v>
      </c>
      <c r="I3552" s="34" t="s">
        <v>18</v>
      </c>
      <c r="J3552" s="34" t="s">
        <v>14</v>
      </c>
      <c r="K3552" s="45">
        <v>95.0</v>
      </c>
      <c r="L3552" s="45">
        <v>77.6</v>
      </c>
      <c r="M3552" s="45">
        <v>84.6</v>
      </c>
    </row>
    <row r="3553">
      <c r="A3553" s="34" t="s">
        <v>70</v>
      </c>
      <c r="B3553" s="34" t="s">
        <v>1545</v>
      </c>
      <c r="C3553" s="34">
        <v>93.0</v>
      </c>
      <c r="D3553" s="34" t="s">
        <v>1852</v>
      </c>
      <c r="E3553" s="34" t="s">
        <v>8230</v>
      </c>
      <c r="F3553" s="34" t="s">
        <v>8231</v>
      </c>
      <c r="G3553" s="34">
        <v>93050.0</v>
      </c>
      <c r="H3553" s="34" t="s">
        <v>8232</v>
      </c>
      <c r="I3553" s="34" t="s">
        <v>18</v>
      </c>
      <c r="J3553" s="34" t="s">
        <v>14</v>
      </c>
      <c r="K3553" s="45">
        <v>97.2</v>
      </c>
      <c r="L3553" s="45">
        <v>83.3</v>
      </c>
      <c r="M3553" s="45">
        <v>89.8</v>
      </c>
    </row>
    <row r="3554">
      <c r="A3554" s="34" t="s">
        <v>70</v>
      </c>
      <c r="B3554" s="34" t="s">
        <v>1545</v>
      </c>
      <c r="C3554" s="34">
        <v>93.0</v>
      </c>
      <c r="D3554" s="34" t="s">
        <v>1852</v>
      </c>
      <c r="E3554" s="34" t="s">
        <v>8233</v>
      </c>
      <c r="F3554" s="34" t="s">
        <v>8234</v>
      </c>
      <c r="G3554" s="34">
        <v>93013.0</v>
      </c>
      <c r="H3554" s="34" t="s">
        <v>8235</v>
      </c>
      <c r="I3554" s="34" t="s">
        <v>18</v>
      </c>
      <c r="J3554" s="34" t="s">
        <v>15</v>
      </c>
      <c r="K3554" s="45">
        <v>86.7</v>
      </c>
      <c r="L3554" s="9"/>
      <c r="M3554" s="45">
        <v>86.7</v>
      </c>
    </row>
    <row r="3555">
      <c r="A3555" s="34" t="s">
        <v>70</v>
      </c>
      <c r="B3555" s="34" t="s">
        <v>1545</v>
      </c>
      <c r="C3555" s="34">
        <v>94.0</v>
      </c>
      <c r="D3555" s="34" t="s">
        <v>1895</v>
      </c>
      <c r="E3555" s="34" t="s">
        <v>8236</v>
      </c>
      <c r="F3555" s="34" t="s">
        <v>8237</v>
      </c>
      <c r="G3555" s="34">
        <v>94058.0</v>
      </c>
      <c r="H3555" s="34" t="s">
        <v>8238</v>
      </c>
      <c r="I3555" s="34" t="s">
        <v>18</v>
      </c>
      <c r="J3555" s="34" t="s">
        <v>15</v>
      </c>
      <c r="K3555" s="45">
        <v>127.7</v>
      </c>
      <c r="L3555" s="9"/>
      <c r="M3555" s="45">
        <v>127.7</v>
      </c>
    </row>
    <row r="3556">
      <c r="A3556" s="34" t="s">
        <v>70</v>
      </c>
      <c r="B3556" s="34" t="s">
        <v>1545</v>
      </c>
      <c r="C3556" s="34">
        <v>94.0</v>
      </c>
      <c r="D3556" s="34" t="s">
        <v>1895</v>
      </c>
      <c r="E3556" s="34" t="s">
        <v>8239</v>
      </c>
      <c r="F3556" s="34" t="s">
        <v>8240</v>
      </c>
      <c r="G3556" s="34">
        <v>94068.0</v>
      </c>
      <c r="H3556" s="34" t="s">
        <v>3735</v>
      </c>
      <c r="I3556" s="34" t="s">
        <v>18</v>
      </c>
      <c r="J3556" s="34" t="s">
        <v>13</v>
      </c>
      <c r="K3556" s="9"/>
      <c r="L3556" s="45">
        <v>89.3</v>
      </c>
      <c r="M3556" s="45">
        <v>89.3</v>
      </c>
    </row>
    <row r="3557">
      <c r="A3557" s="34" t="s">
        <v>70</v>
      </c>
      <c r="B3557" s="34" t="s">
        <v>1545</v>
      </c>
      <c r="C3557" s="34">
        <v>94.0</v>
      </c>
      <c r="D3557" s="34" t="s">
        <v>1895</v>
      </c>
      <c r="E3557" s="34" t="s">
        <v>8241</v>
      </c>
      <c r="F3557" s="34" t="s">
        <v>2355</v>
      </c>
      <c r="G3557" s="34">
        <v>94080.0</v>
      </c>
      <c r="H3557" s="34" t="s">
        <v>3732</v>
      </c>
      <c r="I3557" s="34" t="s">
        <v>18</v>
      </c>
      <c r="J3557" s="34" t="s">
        <v>13</v>
      </c>
      <c r="K3557" s="9"/>
      <c r="L3557" s="45">
        <v>87.6</v>
      </c>
      <c r="M3557" s="45">
        <v>87.6</v>
      </c>
    </row>
    <row r="3558">
      <c r="A3558" s="34" t="s">
        <v>70</v>
      </c>
      <c r="B3558" s="34" t="s">
        <v>1545</v>
      </c>
      <c r="C3558" s="34">
        <v>94.0</v>
      </c>
      <c r="D3558" s="34" t="s">
        <v>1895</v>
      </c>
      <c r="E3558" s="34" t="s">
        <v>8242</v>
      </c>
      <c r="F3558" s="34" t="s">
        <v>8243</v>
      </c>
      <c r="G3558" s="34">
        <v>94016.0</v>
      </c>
      <c r="H3558" s="34" t="s">
        <v>1910</v>
      </c>
      <c r="I3558" s="34" t="s">
        <v>18</v>
      </c>
      <c r="J3558" s="34" t="s">
        <v>14</v>
      </c>
      <c r="K3558" s="45">
        <v>107.9</v>
      </c>
      <c r="L3558" s="45">
        <v>88.6</v>
      </c>
      <c r="M3558" s="45">
        <v>105.7</v>
      </c>
    </row>
    <row r="3559">
      <c r="A3559" s="34" t="s">
        <v>70</v>
      </c>
      <c r="B3559" s="34" t="s">
        <v>1545</v>
      </c>
      <c r="C3559" s="34">
        <v>94.0</v>
      </c>
      <c r="D3559" s="34" t="s">
        <v>1895</v>
      </c>
      <c r="E3559" s="34" t="s">
        <v>8244</v>
      </c>
      <c r="F3559" s="34" t="s">
        <v>8245</v>
      </c>
      <c r="G3559" s="34">
        <v>94044.0</v>
      </c>
      <c r="H3559" s="34" t="s">
        <v>8246</v>
      </c>
      <c r="I3559" s="34" t="s">
        <v>18</v>
      </c>
      <c r="J3559" s="34" t="s">
        <v>14</v>
      </c>
      <c r="K3559" s="45">
        <v>108.2</v>
      </c>
      <c r="L3559" s="45">
        <v>83.6</v>
      </c>
      <c r="M3559" s="45">
        <v>104.7</v>
      </c>
    </row>
    <row r="3560">
      <c r="A3560" s="34" t="s">
        <v>70</v>
      </c>
      <c r="B3560" s="34" t="s">
        <v>1545</v>
      </c>
      <c r="C3560" s="34">
        <v>94.0</v>
      </c>
      <c r="D3560" s="34" t="s">
        <v>1895</v>
      </c>
      <c r="E3560" s="34" t="s">
        <v>8247</v>
      </c>
      <c r="F3560" s="34" t="s">
        <v>6554</v>
      </c>
      <c r="G3560" s="34">
        <v>94077.0</v>
      </c>
      <c r="H3560" s="34" t="s">
        <v>8248</v>
      </c>
      <c r="I3560" s="34" t="s">
        <v>18</v>
      </c>
      <c r="J3560" s="34" t="s">
        <v>14</v>
      </c>
      <c r="K3560" s="45">
        <v>97.1</v>
      </c>
      <c r="L3560" s="45">
        <v>82.1</v>
      </c>
      <c r="M3560" s="45">
        <v>95.1</v>
      </c>
    </row>
    <row r="3561">
      <c r="A3561" s="34" t="s">
        <v>70</v>
      </c>
      <c r="B3561" s="34" t="s">
        <v>1545</v>
      </c>
      <c r="C3561" s="34">
        <v>94.0</v>
      </c>
      <c r="D3561" s="34" t="s">
        <v>1895</v>
      </c>
      <c r="E3561" s="34" t="s">
        <v>8249</v>
      </c>
      <c r="F3561" s="34" t="s">
        <v>8250</v>
      </c>
      <c r="G3561" s="34">
        <v>94081.0</v>
      </c>
      <c r="H3561" s="34" t="s">
        <v>3722</v>
      </c>
      <c r="I3561" s="34" t="s">
        <v>18</v>
      </c>
      <c r="J3561" s="34" t="s">
        <v>14</v>
      </c>
      <c r="K3561" s="45">
        <v>96.1</v>
      </c>
      <c r="L3561" s="45">
        <v>86.4</v>
      </c>
      <c r="M3561" s="45">
        <v>92.5</v>
      </c>
    </row>
    <row r="3562">
      <c r="A3562" s="34" t="s">
        <v>70</v>
      </c>
      <c r="B3562" s="34" t="s">
        <v>1545</v>
      </c>
      <c r="C3562" s="34">
        <v>94.0</v>
      </c>
      <c r="D3562" s="34" t="s">
        <v>1895</v>
      </c>
      <c r="E3562" s="34" t="s">
        <v>8251</v>
      </c>
      <c r="F3562" s="34" t="s">
        <v>8252</v>
      </c>
      <c r="G3562" s="34">
        <v>94033.0</v>
      </c>
      <c r="H3562" s="34" t="s">
        <v>1924</v>
      </c>
      <c r="I3562" s="34" t="s">
        <v>18</v>
      </c>
      <c r="J3562" s="34" t="s">
        <v>13</v>
      </c>
      <c r="K3562" s="9"/>
      <c r="L3562" s="45">
        <v>79.2</v>
      </c>
      <c r="M3562" s="45">
        <v>79.2</v>
      </c>
    </row>
    <row r="3563">
      <c r="A3563" s="34" t="s">
        <v>70</v>
      </c>
      <c r="B3563" s="34" t="s">
        <v>1545</v>
      </c>
      <c r="C3563" s="34">
        <v>94.0</v>
      </c>
      <c r="D3563" s="34" t="s">
        <v>1895</v>
      </c>
      <c r="E3563" s="34" t="s">
        <v>8253</v>
      </c>
      <c r="F3563" s="34" t="s">
        <v>8254</v>
      </c>
      <c r="G3563" s="34">
        <v>94043.0</v>
      </c>
      <c r="H3563" s="34" t="s">
        <v>6861</v>
      </c>
      <c r="I3563" s="34" t="s">
        <v>18</v>
      </c>
      <c r="J3563" s="34" t="s">
        <v>14</v>
      </c>
      <c r="K3563" s="45">
        <v>97.7</v>
      </c>
      <c r="L3563" s="45">
        <v>80.9</v>
      </c>
      <c r="M3563" s="45">
        <v>92.8</v>
      </c>
    </row>
    <row r="3564">
      <c r="A3564" s="34" t="s">
        <v>70</v>
      </c>
      <c r="B3564" s="34" t="s">
        <v>1545</v>
      </c>
      <c r="C3564" s="34">
        <v>94.0</v>
      </c>
      <c r="D3564" s="34" t="s">
        <v>1895</v>
      </c>
      <c r="E3564" s="34" t="s">
        <v>8255</v>
      </c>
      <c r="F3564" s="34" t="s">
        <v>8256</v>
      </c>
      <c r="G3564" s="34">
        <v>94028.0</v>
      </c>
      <c r="H3564" s="34" t="s">
        <v>1545</v>
      </c>
      <c r="I3564" s="34" t="s">
        <v>17</v>
      </c>
      <c r="J3564" s="34" t="s">
        <v>15</v>
      </c>
      <c r="K3564" s="45">
        <v>129.4</v>
      </c>
      <c r="L3564" s="9"/>
      <c r="M3564" s="45">
        <v>129.4</v>
      </c>
    </row>
    <row r="3565">
      <c r="A3565" s="34" t="s">
        <v>70</v>
      </c>
      <c r="B3565" s="34" t="s">
        <v>1545</v>
      </c>
      <c r="C3565" s="34">
        <v>94.0</v>
      </c>
      <c r="D3565" s="34" t="s">
        <v>1895</v>
      </c>
      <c r="E3565" s="34" t="s">
        <v>8257</v>
      </c>
      <c r="F3565" s="34" t="s">
        <v>8258</v>
      </c>
      <c r="G3565" s="34">
        <v>94081.0</v>
      </c>
      <c r="H3565" s="34" t="s">
        <v>3722</v>
      </c>
      <c r="I3565" s="34" t="s">
        <v>17</v>
      </c>
      <c r="J3565" s="34" t="s">
        <v>15</v>
      </c>
      <c r="K3565" s="45">
        <v>127.6</v>
      </c>
      <c r="L3565" s="9"/>
      <c r="M3565" s="45">
        <v>127.6</v>
      </c>
    </row>
    <row r="3566">
      <c r="A3566" s="34" t="s">
        <v>70</v>
      </c>
      <c r="B3566" s="34" t="s">
        <v>1545</v>
      </c>
      <c r="C3566" s="34">
        <v>94.0</v>
      </c>
      <c r="D3566" s="34" t="s">
        <v>1895</v>
      </c>
      <c r="E3566" s="34" t="s">
        <v>8259</v>
      </c>
      <c r="F3566" s="34" t="s">
        <v>8260</v>
      </c>
      <c r="G3566" s="34">
        <v>94080.0</v>
      </c>
      <c r="H3566" s="34" t="s">
        <v>3732</v>
      </c>
      <c r="I3566" s="34" t="s">
        <v>17</v>
      </c>
      <c r="J3566" s="34" t="s">
        <v>13</v>
      </c>
      <c r="K3566" s="9"/>
      <c r="L3566" s="45">
        <v>100.4</v>
      </c>
      <c r="M3566" s="45">
        <v>100.4</v>
      </c>
    </row>
    <row r="3567">
      <c r="A3567" s="34" t="s">
        <v>70</v>
      </c>
      <c r="B3567" s="34" t="s">
        <v>1545</v>
      </c>
      <c r="C3567" s="34">
        <v>94.0</v>
      </c>
      <c r="D3567" s="34" t="s">
        <v>1895</v>
      </c>
      <c r="E3567" s="34" t="s">
        <v>8261</v>
      </c>
      <c r="F3567" s="34" t="s">
        <v>8262</v>
      </c>
      <c r="G3567" s="34">
        <v>94018.0</v>
      </c>
      <c r="H3567" s="34" t="s">
        <v>3745</v>
      </c>
      <c r="I3567" s="34" t="s">
        <v>18</v>
      </c>
      <c r="J3567" s="34" t="s">
        <v>14</v>
      </c>
      <c r="K3567" s="45">
        <v>120.2</v>
      </c>
      <c r="L3567" s="45">
        <v>86.4</v>
      </c>
      <c r="M3567" s="45">
        <v>113.2</v>
      </c>
    </row>
    <row r="3568">
      <c r="A3568" s="34" t="s">
        <v>70</v>
      </c>
      <c r="B3568" s="34" t="s">
        <v>1545</v>
      </c>
      <c r="C3568" s="34">
        <v>94.0</v>
      </c>
      <c r="D3568" s="34" t="s">
        <v>1895</v>
      </c>
      <c r="E3568" s="34" t="s">
        <v>8263</v>
      </c>
      <c r="F3568" s="34" t="s">
        <v>8264</v>
      </c>
      <c r="G3568" s="34">
        <v>94021.0</v>
      </c>
      <c r="H3568" s="34" t="s">
        <v>8265</v>
      </c>
      <c r="I3568" s="34" t="s">
        <v>18</v>
      </c>
      <c r="J3568" s="34" t="s">
        <v>14</v>
      </c>
      <c r="K3568" s="45">
        <v>102.1</v>
      </c>
      <c r="L3568" s="45">
        <v>84.4</v>
      </c>
      <c r="M3568" s="45">
        <v>94.8</v>
      </c>
    </row>
    <row r="3569">
      <c r="A3569" s="34" t="s">
        <v>70</v>
      </c>
      <c r="B3569" s="34" t="s">
        <v>1545</v>
      </c>
      <c r="C3569" s="34">
        <v>94.0</v>
      </c>
      <c r="D3569" s="34" t="s">
        <v>1895</v>
      </c>
      <c r="E3569" s="34" t="s">
        <v>8266</v>
      </c>
      <c r="F3569" s="34" t="s">
        <v>8267</v>
      </c>
      <c r="G3569" s="34">
        <v>94073.0</v>
      </c>
      <c r="H3569" s="34" t="s">
        <v>1913</v>
      </c>
      <c r="I3569" s="34" t="s">
        <v>17</v>
      </c>
      <c r="J3569" s="34" t="s">
        <v>15</v>
      </c>
      <c r="K3569" s="45">
        <v>97.7</v>
      </c>
      <c r="L3569" s="9"/>
      <c r="M3569" s="45">
        <v>97.7</v>
      </c>
    </row>
    <row r="3570">
      <c r="A3570" s="34" t="s">
        <v>70</v>
      </c>
      <c r="B3570" s="34" t="s">
        <v>1579</v>
      </c>
      <c r="C3570" s="34">
        <v>95.0</v>
      </c>
      <c r="D3570" s="34" t="s">
        <v>1927</v>
      </c>
      <c r="E3570" s="34" t="s">
        <v>8268</v>
      </c>
      <c r="F3570" s="34" t="s">
        <v>8269</v>
      </c>
      <c r="G3570" s="34">
        <v>95219.0</v>
      </c>
      <c r="H3570" s="34" t="s">
        <v>5334</v>
      </c>
      <c r="I3570" s="34" t="s">
        <v>18</v>
      </c>
      <c r="J3570" s="34" t="s">
        <v>13</v>
      </c>
      <c r="K3570" s="9"/>
      <c r="L3570" s="45">
        <v>81.5</v>
      </c>
      <c r="M3570" s="45">
        <v>81.5</v>
      </c>
    </row>
    <row r="3571">
      <c r="A3571" s="34" t="s">
        <v>70</v>
      </c>
      <c r="B3571" s="34" t="s">
        <v>1579</v>
      </c>
      <c r="C3571" s="34">
        <v>95.0</v>
      </c>
      <c r="D3571" s="34" t="s">
        <v>1927</v>
      </c>
      <c r="E3571" s="34" t="s">
        <v>8270</v>
      </c>
      <c r="F3571" s="34" t="s">
        <v>8271</v>
      </c>
      <c r="G3571" s="34">
        <v>95019.0</v>
      </c>
      <c r="H3571" s="34" t="s">
        <v>8272</v>
      </c>
      <c r="I3571" s="34" t="s">
        <v>18</v>
      </c>
      <c r="J3571" s="34" t="s">
        <v>13</v>
      </c>
      <c r="K3571" s="9"/>
      <c r="L3571" s="45">
        <v>76.1</v>
      </c>
      <c r="M3571" s="45">
        <v>76.1</v>
      </c>
    </row>
    <row r="3572">
      <c r="A3572" s="34" t="s">
        <v>70</v>
      </c>
      <c r="B3572" s="34" t="s">
        <v>1579</v>
      </c>
      <c r="C3572" s="34">
        <v>95.0</v>
      </c>
      <c r="D3572" s="34" t="s">
        <v>1927</v>
      </c>
      <c r="E3572" s="34" t="s">
        <v>8273</v>
      </c>
      <c r="F3572" s="34" t="s">
        <v>8274</v>
      </c>
      <c r="G3572" s="34">
        <v>95582.0</v>
      </c>
      <c r="H3572" s="34" t="s">
        <v>3762</v>
      </c>
      <c r="I3572" s="34" t="s">
        <v>17</v>
      </c>
      <c r="J3572" s="34" t="s">
        <v>13</v>
      </c>
      <c r="K3572" s="9"/>
      <c r="L3572" s="45">
        <v>100.4</v>
      </c>
      <c r="M3572" s="45">
        <v>100.4</v>
      </c>
    </row>
    <row r="3573">
      <c r="A3573" s="34" t="s">
        <v>70</v>
      </c>
      <c r="B3573" s="34" t="s">
        <v>1579</v>
      </c>
      <c r="C3573" s="34">
        <v>95.0</v>
      </c>
      <c r="D3573" s="34" t="s">
        <v>1927</v>
      </c>
      <c r="E3573" s="34" t="s">
        <v>8275</v>
      </c>
      <c r="F3573" s="34" t="s">
        <v>8276</v>
      </c>
      <c r="G3573" s="34">
        <v>95585.0</v>
      </c>
      <c r="H3573" s="34" t="s">
        <v>1933</v>
      </c>
      <c r="I3573" s="34" t="s">
        <v>17</v>
      </c>
      <c r="J3573" s="34" t="s">
        <v>15</v>
      </c>
      <c r="K3573" s="45">
        <v>114.4</v>
      </c>
      <c r="L3573" s="9"/>
      <c r="M3573" s="45">
        <v>114.4</v>
      </c>
    </row>
    <row r="3574">
      <c r="A3574" s="34" t="s">
        <v>70</v>
      </c>
      <c r="B3574" s="34" t="s">
        <v>1579</v>
      </c>
      <c r="C3574" s="34">
        <v>95.0</v>
      </c>
      <c r="D3574" s="34" t="s">
        <v>1927</v>
      </c>
      <c r="E3574" s="34" t="s">
        <v>8277</v>
      </c>
      <c r="F3574" s="34" t="s">
        <v>8278</v>
      </c>
      <c r="G3574" s="34">
        <v>95680.0</v>
      </c>
      <c r="H3574" s="34" t="s">
        <v>8279</v>
      </c>
      <c r="I3574" s="34" t="s">
        <v>18</v>
      </c>
      <c r="J3574" s="34" t="s">
        <v>13</v>
      </c>
      <c r="K3574" s="9"/>
      <c r="L3574" s="45">
        <v>75.6</v>
      </c>
      <c r="M3574" s="45">
        <v>75.6</v>
      </c>
    </row>
    <row r="3575">
      <c r="A3575" s="34" t="s">
        <v>70</v>
      </c>
      <c r="B3575" s="34" t="s">
        <v>1579</v>
      </c>
      <c r="C3575" s="34">
        <v>95.0</v>
      </c>
      <c r="D3575" s="34" t="s">
        <v>1927</v>
      </c>
      <c r="E3575" s="34" t="s">
        <v>8280</v>
      </c>
      <c r="F3575" s="34" t="s">
        <v>8281</v>
      </c>
      <c r="G3575" s="34">
        <v>95219.0</v>
      </c>
      <c r="H3575" s="34" t="s">
        <v>5334</v>
      </c>
      <c r="I3575" s="34" t="s">
        <v>18</v>
      </c>
      <c r="J3575" s="34" t="s">
        <v>13</v>
      </c>
      <c r="K3575" s="9"/>
      <c r="L3575" s="45">
        <v>94.2</v>
      </c>
      <c r="M3575" s="45">
        <v>94.2</v>
      </c>
    </row>
    <row r="3576">
      <c r="A3576" s="34" t="s">
        <v>70</v>
      </c>
      <c r="B3576" s="34" t="s">
        <v>1579</v>
      </c>
      <c r="C3576" s="34">
        <v>95.0</v>
      </c>
      <c r="D3576" s="34" t="s">
        <v>1927</v>
      </c>
      <c r="E3576" s="34" t="s">
        <v>8282</v>
      </c>
      <c r="F3576" s="34" t="s">
        <v>8283</v>
      </c>
      <c r="G3576" s="34">
        <v>95250.0</v>
      </c>
      <c r="H3576" s="34" t="s">
        <v>8284</v>
      </c>
      <c r="I3576" s="34" t="s">
        <v>18</v>
      </c>
      <c r="J3576" s="34" t="s">
        <v>14</v>
      </c>
      <c r="K3576" s="45">
        <v>103.5</v>
      </c>
      <c r="L3576" s="45">
        <v>88.3</v>
      </c>
      <c r="M3576" s="45">
        <v>96.9</v>
      </c>
    </row>
    <row r="3577">
      <c r="A3577" s="34" t="s">
        <v>70</v>
      </c>
      <c r="B3577" s="34" t="s">
        <v>1579</v>
      </c>
      <c r="C3577" s="34">
        <v>95.0</v>
      </c>
      <c r="D3577" s="34" t="s">
        <v>1927</v>
      </c>
      <c r="E3577" s="34" t="s">
        <v>8285</v>
      </c>
      <c r="F3577" s="34" t="s">
        <v>8286</v>
      </c>
      <c r="G3577" s="34">
        <v>95607.0</v>
      </c>
      <c r="H3577" s="34" t="s">
        <v>5339</v>
      </c>
      <c r="I3577" s="34" t="s">
        <v>18</v>
      </c>
      <c r="J3577" s="34" t="s">
        <v>14</v>
      </c>
      <c r="K3577" s="45">
        <v>117.4</v>
      </c>
      <c r="L3577" s="45">
        <v>89.2</v>
      </c>
      <c r="M3577" s="45">
        <v>108.4</v>
      </c>
    </row>
    <row r="3578">
      <c r="A3578" s="34" t="s">
        <v>70</v>
      </c>
      <c r="B3578" s="34" t="s">
        <v>1579</v>
      </c>
      <c r="C3578" s="34">
        <v>95.0</v>
      </c>
      <c r="D3578" s="34" t="s">
        <v>1927</v>
      </c>
      <c r="E3578" s="34" t="s">
        <v>8287</v>
      </c>
      <c r="F3578" s="34" t="s">
        <v>7324</v>
      </c>
      <c r="G3578" s="34">
        <v>95199.0</v>
      </c>
      <c r="H3578" s="34" t="s">
        <v>8288</v>
      </c>
      <c r="I3578" s="34" t="s">
        <v>18</v>
      </c>
      <c r="J3578" s="34" t="s">
        <v>14</v>
      </c>
      <c r="K3578" s="45">
        <v>121.8</v>
      </c>
      <c r="L3578" s="45">
        <v>98.6</v>
      </c>
      <c r="M3578" s="45">
        <v>118.3</v>
      </c>
    </row>
    <row r="3579">
      <c r="A3579" s="34" t="s">
        <v>70</v>
      </c>
      <c r="B3579" s="34" t="s">
        <v>1579</v>
      </c>
      <c r="C3579" s="34">
        <v>95.0</v>
      </c>
      <c r="D3579" s="34" t="s">
        <v>1927</v>
      </c>
      <c r="E3579" s="34" t="s">
        <v>8289</v>
      </c>
      <c r="F3579" s="34" t="s">
        <v>8290</v>
      </c>
      <c r="G3579" s="34">
        <v>95680.0</v>
      </c>
      <c r="H3579" s="34" t="s">
        <v>8279</v>
      </c>
      <c r="I3579" s="34" t="s">
        <v>17</v>
      </c>
      <c r="J3579" s="34" t="s">
        <v>14</v>
      </c>
      <c r="K3579" s="45">
        <v>118.4</v>
      </c>
      <c r="L3579" s="45">
        <v>103.6</v>
      </c>
      <c r="M3579" s="45">
        <v>116.4</v>
      </c>
    </row>
    <row r="3580">
      <c r="A3580" s="34" t="s">
        <v>70</v>
      </c>
      <c r="B3580" s="34" t="s">
        <v>1579</v>
      </c>
      <c r="C3580" s="34">
        <v>95.0</v>
      </c>
      <c r="D3580" s="34" t="s">
        <v>1927</v>
      </c>
      <c r="E3580" s="34" t="s">
        <v>8291</v>
      </c>
      <c r="F3580" s="34" t="s">
        <v>8292</v>
      </c>
      <c r="G3580" s="34">
        <v>95018.0</v>
      </c>
      <c r="H3580" s="34" t="s">
        <v>1930</v>
      </c>
      <c r="I3580" s="34" t="s">
        <v>17</v>
      </c>
      <c r="J3580" s="34" t="s">
        <v>13</v>
      </c>
      <c r="K3580" s="9"/>
      <c r="L3580" s="45">
        <v>120.4</v>
      </c>
      <c r="M3580" s="45">
        <v>120.4</v>
      </c>
    </row>
    <row r="3581">
      <c r="A3581" s="34" t="s">
        <v>70</v>
      </c>
      <c r="B3581" s="34" t="s">
        <v>1579</v>
      </c>
      <c r="C3581" s="34">
        <v>95.0</v>
      </c>
      <c r="D3581" s="34" t="s">
        <v>1927</v>
      </c>
      <c r="E3581" s="34" t="s">
        <v>8293</v>
      </c>
      <c r="F3581" s="34" t="s">
        <v>8294</v>
      </c>
      <c r="G3581" s="34">
        <v>95351.0</v>
      </c>
      <c r="H3581" s="34" t="s">
        <v>8295</v>
      </c>
      <c r="I3581" s="34" t="s">
        <v>17</v>
      </c>
      <c r="J3581" s="34" t="s">
        <v>15</v>
      </c>
      <c r="K3581" s="45">
        <v>115.6</v>
      </c>
      <c r="L3581" s="9"/>
      <c r="M3581" s="45">
        <v>115.6</v>
      </c>
    </row>
    <row r="3582">
      <c r="A3582" s="34" t="s">
        <v>70</v>
      </c>
      <c r="B3582" s="34" t="s">
        <v>1964</v>
      </c>
      <c r="C3582" s="34" t="s">
        <v>1965</v>
      </c>
      <c r="D3582" s="34" t="s">
        <v>1966</v>
      </c>
      <c r="E3582" s="34" t="s">
        <v>8296</v>
      </c>
      <c r="F3582" s="34" t="s">
        <v>8297</v>
      </c>
      <c r="G3582" s="34" t="s">
        <v>1969</v>
      </c>
      <c r="H3582" s="34" t="s">
        <v>1970</v>
      </c>
      <c r="I3582" s="34" t="s">
        <v>18</v>
      </c>
      <c r="J3582" s="34" t="s">
        <v>15</v>
      </c>
      <c r="K3582" s="45">
        <v>115.2</v>
      </c>
      <c r="L3582" s="9"/>
      <c r="M3582" s="45">
        <v>115.2</v>
      </c>
    </row>
    <row r="3583">
      <c r="A3583" s="34" t="s">
        <v>70</v>
      </c>
      <c r="B3583" s="34" t="s">
        <v>1964</v>
      </c>
      <c r="C3583" s="34" t="s">
        <v>1965</v>
      </c>
      <c r="D3583" s="34" t="s">
        <v>1966</v>
      </c>
      <c r="E3583" s="34" t="s">
        <v>8298</v>
      </c>
      <c r="F3583" s="34" t="s">
        <v>8299</v>
      </c>
      <c r="G3583" s="34" t="s">
        <v>8300</v>
      </c>
      <c r="H3583" s="34" t="s">
        <v>8301</v>
      </c>
      <c r="I3583" s="34" t="s">
        <v>18</v>
      </c>
      <c r="J3583" s="34" t="s">
        <v>14</v>
      </c>
      <c r="K3583" s="45">
        <v>105.1</v>
      </c>
      <c r="L3583" s="45">
        <v>75.7</v>
      </c>
      <c r="M3583" s="45">
        <v>103.3</v>
      </c>
    </row>
    <row r="3584">
      <c r="A3584" s="34" t="s">
        <v>70</v>
      </c>
      <c r="B3584" s="34" t="s">
        <v>1964</v>
      </c>
      <c r="C3584" s="34" t="s">
        <v>1975</v>
      </c>
      <c r="D3584" s="34" t="s">
        <v>1976</v>
      </c>
      <c r="E3584" s="34" t="s">
        <v>8302</v>
      </c>
      <c r="F3584" s="34" t="s">
        <v>8303</v>
      </c>
      <c r="G3584" s="34" t="s">
        <v>1979</v>
      </c>
      <c r="H3584" s="34" t="s">
        <v>1980</v>
      </c>
      <c r="I3584" s="34" t="s">
        <v>18</v>
      </c>
      <c r="J3584" s="34" t="s">
        <v>15</v>
      </c>
      <c r="K3584" s="45">
        <v>117.1</v>
      </c>
      <c r="L3584" s="9"/>
      <c r="M3584" s="45">
        <v>117.1</v>
      </c>
    </row>
    <row r="3585">
      <c r="A3585" s="34" t="s">
        <v>70</v>
      </c>
      <c r="B3585" s="34" t="s">
        <v>1964</v>
      </c>
      <c r="C3585" s="34" t="s">
        <v>1975</v>
      </c>
      <c r="D3585" s="34" t="s">
        <v>1976</v>
      </c>
      <c r="E3585" s="34" t="s">
        <v>8304</v>
      </c>
      <c r="F3585" s="34" t="s">
        <v>8305</v>
      </c>
      <c r="G3585" s="34" t="s">
        <v>1979</v>
      </c>
      <c r="H3585" s="34" t="s">
        <v>1980</v>
      </c>
      <c r="I3585" s="34" t="s">
        <v>17</v>
      </c>
      <c r="J3585" s="34" t="s">
        <v>15</v>
      </c>
      <c r="K3585" s="45">
        <v>126.1</v>
      </c>
      <c r="L3585" s="9"/>
      <c r="M3585" s="45">
        <v>126.1</v>
      </c>
    </row>
    <row r="3586">
      <c r="A3586" s="34" t="s">
        <v>70</v>
      </c>
      <c r="B3586" s="34" t="s">
        <v>1964</v>
      </c>
      <c r="C3586" s="34" t="s">
        <v>1975</v>
      </c>
      <c r="D3586" s="34" t="s">
        <v>1976</v>
      </c>
      <c r="E3586" s="34" t="s">
        <v>8306</v>
      </c>
      <c r="F3586" s="34" t="s">
        <v>8307</v>
      </c>
      <c r="G3586" s="34" t="s">
        <v>8308</v>
      </c>
      <c r="H3586" s="34" t="s">
        <v>8309</v>
      </c>
      <c r="I3586" s="34" t="s">
        <v>18</v>
      </c>
      <c r="J3586" s="34" t="s">
        <v>14</v>
      </c>
      <c r="K3586" s="45">
        <v>106.3</v>
      </c>
      <c r="L3586" s="45">
        <v>91.1</v>
      </c>
      <c r="M3586" s="45">
        <v>103.3</v>
      </c>
    </row>
    <row r="3587">
      <c r="A3587" s="34" t="s">
        <v>70</v>
      </c>
      <c r="B3587" s="34" t="s">
        <v>1989</v>
      </c>
      <c r="C3587" s="34">
        <v>971.0</v>
      </c>
      <c r="D3587" s="34" t="s">
        <v>1989</v>
      </c>
      <c r="E3587" s="34" t="s">
        <v>8310</v>
      </c>
      <c r="F3587" s="34" t="s">
        <v>8311</v>
      </c>
      <c r="G3587" s="34">
        <v>97120.0</v>
      </c>
      <c r="H3587" s="34" t="s">
        <v>2001</v>
      </c>
      <c r="I3587" s="34" t="s">
        <v>17</v>
      </c>
      <c r="J3587" s="34" t="s">
        <v>15</v>
      </c>
      <c r="K3587" s="45">
        <v>127.7</v>
      </c>
      <c r="L3587" s="9"/>
      <c r="M3587" s="45">
        <v>127.7</v>
      </c>
    </row>
    <row r="3588">
      <c r="A3588" s="34" t="s">
        <v>70</v>
      </c>
      <c r="B3588" s="34" t="s">
        <v>1989</v>
      </c>
      <c r="C3588" s="34">
        <v>971.0</v>
      </c>
      <c r="D3588" s="34" t="s">
        <v>1989</v>
      </c>
      <c r="E3588" s="34" t="s">
        <v>8312</v>
      </c>
      <c r="F3588" s="34" t="s">
        <v>8313</v>
      </c>
      <c r="G3588" s="34">
        <v>97101.0</v>
      </c>
      <c r="H3588" s="34" t="s">
        <v>3792</v>
      </c>
      <c r="I3588" s="34" t="s">
        <v>18</v>
      </c>
      <c r="J3588" s="34" t="s">
        <v>15</v>
      </c>
      <c r="K3588" s="45">
        <v>87.6</v>
      </c>
      <c r="L3588" s="9"/>
      <c r="M3588" s="45">
        <v>87.6</v>
      </c>
    </row>
    <row r="3589">
      <c r="A3589" s="34" t="s">
        <v>70</v>
      </c>
      <c r="B3589" s="34" t="s">
        <v>1989</v>
      </c>
      <c r="C3589" s="34">
        <v>971.0</v>
      </c>
      <c r="D3589" s="34" t="s">
        <v>1989</v>
      </c>
      <c r="E3589" s="34" t="s">
        <v>8314</v>
      </c>
      <c r="F3589" s="34" t="s">
        <v>8315</v>
      </c>
      <c r="G3589" s="34">
        <v>97121.0</v>
      </c>
      <c r="H3589" s="34" t="s">
        <v>8316</v>
      </c>
      <c r="I3589" s="34" t="s">
        <v>18</v>
      </c>
      <c r="J3589" s="34" t="s">
        <v>14</v>
      </c>
      <c r="K3589" s="45">
        <v>98.1</v>
      </c>
      <c r="L3589" s="45">
        <v>74.2</v>
      </c>
      <c r="M3589" s="45">
        <v>86.4</v>
      </c>
    </row>
    <row r="3590">
      <c r="A3590" s="34" t="s">
        <v>70</v>
      </c>
      <c r="B3590" s="34" t="s">
        <v>2013</v>
      </c>
      <c r="C3590" s="34">
        <v>972.0</v>
      </c>
      <c r="D3590" s="34" t="s">
        <v>2013</v>
      </c>
      <c r="E3590" s="34" t="s">
        <v>8317</v>
      </c>
      <c r="F3590" s="34" t="s">
        <v>7108</v>
      </c>
      <c r="G3590" s="34">
        <v>97209.0</v>
      </c>
      <c r="H3590" s="34" t="s">
        <v>2016</v>
      </c>
      <c r="I3590" s="34" t="s">
        <v>18</v>
      </c>
      <c r="J3590" s="34" t="s">
        <v>15</v>
      </c>
      <c r="K3590" s="45">
        <v>110.8</v>
      </c>
      <c r="L3590" s="9"/>
      <c r="M3590" s="45">
        <v>110.8</v>
      </c>
    </row>
    <row r="3591">
      <c r="A3591" s="34" t="s">
        <v>70</v>
      </c>
      <c r="B3591" s="34" t="s">
        <v>2013</v>
      </c>
      <c r="C3591" s="34">
        <v>972.0</v>
      </c>
      <c r="D3591" s="34" t="s">
        <v>2013</v>
      </c>
      <c r="E3591" s="34" t="s">
        <v>8318</v>
      </c>
      <c r="F3591" s="34" t="s">
        <v>8319</v>
      </c>
      <c r="G3591" s="34">
        <v>97209.0</v>
      </c>
      <c r="H3591" s="34" t="s">
        <v>2016</v>
      </c>
      <c r="I3591" s="34" t="s">
        <v>18</v>
      </c>
      <c r="J3591" s="34" t="s">
        <v>13</v>
      </c>
      <c r="K3591" s="9"/>
      <c r="L3591" s="45">
        <v>76.7</v>
      </c>
      <c r="M3591" s="45">
        <v>76.7</v>
      </c>
    </row>
    <row r="3592">
      <c r="A3592" s="34" t="s">
        <v>70</v>
      </c>
      <c r="B3592" s="34" t="s">
        <v>2013</v>
      </c>
      <c r="C3592" s="34">
        <v>972.0</v>
      </c>
      <c r="D3592" s="34" t="s">
        <v>2013</v>
      </c>
      <c r="E3592" s="34" t="s">
        <v>8320</v>
      </c>
      <c r="F3592" s="34" t="s">
        <v>8321</v>
      </c>
      <c r="G3592" s="34">
        <v>97209.0</v>
      </c>
      <c r="H3592" s="34" t="s">
        <v>2016</v>
      </c>
      <c r="I3592" s="34" t="s">
        <v>17</v>
      </c>
      <c r="J3592" s="34" t="s">
        <v>13</v>
      </c>
      <c r="K3592" s="9"/>
      <c r="L3592" s="45">
        <v>80.9</v>
      </c>
      <c r="M3592" s="45">
        <v>80.9</v>
      </c>
    </row>
    <row r="3593">
      <c r="A3593" s="34" t="s">
        <v>70</v>
      </c>
      <c r="B3593" s="34" t="s">
        <v>2013</v>
      </c>
      <c r="C3593" s="34">
        <v>972.0</v>
      </c>
      <c r="D3593" s="34" t="s">
        <v>2013</v>
      </c>
      <c r="E3593" s="34" t="s">
        <v>8322</v>
      </c>
      <c r="F3593" s="34" t="s">
        <v>8323</v>
      </c>
      <c r="G3593" s="34">
        <v>97230.0</v>
      </c>
      <c r="H3593" s="34" t="s">
        <v>2022</v>
      </c>
      <c r="I3593" s="34" t="s">
        <v>18</v>
      </c>
      <c r="J3593" s="34" t="s">
        <v>15</v>
      </c>
      <c r="K3593" s="45">
        <v>97.1</v>
      </c>
      <c r="L3593" s="9"/>
      <c r="M3593" s="45">
        <v>97.1</v>
      </c>
    </row>
    <row r="3594">
      <c r="A3594" s="34" t="s">
        <v>70</v>
      </c>
      <c r="B3594" s="34" t="s">
        <v>2013</v>
      </c>
      <c r="C3594" s="34">
        <v>972.0</v>
      </c>
      <c r="D3594" s="34" t="s">
        <v>2013</v>
      </c>
      <c r="E3594" s="34" t="s">
        <v>8324</v>
      </c>
      <c r="F3594" s="34" t="s">
        <v>8325</v>
      </c>
      <c r="G3594" s="34">
        <v>97209.0</v>
      </c>
      <c r="H3594" s="34" t="s">
        <v>2016</v>
      </c>
      <c r="I3594" s="34" t="s">
        <v>18</v>
      </c>
      <c r="J3594" s="34" t="s">
        <v>13</v>
      </c>
      <c r="K3594" s="9"/>
      <c r="L3594" s="45">
        <v>77.4</v>
      </c>
      <c r="M3594" s="45">
        <v>77.4</v>
      </c>
    </row>
    <row r="3595">
      <c r="A3595" s="34" t="s">
        <v>70</v>
      </c>
      <c r="B3595" s="34" t="s">
        <v>2013</v>
      </c>
      <c r="C3595" s="34">
        <v>972.0</v>
      </c>
      <c r="D3595" s="34" t="s">
        <v>2013</v>
      </c>
      <c r="E3595" s="34" t="s">
        <v>8326</v>
      </c>
      <c r="F3595" s="34" t="s">
        <v>8327</v>
      </c>
      <c r="G3595" s="34">
        <v>97213.0</v>
      </c>
      <c r="H3595" s="34" t="s">
        <v>2019</v>
      </c>
      <c r="I3595" s="34" t="s">
        <v>18</v>
      </c>
      <c r="J3595" s="34" t="s">
        <v>15</v>
      </c>
      <c r="K3595" s="45">
        <v>96.3</v>
      </c>
      <c r="L3595" s="9"/>
      <c r="M3595" s="45">
        <v>96.3</v>
      </c>
    </row>
    <row r="3596">
      <c r="A3596" s="34" t="s">
        <v>70</v>
      </c>
      <c r="B3596" s="34" t="s">
        <v>2035</v>
      </c>
      <c r="C3596" s="34">
        <v>973.0</v>
      </c>
      <c r="D3596" s="34" t="s">
        <v>2035</v>
      </c>
      <c r="E3596" s="34" t="s">
        <v>8328</v>
      </c>
      <c r="F3596" s="34" t="s">
        <v>8329</v>
      </c>
      <c r="G3596" s="34">
        <v>97311.0</v>
      </c>
      <c r="H3596" s="34" t="s">
        <v>2049</v>
      </c>
      <c r="I3596" s="34" t="s">
        <v>18</v>
      </c>
      <c r="J3596" s="34" t="s">
        <v>14</v>
      </c>
      <c r="K3596" s="45">
        <v>74.6</v>
      </c>
      <c r="L3596" s="45">
        <v>55.0</v>
      </c>
      <c r="M3596" s="45">
        <v>64.9</v>
      </c>
    </row>
    <row r="3597">
      <c r="A3597" s="34" t="s">
        <v>70</v>
      </c>
      <c r="B3597" s="34" t="s">
        <v>2054</v>
      </c>
      <c r="C3597" s="34">
        <v>974.0</v>
      </c>
      <c r="D3597" s="34" t="s">
        <v>2054</v>
      </c>
      <c r="E3597" s="34" t="s">
        <v>8330</v>
      </c>
      <c r="F3597" s="34" t="s">
        <v>8331</v>
      </c>
      <c r="G3597" s="34">
        <v>97411.0</v>
      </c>
      <c r="H3597" s="34" t="s">
        <v>1858</v>
      </c>
      <c r="I3597" s="34" t="s">
        <v>18</v>
      </c>
      <c r="J3597" s="34" t="s">
        <v>15</v>
      </c>
      <c r="K3597" s="45">
        <v>98.2</v>
      </c>
      <c r="L3597" s="9"/>
      <c r="M3597" s="45">
        <v>98.2</v>
      </c>
    </row>
    <row r="3598">
      <c r="A3598" s="34" t="s">
        <v>70</v>
      </c>
      <c r="B3598" s="34" t="s">
        <v>2054</v>
      </c>
      <c r="C3598" s="34">
        <v>974.0</v>
      </c>
      <c r="D3598" s="34" t="s">
        <v>2054</v>
      </c>
      <c r="E3598" s="34" t="s">
        <v>8332</v>
      </c>
      <c r="F3598" s="34" t="s">
        <v>8333</v>
      </c>
      <c r="G3598" s="34">
        <v>97416.0</v>
      </c>
      <c r="H3598" s="34" t="s">
        <v>2034</v>
      </c>
      <c r="I3598" s="34" t="s">
        <v>18</v>
      </c>
      <c r="J3598" s="34" t="s">
        <v>14</v>
      </c>
      <c r="K3598" s="45">
        <v>94.0</v>
      </c>
      <c r="L3598" s="45">
        <v>53.9</v>
      </c>
      <c r="M3598" s="45">
        <v>93.7</v>
      </c>
    </row>
    <row r="3599">
      <c r="A3599" s="34" t="s">
        <v>70</v>
      </c>
      <c r="B3599" s="34" t="s">
        <v>2054</v>
      </c>
      <c r="C3599" s="34">
        <v>974.0</v>
      </c>
      <c r="D3599" s="34" t="s">
        <v>2054</v>
      </c>
      <c r="E3599" s="34" t="s">
        <v>8334</v>
      </c>
      <c r="F3599" s="34" t="s">
        <v>3464</v>
      </c>
      <c r="G3599" s="34">
        <v>97409.0</v>
      </c>
      <c r="H3599" s="34" t="s">
        <v>3840</v>
      </c>
      <c r="I3599" s="34" t="s">
        <v>18</v>
      </c>
      <c r="J3599" s="34" t="s">
        <v>13</v>
      </c>
      <c r="K3599" s="9"/>
      <c r="L3599" s="45">
        <v>64.2</v>
      </c>
      <c r="M3599" s="45">
        <v>64.2</v>
      </c>
    </row>
    <row r="3600">
      <c r="A3600" s="34" t="s">
        <v>70</v>
      </c>
      <c r="B3600" s="34" t="s">
        <v>2054</v>
      </c>
      <c r="C3600" s="34">
        <v>974.0</v>
      </c>
      <c r="D3600" s="34" t="s">
        <v>2054</v>
      </c>
      <c r="E3600" s="34" t="s">
        <v>8335</v>
      </c>
      <c r="F3600" s="34" t="s">
        <v>8336</v>
      </c>
      <c r="G3600" s="34">
        <v>97418.0</v>
      </c>
      <c r="H3600" s="34" t="s">
        <v>3826</v>
      </c>
      <c r="I3600" s="34" t="s">
        <v>18</v>
      </c>
      <c r="J3600" s="34" t="s">
        <v>13</v>
      </c>
      <c r="K3600" s="9"/>
      <c r="L3600" s="45">
        <v>66.7</v>
      </c>
      <c r="M3600" s="45">
        <v>66.7</v>
      </c>
    </row>
    <row r="3601">
      <c r="A3601" s="34" t="s">
        <v>70</v>
      </c>
      <c r="B3601" s="34" t="s">
        <v>2054</v>
      </c>
      <c r="C3601" s="34">
        <v>974.0</v>
      </c>
      <c r="D3601" s="34" t="s">
        <v>2054</v>
      </c>
      <c r="E3601" s="34" t="s">
        <v>8337</v>
      </c>
      <c r="F3601" s="34" t="s">
        <v>8338</v>
      </c>
      <c r="G3601" s="34">
        <v>97411.0</v>
      </c>
      <c r="H3601" s="34" t="s">
        <v>1858</v>
      </c>
      <c r="I3601" s="34" t="s">
        <v>18</v>
      </c>
      <c r="J3601" s="34" t="s">
        <v>15</v>
      </c>
      <c r="K3601" s="45">
        <v>100.9</v>
      </c>
      <c r="L3601" s="9"/>
      <c r="M3601" s="45">
        <v>100.9</v>
      </c>
    </row>
    <row r="3602">
      <c r="A3602" s="34" t="s">
        <v>70</v>
      </c>
      <c r="B3602" s="34" t="s">
        <v>2054</v>
      </c>
      <c r="C3602" s="34">
        <v>974.0</v>
      </c>
      <c r="D3602" s="34" t="s">
        <v>2054</v>
      </c>
      <c r="E3602" s="34" t="s">
        <v>8339</v>
      </c>
      <c r="F3602" s="34" t="s">
        <v>8340</v>
      </c>
      <c r="G3602" s="34">
        <v>97402.0</v>
      </c>
      <c r="H3602" s="34" t="s">
        <v>8341</v>
      </c>
      <c r="I3602" s="34" t="s">
        <v>18</v>
      </c>
      <c r="J3602" s="34" t="s">
        <v>14</v>
      </c>
      <c r="K3602" s="45">
        <v>92.0</v>
      </c>
      <c r="L3602" s="45">
        <v>65.7</v>
      </c>
      <c r="M3602" s="45">
        <v>81.4</v>
      </c>
    </row>
    <row r="3603">
      <c r="A3603" s="34" t="s">
        <v>70</v>
      </c>
      <c r="B3603" s="34" t="s">
        <v>2054</v>
      </c>
      <c r="C3603" s="34">
        <v>974.0</v>
      </c>
      <c r="D3603" s="34" t="s">
        <v>2054</v>
      </c>
      <c r="E3603" s="34" t="s">
        <v>8342</v>
      </c>
      <c r="F3603" s="34" t="s">
        <v>8343</v>
      </c>
      <c r="G3603" s="34">
        <v>97408.0</v>
      </c>
      <c r="H3603" s="34" t="s">
        <v>8344</v>
      </c>
      <c r="I3603" s="34" t="s">
        <v>18</v>
      </c>
      <c r="J3603" s="34" t="s">
        <v>14</v>
      </c>
      <c r="K3603" s="45">
        <v>107.9</v>
      </c>
      <c r="L3603" s="45">
        <v>78.1</v>
      </c>
      <c r="M3603" s="45">
        <v>102.2</v>
      </c>
    </row>
    <row r="3604">
      <c r="A3604" s="34" t="s">
        <v>70</v>
      </c>
      <c r="B3604" s="34" t="s">
        <v>2084</v>
      </c>
      <c r="C3604" s="34">
        <v>976.0</v>
      </c>
      <c r="D3604" s="34" t="s">
        <v>2084</v>
      </c>
      <c r="E3604" s="34" t="s">
        <v>8345</v>
      </c>
      <c r="F3604" s="34" t="s">
        <v>8346</v>
      </c>
      <c r="G3604" s="34">
        <v>97614.0</v>
      </c>
      <c r="H3604" s="34" t="s">
        <v>8347</v>
      </c>
      <c r="I3604" s="34" t="s">
        <v>18</v>
      </c>
      <c r="J3604" s="34" t="s">
        <v>14</v>
      </c>
      <c r="K3604" s="45">
        <v>67.1</v>
      </c>
      <c r="L3604" s="45">
        <v>61.8</v>
      </c>
      <c r="M3604" s="45">
        <v>63.6</v>
      </c>
    </row>
    <row r="3605">
      <c r="A3605" s="34" t="s">
        <v>70</v>
      </c>
      <c r="B3605" s="34" t="s">
        <v>2084</v>
      </c>
      <c r="C3605" s="34">
        <v>976.0</v>
      </c>
      <c r="D3605" s="34" t="s">
        <v>2084</v>
      </c>
      <c r="E3605" s="34" t="s">
        <v>8348</v>
      </c>
      <c r="F3605" s="34" t="s">
        <v>8349</v>
      </c>
      <c r="G3605" s="34">
        <v>97611.0</v>
      </c>
      <c r="H3605" s="34" t="s">
        <v>5430</v>
      </c>
      <c r="I3605" s="34" t="s">
        <v>18</v>
      </c>
      <c r="J3605" s="34" t="s">
        <v>14</v>
      </c>
      <c r="K3605" s="45">
        <v>62.6</v>
      </c>
      <c r="L3605" s="45">
        <v>60.1</v>
      </c>
      <c r="M3605" s="45">
        <v>61.3</v>
      </c>
    </row>
    <row r="3606">
      <c r="A3606" s="34" t="s">
        <v>70</v>
      </c>
      <c r="B3606" s="34" t="s">
        <v>2084</v>
      </c>
      <c r="C3606" s="34">
        <v>976.0</v>
      </c>
      <c r="D3606" s="34" t="s">
        <v>2084</v>
      </c>
      <c r="E3606" s="34" t="s">
        <v>8350</v>
      </c>
      <c r="F3606" s="34" t="s">
        <v>8351</v>
      </c>
      <c r="G3606" s="34">
        <v>97606.0</v>
      </c>
      <c r="H3606" s="34" t="s">
        <v>8352</v>
      </c>
      <c r="I3606" s="34" t="s">
        <v>18</v>
      </c>
      <c r="J3606" s="34" t="s">
        <v>14</v>
      </c>
      <c r="K3606" s="45">
        <v>78.7</v>
      </c>
      <c r="L3606" s="45">
        <v>62.5</v>
      </c>
      <c r="M3606" s="45">
        <v>73.9</v>
      </c>
    </row>
    <row r="3607">
      <c r="A3607" s="34" t="s">
        <v>70</v>
      </c>
      <c r="B3607" s="34" t="s">
        <v>2084</v>
      </c>
      <c r="C3607" s="34">
        <v>976.0</v>
      </c>
      <c r="D3607" s="34" t="s">
        <v>2084</v>
      </c>
      <c r="E3607" s="34" t="s">
        <v>8353</v>
      </c>
      <c r="F3607" s="34" t="s">
        <v>8354</v>
      </c>
      <c r="G3607" s="34">
        <v>97603.0</v>
      </c>
      <c r="H3607" s="34" t="s">
        <v>8355</v>
      </c>
      <c r="I3607" s="34" t="s">
        <v>18</v>
      </c>
      <c r="J3607" s="34" t="s">
        <v>14</v>
      </c>
      <c r="K3607" s="45">
        <v>73.2</v>
      </c>
      <c r="L3607" s="45">
        <v>61.9</v>
      </c>
      <c r="M3607" s="45">
        <v>67.0</v>
      </c>
    </row>
    <row r="3608">
      <c r="A3608" s="34" t="s">
        <v>70</v>
      </c>
      <c r="B3608" s="34" t="s">
        <v>2084</v>
      </c>
      <c r="C3608" s="34">
        <v>976.0</v>
      </c>
      <c r="D3608" s="34" t="s">
        <v>2084</v>
      </c>
      <c r="E3608" s="34" t="s">
        <v>8356</v>
      </c>
      <c r="F3608" s="34" t="s">
        <v>8357</v>
      </c>
      <c r="G3608" s="34">
        <v>97611.0</v>
      </c>
      <c r="H3608" s="34" t="s">
        <v>5430</v>
      </c>
      <c r="I3608" s="34" t="s">
        <v>18</v>
      </c>
      <c r="J3608" s="34" t="s">
        <v>14</v>
      </c>
      <c r="K3608" s="45">
        <v>67.7</v>
      </c>
      <c r="L3608" s="45">
        <v>60.1</v>
      </c>
      <c r="M3608" s="45">
        <v>65.6</v>
      </c>
    </row>
    <row r="3610">
      <c r="M3610" s="9">
        <f>AVERAGE(M2:M3608)</f>
        <v>103.9115609</v>
      </c>
      <c r="N3610" s="5">
        <f>STDEVP(M2:M3608)</f>
        <v>18.90079149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1.22" defaultRowHeight="15.75"/>
  <sheetData>
    <row r="1">
      <c r="A1" s="46" t="s">
        <v>10</v>
      </c>
      <c r="B1" s="46" t="s">
        <v>16</v>
      </c>
      <c r="C1" s="46" t="s">
        <v>66</v>
      </c>
      <c r="D1" s="46" t="s">
        <v>67</v>
      </c>
      <c r="E1" s="47" t="s">
        <v>68</v>
      </c>
    </row>
    <row r="2">
      <c r="A2" s="46" t="s">
        <v>17</v>
      </c>
      <c r="B2" s="46" t="s">
        <v>15</v>
      </c>
      <c r="C2" s="48">
        <v>128.5</v>
      </c>
      <c r="D2" s="49"/>
      <c r="E2" s="48">
        <v>128.5</v>
      </c>
    </row>
    <row r="3">
      <c r="A3" s="46" t="s">
        <v>17</v>
      </c>
      <c r="B3" s="46" t="s">
        <v>13</v>
      </c>
      <c r="C3" s="49"/>
      <c r="D3" s="48">
        <v>91.5</v>
      </c>
      <c r="E3" s="48">
        <v>91.5</v>
      </c>
    </row>
    <row r="4">
      <c r="A4" s="46" t="s">
        <v>17</v>
      </c>
      <c r="B4" s="46" t="s">
        <v>15</v>
      </c>
      <c r="C4" s="48">
        <v>109.8</v>
      </c>
      <c r="D4" s="49"/>
      <c r="E4" s="48">
        <v>109.8</v>
      </c>
    </row>
    <row r="5">
      <c r="A5" s="46" t="s">
        <v>17</v>
      </c>
      <c r="B5" s="46" t="s">
        <v>15</v>
      </c>
      <c r="C5" s="48">
        <v>110.2</v>
      </c>
      <c r="D5" s="49"/>
      <c r="E5" s="48">
        <v>110.2</v>
      </c>
    </row>
    <row r="6">
      <c r="A6" s="46" t="s">
        <v>17</v>
      </c>
      <c r="B6" s="46" t="s">
        <v>13</v>
      </c>
      <c r="C6" s="49"/>
      <c r="D6" s="48">
        <v>94.6</v>
      </c>
      <c r="E6" s="48">
        <v>94.6</v>
      </c>
    </row>
    <row r="7">
      <c r="A7" s="46" t="s">
        <v>17</v>
      </c>
      <c r="B7" s="46" t="s">
        <v>13</v>
      </c>
      <c r="C7" s="49"/>
      <c r="D7" s="48">
        <v>83.6</v>
      </c>
      <c r="E7" s="48">
        <v>83.6</v>
      </c>
    </row>
    <row r="8">
      <c r="A8" s="46" t="s">
        <v>17</v>
      </c>
      <c r="B8" s="46" t="s">
        <v>15</v>
      </c>
      <c r="C8" s="48">
        <v>98.3</v>
      </c>
      <c r="D8" s="49"/>
      <c r="E8" s="48">
        <v>98.3</v>
      </c>
    </row>
    <row r="9">
      <c r="A9" s="46" t="s">
        <v>17</v>
      </c>
      <c r="B9" s="46" t="s">
        <v>15</v>
      </c>
      <c r="C9" s="48">
        <v>131.6</v>
      </c>
      <c r="D9" s="49"/>
      <c r="E9" s="48">
        <v>131.6</v>
      </c>
    </row>
    <row r="10">
      <c r="A10" s="46" t="s">
        <v>17</v>
      </c>
      <c r="B10" s="46" t="s">
        <v>15</v>
      </c>
      <c r="C10" s="48">
        <v>127.2</v>
      </c>
      <c r="D10" s="49"/>
      <c r="E10" s="48">
        <v>127.2</v>
      </c>
    </row>
    <row r="11">
      <c r="A11" s="46" t="s">
        <v>17</v>
      </c>
      <c r="B11" s="46" t="s">
        <v>13</v>
      </c>
      <c r="C11" s="49"/>
      <c r="D11" s="48">
        <v>108.5</v>
      </c>
      <c r="E11" s="48">
        <v>108.5</v>
      </c>
    </row>
    <row r="12">
      <c r="A12" s="46" t="s">
        <v>17</v>
      </c>
      <c r="B12" s="46" t="s">
        <v>13</v>
      </c>
      <c r="C12" s="49"/>
      <c r="D12" s="48">
        <v>121.5</v>
      </c>
      <c r="E12" s="48">
        <v>121.5</v>
      </c>
    </row>
    <row r="13">
      <c r="A13" s="46" t="s">
        <v>17</v>
      </c>
      <c r="B13" s="46" t="s">
        <v>14</v>
      </c>
      <c r="C13" s="48">
        <v>120.4</v>
      </c>
      <c r="D13" s="48">
        <v>96.8</v>
      </c>
      <c r="E13" s="48">
        <v>114.1</v>
      </c>
    </row>
    <row r="14">
      <c r="A14" s="46" t="s">
        <v>17</v>
      </c>
      <c r="B14" s="46" t="s">
        <v>15</v>
      </c>
      <c r="C14" s="48">
        <v>114.2</v>
      </c>
      <c r="D14" s="49"/>
      <c r="E14" s="48">
        <v>114.2</v>
      </c>
    </row>
    <row r="15">
      <c r="A15" s="46" t="s">
        <v>17</v>
      </c>
      <c r="B15" s="46" t="s">
        <v>13</v>
      </c>
      <c r="C15" s="49"/>
      <c r="D15" s="48">
        <v>84.3</v>
      </c>
      <c r="E15" s="48">
        <v>84.3</v>
      </c>
    </row>
    <row r="16">
      <c r="A16" s="46" t="s">
        <v>17</v>
      </c>
      <c r="B16" s="46" t="s">
        <v>13</v>
      </c>
      <c r="C16" s="49"/>
      <c r="D16" s="48">
        <v>87.9</v>
      </c>
      <c r="E16" s="48">
        <v>87.9</v>
      </c>
    </row>
    <row r="17">
      <c r="A17" s="46" t="s">
        <v>17</v>
      </c>
      <c r="B17" s="46" t="s">
        <v>15</v>
      </c>
      <c r="C17" s="48">
        <v>111.3</v>
      </c>
      <c r="D17" s="49"/>
      <c r="E17" s="48">
        <v>111.3</v>
      </c>
    </row>
    <row r="18">
      <c r="A18" s="46" t="s">
        <v>17</v>
      </c>
      <c r="B18" s="46" t="s">
        <v>15</v>
      </c>
      <c r="C18" s="48">
        <v>111.3</v>
      </c>
      <c r="D18" s="49"/>
      <c r="E18" s="48">
        <v>111.3</v>
      </c>
    </row>
    <row r="19">
      <c r="A19" s="46" t="s">
        <v>17</v>
      </c>
      <c r="B19" s="46" t="s">
        <v>13</v>
      </c>
      <c r="C19" s="49"/>
      <c r="D19" s="48">
        <v>87.1</v>
      </c>
      <c r="E19" s="48">
        <v>87.1</v>
      </c>
    </row>
    <row r="20">
      <c r="A20" s="46" t="s">
        <v>17</v>
      </c>
      <c r="B20" s="46" t="s">
        <v>15</v>
      </c>
      <c r="C20" s="48">
        <v>146.8</v>
      </c>
      <c r="D20" s="49"/>
      <c r="E20" s="48">
        <v>146.8</v>
      </c>
    </row>
    <row r="21">
      <c r="A21" s="46" t="s">
        <v>17</v>
      </c>
      <c r="B21" s="46" t="s">
        <v>15</v>
      </c>
      <c r="C21" s="48">
        <v>137.7</v>
      </c>
      <c r="D21" s="49"/>
      <c r="E21" s="48">
        <v>137.7</v>
      </c>
    </row>
    <row r="22">
      <c r="A22" s="46" t="s">
        <v>17</v>
      </c>
      <c r="B22" s="46" t="s">
        <v>15</v>
      </c>
      <c r="C22" s="48">
        <v>131.9</v>
      </c>
      <c r="D22" s="49"/>
      <c r="E22" s="48">
        <v>131.9</v>
      </c>
    </row>
    <row r="23">
      <c r="A23" s="46" t="s">
        <v>17</v>
      </c>
      <c r="B23" s="46" t="s">
        <v>15</v>
      </c>
      <c r="C23" s="48">
        <v>137.2</v>
      </c>
      <c r="D23" s="49"/>
      <c r="E23" s="48">
        <v>137.2</v>
      </c>
    </row>
    <row r="24">
      <c r="A24" s="46" t="s">
        <v>17</v>
      </c>
      <c r="B24" s="46" t="s">
        <v>13</v>
      </c>
      <c r="C24" s="49"/>
      <c r="D24" s="48">
        <v>86.6</v>
      </c>
      <c r="E24" s="48">
        <v>86.6</v>
      </c>
    </row>
    <row r="25">
      <c r="A25" s="46" t="s">
        <v>17</v>
      </c>
      <c r="B25" s="46" t="s">
        <v>13</v>
      </c>
      <c r="C25" s="49"/>
      <c r="D25" s="48">
        <v>73.5</v>
      </c>
      <c r="E25" s="48">
        <v>73.5</v>
      </c>
    </row>
    <row r="26">
      <c r="A26" s="46" t="s">
        <v>17</v>
      </c>
      <c r="B26" s="46" t="s">
        <v>14</v>
      </c>
      <c r="C26" s="48">
        <v>127.2</v>
      </c>
      <c r="D26" s="48">
        <v>91.4</v>
      </c>
      <c r="E26" s="48">
        <v>108.4</v>
      </c>
    </row>
    <row r="27">
      <c r="A27" s="46" t="s">
        <v>17</v>
      </c>
      <c r="B27" s="46" t="s">
        <v>15</v>
      </c>
      <c r="C27" s="48">
        <v>100.6</v>
      </c>
      <c r="D27" s="49"/>
      <c r="E27" s="48">
        <v>100.6</v>
      </c>
    </row>
    <row r="28">
      <c r="A28" s="46" t="s">
        <v>17</v>
      </c>
      <c r="B28" s="46" t="s">
        <v>15</v>
      </c>
      <c r="C28" s="48">
        <v>130.8</v>
      </c>
      <c r="D28" s="49"/>
      <c r="E28" s="48">
        <v>130.8</v>
      </c>
    </row>
    <row r="29">
      <c r="A29" s="46" t="s">
        <v>17</v>
      </c>
      <c r="B29" s="46" t="s">
        <v>15</v>
      </c>
      <c r="C29" s="48">
        <v>109.0</v>
      </c>
      <c r="D29" s="49"/>
      <c r="E29" s="48">
        <v>109.0</v>
      </c>
    </row>
    <row r="30">
      <c r="A30" s="46" t="s">
        <v>17</v>
      </c>
      <c r="B30" s="46" t="s">
        <v>15</v>
      </c>
      <c r="C30" s="48">
        <v>131.7</v>
      </c>
      <c r="D30" s="49"/>
      <c r="E30" s="48">
        <v>131.7</v>
      </c>
    </row>
    <row r="31">
      <c r="A31" s="46" t="s">
        <v>17</v>
      </c>
      <c r="B31" s="46" t="s">
        <v>13</v>
      </c>
      <c r="C31" s="49"/>
      <c r="D31" s="48">
        <v>93.7</v>
      </c>
      <c r="E31" s="48">
        <v>93.7</v>
      </c>
    </row>
    <row r="32">
      <c r="A32" s="46" t="s">
        <v>17</v>
      </c>
      <c r="B32" s="46" t="s">
        <v>13</v>
      </c>
      <c r="C32" s="49"/>
      <c r="D32" s="48">
        <v>96.5</v>
      </c>
      <c r="E32" s="48">
        <v>96.5</v>
      </c>
    </row>
    <row r="33">
      <c r="A33" s="46" t="s">
        <v>17</v>
      </c>
      <c r="B33" s="46" t="s">
        <v>15</v>
      </c>
      <c r="C33" s="48">
        <v>121.2</v>
      </c>
      <c r="D33" s="49"/>
      <c r="E33" s="48">
        <v>121.2</v>
      </c>
    </row>
    <row r="34">
      <c r="A34" s="46" t="s">
        <v>17</v>
      </c>
      <c r="B34" s="46" t="s">
        <v>14</v>
      </c>
      <c r="C34" s="48">
        <v>122.7</v>
      </c>
      <c r="D34" s="48">
        <v>96.4</v>
      </c>
      <c r="E34" s="48">
        <v>116.0</v>
      </c>
    </row>
    <row r="35">
      <c r="A35" s="46" t="s">
        <v>17</v>
      </c>
      <c r="B35" s="46" t="s">
        <v>13</v>
      </c>
      <c r="C35" s="49"/>
      <c r="D35" s="48">
        <v>88.3</v>
      </c>
      <c r="E35" s="48">
        <v>88.3</v>
      </c>
    </row>
    <row r="36">
      <c r="A36" s="46" t="s">
        <v>17</v>
      </c>
      <c r="B36" s="46" t="s">
        <v>15</v>
      </c>
      <c r="C36" s="48">
        <v>121.4</v>
      </c>
      <c r="D36" s="49"/>
      <c r="E36" s="48">
        <v>121.4</v>
      </c>
    </row>
    <row r="37">
      <c r="A37" s="46" t="s">
        <v>17</v>
      </c>
      <c r="B37" s="46" t="s">
        <v>14</v>
      </c>
      <c r="C37" s="48">
        <v>129.9</v>
      </c>
      <c r="D37" s="48">
        <v>112.4</v>
      </c>
      <c r="E37" s="48">
        <v>123.8</v>
      </c>
    </row>
    <row r="38">
      <c r="A38" s="46" t="s">
        <v>17</v>
      </c>
      <c r="B38" s="46" t="s">
        <v>15</v>
      </c>
      <c r="C38" s="48">
        <v>136.5</v>
      </c>
      <c r="D38" s="49"/>
      <c r="E38" s="48">
        <v>136.5</v>
      </c>
    </row>
    <row r="39">
      <c r="A39" s="46" t="s">
        <v>17</v>
      </c>
      <c r="B39" s="46" t="s">
        <v>15</v>
      </c>
      <c r="C39" s="48">
        <v>125.6</v>
      </c>
      <c r="D39" s="49"/>
      <c r="E39" s="48">
        <v>125.6</v>
      </c>
    </row>
    <row r="40">
      <c r="A40" s="46" t="s">
        <v>17</v>
      </c>
      <c r="B40" s="46" t="s">
        <v>14</v>
      </c>
      <c r="C40" s="48">
        <v>109.7</v>
      </c>
      <c r="D40" s="48">
        <v>96.0</v>
      </c>
      <c r="E40" s="48">
        <v>100.9</v>
      </c>
    </row>
    <row r="41">
      <c r="A41" s="46" t="s">
        <v>17</v>
      </c>
      <c r="B41" s="46" t="s">
        <v>15</v>
      </c>
      <c r="C41" s="48">
        <v>97.1</v>
      </c>
      <c r="D41" s="49"/>
      <c r="E41" s="48">
        <v>97.1</v>
      </c>
    </row>
    <row r="42">
      <c r="A42" s="46" t="s">
        <v>17</v>
      </c>
      <c r="B42" s="46" t="s">
        <v>13</v>
      </c>
      <c r="C42" s="49"/>
      <c r="D42" s="48">
        <v>86.9</v>
      </c>
      <c r="E42" s="48">
        <v>86.9</v>
      </c>
    </row>
    <row r="43">
      <c r="A43" s="46" t="s">
        <v>17</v>
      </c>
      <c r="B43" s="46" t="s">
        <v>13</v>
      </c>
      <c r="C43" s="49"/>
      <c r="D43" s="48">
        <v>82.3</v>
      </c>
      <c r="E43" s="48">
        <v>82.3</v>
      </c>
    </row>
    <row r="44">
      <c r="A44" s="46" t="s">
        <v>17</v>
      </c>
      <c r="B44" s="46" t="s">
        <v>14</v>
      </c>
      <c r="C44" s="48">
        <v>107.0</v>
      </c>
      <c r="D44" s="48">
        <v>89.6</v>
      </c>
      <c r="E44" s="48">
        <v>92.0</v>
      </c>
    </row>
    <row r="45">
      <c r="A45" s="46" t="s">
        <v>17</v>
      </c>
      <c r="B45" s="46" t="s">
        <v>13</v>
      </c>
      <c r="C45" s="49"/>
      <c r="D45" s="48">
        <v>92.3</v>
      </c>
      <c r="E45" s="48">
        <v>92.3</v>
      </c>
    </row>
    <row r="46">
      <c r="A46" s="46" t="s">
        <v>17</v>
      </c>
      <c r="B46" s="46" t="s">
        <v>15</v>
      </c>
      <c r="C46" s="48">
        <v>125.9</v>
      </c>
      <c r="D46" s="49"/>
      <c r="E46" s="48">
        <v>125.9</v>
      </c>
    </row>
    <row r="47">
      <c r="A47" s="46" t="s">
        <v>17</v>
      </c>
      <c r="B47" s="46" t="s">
        <v>15</v>
      </c>
      <c r="C47" s="48">
        <v>120.7</v>
      </c>
      <c r="D47" s="49"/>
      <c r="E47" s="48">
        <v>120.7</v>
      </c>
    </row>
    <row r="48">
      <c r="A48" s="46" t="s">
        <v>17</v>
      </c>
      <c r="B48" s="46" t="s">
        <v>15</v>
      </c>
      <c r="C48" s="48">
        <v>132.7</v>
      </c>
      <c r="D48" s="49"/>
      <c r="E48" s="48">
        <v>132.7</v>
      </c>
    </row>
    <row r="49">
      <c r="A49" s="46" t="s">
        <v>17</v>
      </c>
      <c r="B49" s="46" t="s">
        <v>15</v>
      </c>
      <c r="C49" s="48">
        <v>133.3</v>
      </c>
      <c r="D49" s="49"/>
      <c r="E49" s="48">
        <v>133.3</v>
      </c>
    </row>
    <row r="50">
      <c r="A50" s="46" t="s">
        <v>17</v>
      </c>
      <c r="B50" s="46" t="s">
        <v>15</v>
      </c>
      <c r="C50" s="48">
        <v>111.8</v>
      </c>
      <c r="D50" s="49"/>
      <c r="E50" s="48">
        <v>111.8</v>
      </c>
    </row>
    <row r="51">
      <c r="A51" s="46" t="s">
        <v>17</v>
      </c>
      <c r="B51" s="46" t="s">
        <v>15</v>
      </c>
      <c r="C51" s="48">
        <v>120.7</v>
      </c>
      <c r="D51" s="49"/>
      <c r="E51" s="48">
        <v>120.7</v>
      </c>
    </row>
    <row r="52">
      <c r="A52" s="46" t="s">
        <v>17</v>
      </c>
      <c r="B52" s="46" t="s">
        <v>13</v>
      </c>
      <c r="C52" s="49"/>
      <c r="D52" s="48">
        <v>107.1</v>
      </c>
      <c r="E52" s="48">
        <v>107.1</v>
      </c>
    </row>
    <row r="53">
      <c r="A53" s="46" t="s">
        <v>17</v>
      </c>
      <c r="B53" s="46" t="s">
        <v>14</v>
      </c>
      <c r="C53" s="48">
        <v>109.9</v>
      </c>
      <c r="D53" s="48">
        <v>99.2</v>
      </c>
      <c r="E53" s="48">
        <v>105.1</v>
      </c>
    </row>
    <row r="54">
      <c r="A54" s="46" t="s">
        <v>17</v>
      </c>
      <c r="B54" s="46" t="s">
        <v>15</v>
      </c>
      <c r="C54" s="48">
        <v>101.2</v>
      </c>
      <c r="D54" s="49"/>
      <c r="E54" s="48">
        <v>101.2</v>
      </c>
    </row>
    <row r="55">
      <c r="A55" s="46" t="s">
        <v>17</v>
      </c>
      <c r="B55" s="46" t="s">
        <v>15</v>
      </c>
      <c r="C55" s="48">
        <v>133.3</v>
      </c>
      <c r="D55" s="49"/>
      <c r="E55" s="48">
        <v>133.3</v>
      </c>
    </row>
    <row r="56">
      <c r="A56" s="46" t="s">
        <v>17</v>
      </c>
      <c r="B56" s="46" t="s">
        <v>14</v>
      </c>
      <c r="C56" s="48">
        <v>112.8</v>
      </c>
      <c r="D56" s="48">
        <v>91.8</v>
      </c>
      <c r="E56" s="48">
        <v>111.7</v>
      </c>
    </row>
    <row r="57">
      <c r="A57" s="46" t="s">
        <v>17</v>
      </c>
      <c r="B57" s="46" t="s">
        <v>15</v>
      </c>
      <c r="C57" s="48">
        <v>107.6</v>
      </c>
      <c r="D57" s="49"/>
      <c r="E57" s="48">
        <v>107.6</v>
      </c>
    </row>
    <row r="58">
      <c r="A58" s="46" t="s">
        <v>17</v>
      </c>
      <c r="B58" s="46" t="s">
        <v>14</v>
      </c>
      <c r="C58" s="48">
        <v>101.4</v>
      </c>
      <c r="D58" s="48">
        <v>88.6</v>
      </c>
      <c r="E58" s="48">
        <v>95.7</v>
      </c>
    </row>
    <row r="59">
      <c r="A59" s="46" t="s">
        <v>17</v>
      </c>
      <c r="B59" s="46" t="s">
        <v>13</v>
      </c>
      <c r="C59" s="49"/>
      <c r="D59" s="48">
        <v>103.6</v>
      </c>
      <c r="E59" s="48">
        <v>103.6</v>
      </c>
    </row>
    <row r="60">
      <c r="A60" s="46" t="s">
        <v>17</v>
      </c>
      <c r="B60" s="46" t="s">
        <v>13</v>
      </c>
      <c r="C60" s="49"/>
      <c r="D60" s="48">
        <v>86.6</v>
      </c>
      <c r="E60" s="48">
        <v>86.6</v>
      </c>
    </row>
    <row r="61">
      <c r="A61" s="46" t="s">
        <v>17</v>
      </c>
      <c r="B61" s="46" t="s">
        <v>13</v>
      </c>
      <c r="C61" s="49"/>
      <c r="D61" s="48">
        <v>110.9</v>
      </c>
      <c r="E61" s="48">
        <v>110.9</v>
      </c>
    </row>
    <row r="62">
      <c r="A62" s="46" t="s">
        <v>17</v>
      </c>
      <c r="B62" s="46" t="s">
        <v>13</v>
      </c>
      <c r="C62" s="49"/>
      <c r="D62" s="48">
        <v>88.7</v>
      </c>
      <c r="E62" s="48">
        <v>88.7</v>
      </c>
    </row>
    <row r="63">
      <c r="A63" s="46" t="s">
        <v>17</v>
      </c>
      <c r="B63" s="46" t="s">
        <v>13</v>
      </c>
      <c r="C63" s="49"/>
      <c r="D63" s="48">
        <v>87.5</v>
      </c>
      <c r="E63" s="48">
        <v>87.5</v>
      </c>
    </row>
    <row r="64">
      <c r="A64" s="46" t="s">
        <v>17</v>
      </c>
      <c r="B64" s="46" t="s">
        <v>15</v>
      </c>
      <c r="C64" s="48">
        <v>123.2</v>
      </c>
      <c r="D64" s="49"/>
      <c r="E64" s="48">
        <v>123.2</v>
      </c>
    </row>
    <row r="65">
      <c r="A65" s="46" t="s">
        <v>17</v>
      </c>
      <c r="B65" s="46" t="s">
        <v>15</v>
      </c>
      <c r="C65" s="48">
        <v>131.5</v>
      </c>
      <c r="D65" s="49"/>
      <c r="E65" s="48">
        <v>131.5</v>
      </c>
    </row>
    <row r="66">
      <c r="A66" s="46" t="s">
        <v>17</v>
      </c>
      <c r="B66" s="46" t="s">
        <v>15</v>
      </c>
      <c r="C66" s="48">
        <v>116.0</v>
      </c>
      <c r="D66" s="49"/>
      <c r="E66" s="48">
        <v>116.0</v>
      </c>
    </row>
    <row r="67">
      <c r="A67" s="46" t="s">
        <v>17</v>
      </c>
      <c r="B67" s="46" t="s">
        <v>15</v>
      </c>
      <c r="C67" s="48">
        <v>140.9</v>
      </c>
      <c r="D67" s="49"/>
      <c r="E67" s="48">
        <v>140.9</v>
      </c>
    </row>
    <row r="68">
      <c r="A68" s="46" t="s">
        <v>17</v>
      </c>
      <c r="B68" s="46" t="s">
        <v>15</v>
      </c>
      <c r="C68" s="48">
        <v>144.7</v>
      </c>
      <c r="D68" s="49"/>
      <c r="E68" s="48">
        <v>144.7</v>
      </c>
    </row>
    <row r="69">
      <c r="A69" s="46" t="s">
        <v>17</v>
      </c>
      <c r="B69" s="46" t="s">
        <v>15</v>
      </c>
      <c r="C69" s="48">
        <v>114.9</v>
      </c>
      <c r="D69" s="49"/>
      <c r="E69" s="48">
        <v>114.9</v>
      </c>
    </row>
    <row r="70">
      <c r="A70" s="46" t="s">
        <v>17</v>
      </c>
      <c r="B70" s="46" t="s">
        <v>13</v>
      </c>
      <c r="C70" s="49"/>
      <c r="D70" s="48">
        <v>83.0</v>
      </c>
      <c r="E70" s="48">
        <v>83.0</v>
      </c>
    </row>
    <row r="71">
      <c r="A71" s="46" t="s">
        <v>17</v>
      </c>
      <c r="B71" s="46" t="s">
        <v>15</v>
      </c>
      <c r="C71" s="48">
        <v>118.5</v>
      </c>
      <c r="D71" s="49"/>
      <c r="E71" s="48">
        <v>118.5</v>
      </c>
    </row>
    <row r="72">
      <c r="A72" s="46" t="s">
        <v>17</v>
      </c>
      <c r="B72" s="46" t="s">
        <v>15</v>
      </c>
      <c r="C72" s="48">
        <v>97.7</v>
      </c>
      <c r="D72" s="49"/>
      <c r="E72" s="48">
        <v>97.7</v>
      </c>
    </row>
    <row r="73">
      <c r="A73" s="46" t="s">
        <v>17</v>
      </c>
      <c r="B73" s="46" t="s">
        <v>15</v>
      </c>
      <c r="C73" s="48">
        <v>134.2</v>
      </c>
      <c r="D73" s="49"/>
      <c r="E73" s="48">
        <v>134.2</v>
      </c>
    </row>
    <row r="74">
      <c r="A74" s="46" t="s">
        <v>17</v>
      </c>
      <c r="B74" s="46" t="s">
        <v>15</v>
      </c>
      <c r="C74" s="48">
        <v>128.0</v>
      </c>
      <c r="D74" s="49"/>
      <c r="E74" s="48">
        <v>128.0</v>
      </c>
    </row>
    <row r="75">
      <c r="A75" s="46" t="s">
        <v>17</v>
      </c>
      <c r="B75" s="46" t="s">
        <v>14</v>
      </c>
      <c r="C75" s="48">
        <v>121.4</v>
      </c>
      <c r="D75" s="48">
        <v>95.1</v>
      </c>
      <c r="E75" s="48">
        <v>114.2</v>
      </c>
    </row>
    <row r="76">
      <c r="A76" s="46" t="s">
        <v>17</v>
      </c>
      <c r="B76" s="46" t="s">
        <v>13</v>
      </c>
      <c r="C76" s="49"/>
      <c r="D76" s="48">
        <v>100.6</v>
      </c>
      <c r="E76" s="48">
        <v>100.6</v>
      </c>
    </row>
    <row r="77">
      <c r="A77" s="46" t="s">
        <v>17</v>
      </c>
      <c r="B77" s="46" t="s">
        <v>15</v>
      </c>
      <c r="C77" s="48">
        <v>117.8</v>
      </c>
      <c r="D77" s="49"/>
      <c r="E77" s="48">
        <v>117.8</v>
      </c>
    </row>
    <row r="78">
      <c r="A78" s="46" t="s">
        <v>17</v>
      </c>
      <c r="B78" s="46" t="s">
        <v>15</v>
      </c>
      <c r="C78" s="48">
        <v>128.6</v>
      </c>
      <c r="D78" s="49"/>
      <c r="E78" s="48">
        <v>128.6</v>
      </c>
    </row>
    <row r="79">
      <c r="A79" s="46" t="s">
        <v>17</v>
      </c>
      <c r="B79" s="46" t="s">
        <v>14</v>
      </c>
      <c r="C79" s="48">
        <v>112.7</v>
      </c>
      <c r="D79" s="48">
        <v>69.8</v>
      </c>
      <c r="E79" s="48">
        <v>97.6</v>
      </c>
    </row>
    <row r="80">
      <c r="A80" s="46" t="s">
        <v>17</v>
      </c>
      <c r="B80" s="46" t="s">
        <v>15</v>
      </c>
      <c r="C80" s="48">
        <v>125.2</v>
      </c>
      <c r="D80" s="49"/>
      <c r="E80" s="48">
        <v>125.2</v>
      </c>
    </row>
    <row r="81">
      <c r="A81" s="46" t="s">
        <v>17</v>
      </c>
      <c r="B81" s="46" t="s">
        <v>14</v>
      </c>
      <c r="C81" s="48">
        <v>138.7</v>
      </c>
      <c r="D81" s="48">
        <v>102.3</v>
      </c>
      <c r="E81" s="48">
        <v>131.4</v>
      </c>
    </row>
    <row r="82">
      <c r="A82" s="46" t="s">
        <v>17</v>
      </c>
      <c r="B82" s="46" t="s">
        <v>15</v>
      </c>
      <c r="C82" s="48">
        <v>97.7</v>
      </c>
      <c r="D82" s="49"/>
      <c r="E82" s="48">
        <v>97.7</v>
      </c>
    </row>
    <row r="83">
      <c r="A83" s="46" t="s">
        <v>17</v>
      </c>
      <c r="B83" s="46" t="s">
        <v>13</v>
      </c>
      <c r="C83" s="49"/>
      <c r="D83" s="48">
        <v>121.9</v>
      </c>
      <c r="E83" s="48">
        <v>121.9</v>
      </c>
    </row>
    <row r="84">
      <c r="A84" s="46" t="s">
        <v>17</v>
      </c>
      <c r="B84" s="46" t="s">
        <v>15</v>
      </c>
      <c r="C84" s="48">
        <v>109.6</v>
      </c>
      <c r="D84" s="49"/>
      <c r="E84" s="48">
        <v>109.6</v>
      </c>
    </row>
    <row r="85">
      <c r="A85" s="46" t="s">
        <v>17</v>
      </c>
      <c r="B85" s="46" t="s">
        <v>13</v>
      </c>
      <c r="C85" s="49"/>
      <c r="D85" s="48">
        <v>96.8</v>
      </c>
      <c r="E85" s="48">
        <v>96.8</v>
      </c>
    </row>
    <row r="86">
      <c r="A86" s="46" t="s">
        <v>17</v>
      </c>
      <c r="B86" s="46" t="s">
        <v>15</v>
      </c>
      <c r="C86" s="48">
        <v>124.3</v>
      </c>
      <c r="D86" s="49"/>
      <c r="E86" s="48">
        <v>124.3</v>
      </c>
    </row>
    <row r="87">
      <c r="A87" s="46" t="s">
        <v>17</v>
      </c>
      <c r="B87" s="46" t="s">
        <v>15</v>
      </c>
      <c r="C87" s="48">
        <v>104.8</v>
      </c>
      <c r="D87" s="49"/>
      <c r="E87" s="48">
        <v>104.8</v>
      </c>
    </row>
    <row r="88">
      <c r="A88" s="46" t="s">
        <v>17</v>
      </c>
      <c r="B88" s="46" t="s">
        <v>13</v>
      </c>
      <c r="C88" s="49"/>
      <c r="D88" s="48">
        <v>95.4</v>
      </c>
      <c r="E88" s="48">
        <v>95.4</v>
      </c>
    </row>
    <row r="89">
      <c r="A89" s="46" t="s">
        <v>17</v>
      </c>
      <c r="B89" s="46" t="s">
        <v>15</v>
      </c>
      <c r="C89" s="48">
        <v>124.8</v>
      </c>
      <c r="D89" s="49"/>
      <c r="E89" s="48">
        <v>124.8</v>
      </c>
    </row>
    <row r="90">
      <c r="A90" s="46" t="s">
        <v>17</v>
      </c>
      <c r="B90" s="46" t="s">
        <v>13</v>
      </c>
      <c r="C90" s="49"/>
      <c r="D90" s="48">
        <v>87.8</v>
      </c>
      <c r="E90" s="48">
        <v>87.8</v>
      </c>
    </row>
    <row r="91">
      <c r="A91" s="46" t="s">
        <v>17</v>
      </c>
      <c r="B91" s="46" t="s">
        <v>14</v>
      </c>
      <c r="C91" s="48">
        <v>105.5</v>
      </c>
      <c r="D91" s="48">
        <v>85.3</v>
      </c>
      <c r="E91" s="48">
        <v>92.8</v>
      </c>
    </row>
    <row r="92">
      <c r="A92" s="46" t="s">
        <v>17</v>
      </c>
      <c r="B92" s="46" t="s">
        <v>14</v>
      </c>
      <c r="C92" s="48">
        <v>105.4</v>
      </c>
      <c r="D92" s="48">
        <v>98.2</v>
      </c>
      <c r="E92" s="48">
        <v>104.2</v>
      </c>
    </row>
    <row r="93">
      <c r="A93" s="46" t="s">
        <v>17</v>
      </c>
      <c r="B93" s="46" t="s">
        <v>15</v>
      </c>
      <c r="C93" s="48">
        <v>117.9</v>
      </c>
      <c r="D93" s="49"/>
      <c r="E93" s="48">
        <v>117.9</v>
      </c>
    </row>
    <row r="94">
      <c r="A94" s="46" t="s">
        <v>17</v>
      </c>
      <c r="B94" s="46" t="s">
        <v>13</v>
      </c>
      <c r="C94" s="49"/>
      <c r="D94" s="48">
        <v>92.5</v>
      </c>
      <c r="E94" s="48">
        <v>92.5</v>
      </c>
    </row>
    <row r="95">
      <c r="A95" s="46" t="s">
        <v>17</v>
      </c>
      <c r="B95" s="46" t="s">
        <v>15</v>
      </c>
      <c r="C95" s="48">
        <v>114.1</v>
      </c>
      <c r="D95" s="49"/>
      <c r="E95" s="48">
        <v>114.1</v>
      </c>
    </row>
    <row r="96">
      <c r="A96" s="46" t="s">
        <v>17</v>
      </c>
      <c r="B96" s="46" t="s">
        <v>15</v>
      </c>
      <c r="C96" s="48">
        <v>141.1</v>
      </c>
      <c r="D96" s="49"/>
      <c r="E96" s="48">
        <v>141.1</v>
      </c>
    </row>
    <row r="97">
      <c r="A97" s="46" t="s">
        <v>17</v>
      </c>
      <c r="B97" s="46" t="s">
        <v>15</v>
      </c>
      <c r="C97" s="48">
        <v>134.1</v>
      </c>
      <c r="D97" s="49"/>
      <c r="E97" s="48">
        <v>134.1</v>
      </c>
    </row>
    <row r="98">
      <c r="A98" s="46" t="s">
        <v>17</v>
      </c>
      <c r="B98" s="46" t="s">
        <v>15</v>
      </c>
      <c r="C98" s="48">
        <v>119.4</v>
      </c>
      <c r="D98" s="49"/>
      <c r="E98" s="48">
        <v>119.4</v>
      </c>
    </row>
    <row r="99">
      <c r="A99" s="46" t="s">
        <v>17</v>
      </c>
      <c r="B99" s="46" t="s">
        <v>13</v>
      </c>
      <c r="C99" s="49"/>
      <c r="D99" s="48">
        <v>96.0</v>
      </c>
      <c r="E99" s="48">
        <v>96.0</v>
      </c>
    </row>
    <row r="100">
      <c r="A100" s="46" t="s">
        <v>17</v>
      </c>
      <c r="B100" s="46" t="s">
        <v>14</v>
      </c>
      <c r="C100" s="48">
        <v>111.2</v>
      </c>
      <c r="D100" s="48">
        <v>93.9</v>
      </c>
      <c r="E100" s="48">
        <v>103.4</v>
      </c>
    </row>
    <row r="101">
      <c r="A101" s="46" t="s">
        <v>17</v>
      </c>
      <c r="B101" s="46" t="s">
        <v>13</v>
      </c>
      <c r="C101" s="49"/>
      <c r="D101" s="48">
        <v>99.3</v>
      </c>
      <c r="E101" s="48">
        <v>99.3</v>
      </c>
    </row>
    <row r="102">
      <c r="A102" s="46" t="s">
        <v>17</v>
      </c>
      <c r="B102" s="46" t="s">
        <v>15</v>
      </c>
      <c r="C102" s="48">
        <v>125.0</v>
      </c>
      <c r="D102" s="49"/>
      <c r="E102" s="48">
        <v>125.0</v>
      </c>
    </row>
    <row r="103">
      <c r="A103" s="46" t="s">
        <v>17</v>
      </c>
      <c r="B103" s="46" t="s">
        <v>15</v>
      </c>
      <c r="C103" s="48">
        <v>125.5</v>
      </c>
      <c r="D103" s="49"/>
      <c r="E103" s="48">
        <v>125.5</v>
      </c>
    </row>
    <row r="104">
      <c r="A104" s="46" t="s">
        <v>17</v>
      </c>
      <c r="B104" s="46" t="s">
        <v>14</v>
      </c>
      <c r="C104" s="48">
        <v>110.0</v>
      </c>
      <c r="D104" s="48">
        <v>92.9</v>
      </c>
      <c r="E104" s="48">
        <v>107.7</v>
      </c>
    </row>
    <row r="105">
      <c r="A105" s="46" t="s">
        <v>17</v>
      </c>
      <c r="B105" s="46" t="s">
        <v>14</v>
      </c>
      <c r="C105" s="48">
        <v>97.0</v>
      </c>
      <c r="D105" s="48">
        <v>95.3</v>
      </c>
      <c r="E105" s="48">
        <v>95.7</v>
      </c>
    </row>
    <row r="106">
      <c r="A106" s="46" t="s">
        <v>17</v>
      </c>
      <c r="B106" s="46" t="s">
        <v>14</v>
      </c>
      <c r="C106" s="48">
        <v>113.4</v>
      </c>
      <c r="D106" s="48">
        <v>97.4</v>
      </c>
      <c r="E106" s="48">
        <v>108.9</v>
      </c>
    </row>
    <row r="107">
      <c r="A107" s="46" t="s">
        <v>17</v>
      </c>
      <c r="B107" s="46" t="s">
        <v>13</v>
      </c>
      <c r="C107" s="49"/>
      <c r="D107" s="48">
        <v>102.7</v>
      </c>
      <c r="E107" s="48">
        <v>102.7</v>
      </c>
    </row>
    <row r="108">
      <c r="A108" s="46" t="s">
        <v>17</v>
      </c>
      <c r="B108" s="46" t="s">
        <v>13</v>
      </c>
      <c r="C108" s="49"/>
      <c r="D108" s="48">
        <v>91.3</v>
      </c>
      <c r="E108" s="48">
        <v>91.3</v>
      </c>
    </row>
    <row r="109">
      <c r="A109" s="46" t="s">
        <v>17</v>
      </c>
      <c r="B109" s="46" t="s">
        <v>15</v>
      </c>
      <c r="C109" s="48">
        <v>117.2</v>
      </c>
      <c r="D109" s="49"/>
      <c r="E109" s="48">
        <v>117.2</v>
      </c>
    </row>
    <row r="110">
      <c r="A110" s="46" t="s">
        <v>17</v>
      </c>
      <c r="B110" s="46" t="s">
        <v>14</v>
      </c>
      <c r="C110" s="48">
        <v>115.0</v>
      </c>
      <c r="D110" s="48">
        <v>107.7</v>
      </c>
      <c r="E110" s="48">
        <v>112.6</v>
      </c>
    </row>
    <row r="111">
      <c r="A111" s="46" t="s">
        <v>17</v>
      </c>
      <c r="B111" s="46" t="s">
        <v>15</v>
      </c>
      <c r="C111" s="48">
        <v>117.1</v>
      </c>
      <c r="D111" s="49"/>
      <c r="E111" s="48">
        <v>117.1</v>
      </c>
    </row>
    <row r="112">
      <c r="A112" s="46" t="s">
        <v>17</v>
      </c>
      <c r="B112" s="46" t="s">
        <v>15</v>
      </c>
      <c r="C112" s="48">
        <v>118.1</v>
      </c>
      <c r="D112" s="49"/>
      <c r="E112" s="48">
        <v>118.1</v>
      </c>
    </row>
    <row r="113">
      <c r="A113" s="46" t="s">
        <v>17</v>
      </c>
      <c r="B113" s="46" t="s">
        <v>13</v>
      </c>
      <c r="C113" s="49"/>
      <c r="D113" s="48">
        <v>87.7</v>
      </c>
      <c r="E113" s="48">
        <v>87.7</v>
      </c>
    </row>
    <row r="114">
      <c r="A114" s="46" t="s">
        <v>17</v>
      </c>
      <c r="B114" s="46" t="s">
        <v>13</v>
      </c>
      <c r="C114" s="49"/>
      <c r="D114" s="48">
        <v>95.8</v>
      </c>
      <c r="E114" s="48">
        <v>95.8</v>
      </c>
    </row>
    <row r="115">
      <c r="A115" s="46" t="s">
        <v>17</v>
      </c>
      <c r="B115" s="46" t="s">
        <v>14</v>
      </c>
      <c r="C115" s="48">
        <v>108.4</v>
      </c>
      <c r="D115" s="48">
        <v>102.3</v>
      </c>
      <c r="E115" s="48">
        <v>105.9</v>
      </c>
    </row>
    <row r="116">
      <c r="A116" s="46" t="s">
        <v>17</v>
      </c>
      <c r="B116" s="46" t="s">
        <v>13</v>
      </c>
      <c r="C116" s="49"/>
      <c r="D116" s="48">
        <v>93.7</v>
      </c>
      <c r="E116" s="48">
        <v>93.7</v>
      </c>
    </row>
    <row r="117">
      <c r="A117" s="46" t="s">
        <v>17</v>
      </c>
      <c r="B117" s="46" t="s">
        <v>13</v>
      </c>
      <c r="C117" s="49"/>
      <c r="D117" s="48">
        <v>93.3</v>
      </c>
      <c r="E117" s="48">
        <v>93.3</v>
      </c>
    </row>
    <row r="118">
      <c r="A118" s="46" t="s">
        <v>17</v>
      </c>
      <c r="B118" s="46" t="s">
        <v>15</v>
      </c>
      <c r="C118" s="48">
        <v>109.9</v>
      </c>
      <c r="D118" s="49"/>
      <c r="E118" s="48">
        <v>109.9</v>
      </c>
    </row>
    <row r="119">
      <c r="A119" s="46" t="s">
        <v>17</v>
      </c>
      <c r="B119" s="46" t="s">
        <v>13</v>
      </c>
      <c r="C119" s="49"/>
      <c r="D119" s="48">
        <v>97.8</v>
      </c>
      <c r="E119" s="48">
        <v>97.8</v>
      </c>
    </row>
    <row r="120">
      <c r="A120" s="46" t="s">
        <v>17</v>
      </c>
      <c r="B120" s="46" t="s">
        <v>13</v>
      </c>
      <c r="C120" s="49"/>
      <c r="D120" s="48">
        <v>85.5</v>
      </c>
      <c r="E120" s="48">
        <v>85.5</v>
      </c>
    </row>
    <row r="121">
      <c r="A121" s="46" t="s">
        <v>17</v>
      </c>
      <c r="B121" s="46" t="s">
        <v>15</v>
      </c>
      <c r="C121" s="48">
        <v>97.3</v>
      </c>
      <c r="D121" s="49"/>
      <c r="E121" s="48">
        <v>97.3</v>
      </c>
    </row>
    <row r="122">
      <c r="A122" s="46" t="s">
        <v>17</v>
      </c>
      <c r="B122" s="46" t="s">
        <v>15</v>
      </c>
      <c r="C122" s="48">
        <v>106.6</v>
      </c>
      <c r="D122" s="49"/>
      <c r="E122" s="48">
        <v>106.6</v>
      </c>
    </row>
    <row r="123">
      <c r="A123" s="46" t="s">
        <v>17</v>
      </c>
      <c r="B123" s="46" t="s">
        <v>14</v>
      </c>
      <c r="C123" s="48">
        <v>105.5</v>
      </c>
      <c r="D123" s="48">
        <v>86.9</v>
      </c>
      <c r="E123" s="48">
        <v>95.9</v>
      </c>
    </row>
    <row r="124">
      <c r="A124" s="46" t="s">
        <v>17</v>
      </c>
      <c r="B124" s="46" t="s">
        <v>15</v>
      </c>
      <c r="C124" s="48">
        <v>129.0</v>
      </c>
      <c r="D124" s="49"/>
      <c r="E124" s="48">
        <v>129.0</v>
      </c>
    </row>
    <row r="125">
      <c r="A125" s="46" t="s">
        <v>17</v>
      </c>
      <c r="B125" s="46" t="s">
        <v>15</v>
      </c>
      <c r="C125" s="48">
        <v>107.4</v>
      </c>
      <c r="D125" s="49"/>
      <c r="E125" s="48">
        <v>107.4</v>
      </c>
    </row>
    <row r="126">
      <c r="A126" s="46" t="s">
        <v>17</v>
      </c>
      <c r="B126" s="46" t="s">
        <v>15</v>
      </c>
      <c r="C126" s="48">
        <v>144.5</v>
      </c>
      <c r="D126" s="49"/>
      <c r="E126" s="48">
        <v>144.5</v>
      </c>
    </row>
    <row r="127">
      <c r="A127" s="46" t="s">
        <v>17</v>
      </c>
      <c r="B127" s="46" t="s">
        <v>15</v>
      </c>
      <c r="C127" s="48">
        <v>140.4</v>
      </c>
      <c r="D127" s="49"/>
      <c r="E127" s="48">
        <v>140.4</v>
      </c>
    </row>
    <row r="128">
      <c r="A128" s="46" t="s">
        <v>17</v>
      </c>
      <c r="B128" s="46" t="s">
        <v>15</v>
      </c>
      <c r="C128" s="48">
        <v>128.9</v>
      </c>
      <c r="D128" s="49"/>
      <c r="E128" s="48">
        <v>128.9</v>
      </c>
    </row>
    <row r="129">
      <c r="A129" s="46" t="s">
        <v>17</v>
      </c>
      <c r="B129" s="46" t="s">
        <v>14</v>
      </c>
      <c r="C129" s="48">
        <v>106.2</v>
      </c>
      <c r="D129" s="48">
        <v>90.6</v>
      </c>
      <c r="E129" s="48">
        <v>101.5</v>
      </c>
    </row>
    <row r="130">
      <c r="A130" s="46" t="s">
        <v>17</v>
      </c>
      <c r="B130" s="46" t="s">
        <v>13</v>
      </c>
      <c r="C130" s="49"/>
      <c r="D130" s="48">
        <v>83.1</v>
      </c>
      <c r="E130" s="48">
        <v>83.1</v>
      </c>
    </row>
    <row r="131">
      <c r="A131" s="46" t="s">
        <v>17</v>
      </c>
      <c r="B131" s="46" t="s">
        <v>13</v>
      </c>
      <c r="C131" s="49"/>
      <c r="D131" s="48">
        <v>82.8</v>
      </c>
      <c r="E131" s="48">
        <v>82.8</v>
      </c>
    </row>
    <row r="132">
      <c r="A132" s="46" t="s">
        <v>17</v>
      </c>
      <c r="B132" s="46" t="s">
        <v>14</v>
      </c>
      <c r="C132" s="48">
        <v>129.2</v>
      </c>
      <c r="D132" s="48">
        <v>114.9</v>
      </c>
      <c r="E132" s="48">
        <v>121.8</v>
      </c>
    </row>
    <row r="133">
      <c r="A133" s="46" t="s">
        <v>17</v>
      </c>
      <c r="B133" s="46" t="s">
        <v>15</v>
      </c>
      <c r="C133" s="48">
        <v>125.7</v>
      </c>
      <c r="D133" s="49"/>
      <c r="E133" s="48">
        <v>125.7</v>
      </c>
    </row>
    <row r="134">
      <c r="A134" s="46" t="s">
        <v>17</v>
      </c>
      <c r="B134" s="46" t="s">
        <v>15</v>
      </c>
      <c r="C134" s="48">
        <v>111.7</v>
      </c>
      <c r="D134" s="49"/>
      <c r="E134" s="48">
        <v>111.7</v>
      </c>
    </row>
    <row r="135">
      <c r="A135" s="46" t="s">
        <v>17</v>
      </c>
      <c r="B135" s="46" t="s">
        <v>14</v>
      </c>
      <c r="C135" s="48">
        <v>109.9</v>
      </c>
      <c r="D135" s="48">
        <v>93.2</v>
      </c>
      <c r="E135" s="48">
        <v>107.7</v>
      </c>
    </row>
    <row r="136">
      <c r="A136" s="46" t="s">
        <v>17</v>
      </c>
      <c r="B136" s="46" t="s">
        <v>15</v>
      </c>
      <c r="C136" s="48">
        <v>129.5</v>
      </c>
      <c r="D136" s="49"/>
      <c r="E136" s="48">
        <v>129.5</v>
      </c>
    </row>
    <row r="137">
      <c r="A137" s="46" t="s">
        <v>17</v>
      </c>
      <c r="B137" s="46" t="s">
        <v>15</v>
      </c>
      <c r="C137" s="48">
        <v>96.3</v>
      </c>
      <c r="D137" s="49"/>
      <c r="E137" s="48">
        <v>96.3</v>
      </c>
    </row>
    <row r="138">
      <c r="A138" s="46" t="s">
        <v>17</v>
      </c>
      <c r="B138" s="46" t="s">
        <v>15</v>
      </c>
      <c r="C138" s="48">
        <v>137.7</v>
      </c>
      <c r="D138" s="49"/>
      <c r="E138" s="48">
        <v>137.7</v>
      </c>
    </row>
    <row r="139">
      <c r="A139" s="46" t="s">
        <v>17</v>
      </c>
      <c r="B139" s="46" t="s">
        <v>15</v>
      </c>
      <c r="C139" s="48">
        <v>114.3</v>
      </c>
      <c r="D139" s="49"/>
      <c r="E139" s="48">
        <v>114.3</v>
      </c>
    </row>
    <row r="140">
      <c r="A140" s="46" t="s">
        <v>17</v>
      </c>
      <c r="B140" s="46" t="s">
        <v>14</v>
      </c>
      <c r="C140" s="48">
        <v>113.3</v>
      </c>
      <c r="D140" s="48">
        <v>92.9</v>
      </c>
      <c r="E140" s="48">
        <v>108.9</v>
      </c>
    </row>
    <row r="141">
      <c r="A141" s="46" t="s">
        <v>17</v>
      </c>
      <c r="B141" s="46" t="s">
        <v>14</v>
      </c>
      <c r="C141" s="48">
        <v>116.0</v>
      </c>
      <c r="D141" s="48">
        <v>104.4</v>
      </c>
      <c r="E141" s="48">
        <v>114.7</v>
      </c>
    </row>
    <row r="142">
      <c r="A142" s="46" t="s">
        <v>17</v>
      </c>
      <c r="B142" s="46" t="s">
        <v>14</v>
      </c>
      <c r="C142" s="48">
        <v>129.2</v>
      </c>
      <c r="D142" s="48">
        <v>105.5</v>
      </c>
      <c r="E142" s="48">
        <v>124.6</v>
      </c>
    </row>
    <row r="143">
      <c r="A143" s="46" t="s">
        <v>17</v>
      </c>
      <c r="B143" s="46" t="s">
        <v>13</v>
      </c>
      <c r="C143" s="49"/>
      <c r="D143" s="48">
        <v>94.1</v>
      </c>
      <c r="E143" s="48">
        <v>94.1</v>
      </c>
    </row>
    <row r="144">
      <c r="A144" s="46" t="s">
        <v>17</v>
      </c>
      <c r="B144" s="46" t="s">
        <v>15</v>
      </c>
      <c r="C144" s="48">
        <v>128.3</v>
      </c>
      <c r="D144" s="49"/>
      <c r="E144" s="48">
        <v>128.3</v>
      </c>
    </row>
    <row r="145">
      <c r="A145" s="46" t="s">
        <v>17</v>
      </c>
      <c r="B145" s="46" t="s">
        <v>15</v>
      </c>
      <c r="C145" s="48">
        <v>126.4</v>
      </c>
      <c r="D145" s="49"/>
      <c r="E145" s="48">
        <v>126.4</v>
      </c>
    </row>
    <row r="146">
      <c r="A146" s="46" t="s">
        <v>17</v>
      </c>
      <c r="B146" s="46" t="s">
        <v>15</v>
      </c>
      <c r="C146" s="48">
        <v>108.3</v>
      </c>
      <c r="D146" s="49"/>
      <c r="E146" s="48">
        <v>108.3</v>
      </c>
    </row>
    <row r="147">
      <c r="A147" s="46" t="s">
        <v>17</v>
      </c>
      <c r="B147" s="46" t="s">
        <v>13</v>
      </c>
      <c r="C147" s="49"/>
      <c r="D147" s="48">
        <v>95.0</v>
      </c>
      <c r="E147" s="48">
        <v>95.0</v>
      </c>
    </row>
    <row r="148">
      <c r="A148" s="46" t="s">
        <v>17</v>
      </c>
      <c r="B148" s="46" t="s">
        <v>14</v>
      </c>
      <c r="C148" s="48">
        <v>128.0</v>
      </c>
      <c r="D148" s="48">
        <v>104.3</v>
      </c>
      <c r="E148" s="48">
        <v>125.4</v>
      </c>
    </row>
    <row r="149">
      <c r="A149" s="46" t="s">
        <v>17</v>
      </c>
      <c r="B149" s="46" t="s">
        <v>14</v>
      </c>
      <c r="C149" s="48">
        <v>102.0</v>
      </c>
      <c r="D149" s="48">
        <v>93.5</v>
      </c>
      <c r="E149" s="48">
        <v>94.8</v>
      </c>
    </row>
    <row r="150">
      <c r="A150" s="46" t="s">
        <v>17</v>
      </c>
      <c r="B150" s="46" t="s">
        <v>15</v>
      </c>
      <c r="C150" s="48">
        <v>130.3</v>
      </c>
      <c r="D150" s="49"/>
      <c r="E150" s="48">
        <v>130.3</v>
      </c>
    </row>
    <row r="151">
      <c r="A151" s="46" t="s">
        <v>17</v>
      </c>
      <c r="B151" s="46" t="s">
        <v>13</v>
      </c>
      <c r="C151" s="49"/>
      <c r="D151" s="48">
        <v>104.3</v>
      </c>
      <c r="E151" s="48">
        <v>104.3</v>
      </c>
    </row>
    <row r="152">
      <c r="A152" s="46" t="s">
        <v>17</v>
      </c>
      <c r="B152" s="46" t="s">
        <v>15</v>
      </c>
      <c r="C152" s="48">
        <v>118.8</v>
      </c>
      <c r="D152" s="49"/>
      <c r="E152" s="48">
        <v>118.8</v>
      </c>
    </row>
    <row r="153">
      <c r="A153" s="46" t="s">
        <v>17</v>
      </c>
      <c r="B153" s="46" t="s">
        <v>15</v>
      </c>
      <c r="C153" s="48">
        <v>127.0</v>
      </c>
      <c r="D153" s="49"/>
      <c r="E153" s="48">
        <v>127.0</v>
      </c>
    </row>
    <row r="154">
      <c r="A154" s="46" t="s">
        <v>17</v>
      </c>
      <c r="B154" s="46" t="s">
        <v>15</v>
      </c>
      <c r="C154" s="48">
        <v>132.7</v>
      </c>
      <c r="D154" s="49"/>
      <c r="E154" s="48">
        <v>132.7</v>
      </c>
    </row>
    <row r="155">
      <c r="A155" s="46" t="s">
        <v>17</v>
      </c>
      <c r="B155" s="46" t="s">
        <v>15</v>
      </c>
      <c r="C155" s="48">
        <v>138.0</v>
      </c>
      <c r="D155" s="49"/>
      <c r="E155" s="48">
        <v>138.0</v>
      </c>
    </row>
    <row r="156">
      <c r="A156" s="46" t="s">
        <v>17</v>
      </c>
      <c r="B156" s="46" t="s">
        <v>15</v>
      </c>
      <c r="C156" s="48">
        <v>120.9</v>
      </c>
      <c r="D156" s="49"/>
      <c r="E156" s="48">
        <v>120.9</v>
      </c>
    </row>
    <row r="157">
      <c r="A157" s="46" t="s">
        <v>17</v>
      </c>
      <c r="B157" s="46" t="s">
        <v>13</v>
      </c>
      <c r="C157" s="49"/>
      <c r="D157" s="48">
        <v>106.1</v>
      </c>
      <c r="E157" s="48">
        <v>106.1</v>
      </c>
    </row>
    <row r="158">
      <c r="A158" s="46" t="s">
        <v>17</v>
      </c>
      <c r="B158" s="46" t="s">
        <v>13</v>
      </c>
      <c r="C158" s="49"/>
      <c r="D158" s="48">
        <v>100.0</v>
      </c>
      <c r="E158" s="48">
        <v>100.0</v>
      </c>
    </row>
    <row r="159">
      <c r="A159" s="46" t="s">
        <v>17</v>
      </c>
      <c r="B159" s="46" t="s">
        <v>13</v>
      </c>
      <c r="C159" s="49"/>
      <c r="D159" s="48">
        <v>85.1</v>
      </c>
      <c r="E159" s="48">
        <v>85.1</v>
      </c>
    </row>
    <row r="160">
      <c r="A160" s="46" t="s">
        <v>17</v>
      </c>
      <c r="B160" s="46" t="s">
        <v>13</v>
      </c>
      <c r="C160" s="49"/>
      <c r="D160" s="48">
        <v>75.9</v>
      </c>
      <c r="E160" s="48">
        <v>75.9</v>
      </c>
    </row>
    <row r="161">
      <c r="A161" s="46" t="s">
        <v>17</v>
      </c>
      <c r="B161" s="46" t="s">
        <v>13</v>
      </c>
      <c r="C161" s="49"/>
      <c r="D161" s="48">
        <v>92.8</v>
      </c>
      <c r="E161" s="48">
        <v>92.8</v>
      </c>
    </row>
    <row r="162">
      <c r="A162" s="46" t="s">
        <v>17</v>
      </c>
      <c r="B162" s="46" t="s">
        <v>15</v>
      </c>
      <c r="C162" s="48">
        <v>113.8</v>
      </c>
      <c r="D162" s="49"/>
      <c r="E162" s="48">
        <v>113.8</v>
      </c>
    </row>
    <row r="163">
      <c r="A163" s="46" t="s">
        <v>17</v>
      </c>
      <c r="B163" s="46" t="s">
        <v>13</v>
      </c>
      <c r="C163" s="49"/>
      <c r="D163" s="48">
        <v>120.8</v>
      </c>
      <c r="E163" s="48">
        <v>120.8</v>
      </c>
    </row>
    <row r="164">
      <c r="A164" s="46" t="s">
        <v>17</v>
      </c>
      <c r="B164" s="46" t="s">
        <v>15</v>
      </c>
      <c r="C164" s="48">
        <v>71.0</v>
      </c>
      <c r="D164" s="49"/>
      <c r="E164" s="48">
        <v>71.0</v>
      </c>
    </row>
    <row r="165">
      <c r="A165" s="46" t="s">
        <v>17</v>
      </c>
      <c r="B165" s="46" t="s">
        <v>15</v>
      </c>
      <c r="C165" s="48">
        <v>140.6</v>
      </c>
      <c r="D165" s="49"/>
      <c r="E165" s="48">
        <v>140.6</v>
      </c>
    </row>
    <row r="166">
      <c r="A166" s="46" t="s">
        <v>17</v>
      </c>
      <c r="B166" s="46" t="s">
        <v>13</v>
      </c>
      <c r="C166" s="49"/>
      <c r="D166" s="48">
        <v>100.1</v>
      </c>
      <c r="E166" s="48">
        <v>100.1</v>
      </c>
    </row>
    <row r="167">
      <c r="A167" s="46" t="s">
        <v>17</v>
      </c>
      <c r="B167" s="46" t="s">
        <v>13</v>
      </c>
      <c r="C167" s="49"/>
      <c r="D167" s="48">
        <v>95.4</v>
      </c>
      <c r="E167" s="48">
        <v>95.4</v>
      </c>
    </row>
    <row r="168">
      <c r="A168" s="46" t="s">
        <v>17</v>
      </c>
      <c r="B168" s="46" t="s">
        <v>15</v>
      </c>
      <c r="C168" s="48">
        <v>137.0</v>
      </c>
      <c r="D168" s="49"/>
      <c r="E168" s="48">
        <v>137.0</v>
      </c>
    </row>
    <row r="169">
      <c r="A169" s="46" t="s">
        <v>17</v>
      </c>
      <c r="B169" s="46" t="s">
        <v>15</v>
      </c>
      <c r="C169" s="48">
        <v>124.0</v>
      </c>
      <c r="D169" s="49"/>
      <c r="E169" s="48">
        <v>124.0</v>
      </c>
    </row>
    <row r="170">
      <c r="A170" s="46" t="s">
        <v>17</v>
      </c>
      <c r="B170" s="46" t="s">
        <v>13</v>
      </c>
      <c r="C170" s="49"/>
      <c r="D170" s="48">
        <v>97.5</v>
      </c>
      <c r="E170" s="48">
        <v>97.5</v>
      </c>
    </row>
    <row r="171">
      <c r="A171" s="46" t="s">
        <v>17</v>
      </c>
      <c r="B171" s="46" t="s">
        <v>15</v>
      </c>
      <c r="C171" s="48">
        <v>149.8</v>
      </c>
      <c r="D171" s="49"/>
      <c r="E171" s="48">
        <v>149.8</v>
      </c>
    </row>
    <row r="172">
      <c r="A172" s="46" t="s">
        <v>17</v>
      </c>
      <c r="B172" s="46" t="s">
        <v>15</v>
      </c>
      <c r="C172" s="48">
        <v>118.9</v>
      </c>
      <c r="D172" s="49"/>
      <c r="E172" s="48">
        <v>118.9</v>
      </c>
    </row>
    <row r="173">
      <c r="A173" s="46" t="s">
        <v>17</v>
      </c>
      <c r="B173" s="46" t="s">
        <v>15</v>
      </c>
      <c r="C173" s="48">
        <v>84.8</v>
      </c>
      <c r="D173" s="49"/>
      <c r="E173" s="48">
        <v>84.8</v>
      </c>
    </row>
    <row r="174">
      <c r="A174" s="46" t="s">
        <v>17</v>
      </c>
      <c r="B174" s="46" t="s">
        <v>15</v>
      </c>
      <c r="C174" s="48">
        <v>145.8</v>
      </c>
      <c r="D174" s="49"/>
      <c r="E174" s="48">
        <v>145.8</v>
      </c>
    </row>
    <row r="175">
      <c r="A175" s="46" t="s">
        <v>17</v>
      </c>
      <c r="B175" s="46" t="s">
        <v>15</v>
      </c>
      <c r="C175" s="48">
        <v>134.5</v>
      </c>
      <c r="D175" s="49"/>
      <c r="E175" s="48">
        <v>134.5</v>
      </c>
    </row>
    <row r="176">
      <c r="A176" s="46" t="s">
        <v>17</v>
      </c>
      <c r="B176" s="46" t="s">
        <v>15</v>
      </c>
      <c r="C176" s="48">
        <v>136.0</v>
      </c>
      <c r="D176" s="49"/>
      <c r="E176" s="48">
        <v>136.0</v>
      </c>
    </row>
    <row r="177">
      <c r="A177" s="46" t="s">
        <v>17</v>
      </c>
      <c r="B177" s="46" t="s">
        <v>15</v>
      </c>
      <c r="C177" s="48">
        <v>142.9</v>
      </c>
      <c r="D177" s="49"/>
      <c r="E177" s="48">
        <v>142.9</v>
      </c>
    </row>
    <row r="178">
      <c r="A178" s="46" t="s">
        <v>17</v>
      </c>
      <c r="B178" s="46" t="s">
        <v>15</v>
      </c>
      <c r="C178" s="48">
        <v>146.1</v>
      </c>
      <c r="D178" s="49"/>
      <c r="E178" s="48">
        <v>146.1</v>
      </c>
    </row>
    <row r="179">
      <c r="A179" s="46" t="s">
        <v>17</v>
      </c>
      <c r="B179" s="46" t="s">
        <v>15</v>
      </c>
      <c r="C179" s="48">
        <v>153.0</v>
      </c>
      <c r="D179" s="49"/>
      <c r="E179" s="48">
        <v>153.0</v>
      </c>
    </row>
    <row r="180">
      <c r="A180" s="46" t="s">
        <v>17</v>
      </c>
      <c r="B180" s="46" t="s">
        <v>15</v>
      </c>
      <c r="C180" s="48">
        <v>130.2</v>
      </c>
      <c r="D180" s="49"/>
      <c r="E180" s="48">
        <v>130.2</v>
      </c>
    </row>
    <row r="181">
      <c r="A181" s="46" t="s">
        <v>17</v>
      </c>
      <c r="B181" s="46" t="s">
        <v>14</v>
      </c>
      <c r="C181" s="48">
        <v>122.0</v>
      </c>
      <c r="D181" s="48">
        <v>100.8</v>
      </c>
      <c r="E181" s="48">
        <v>108.2</v>
      </c>
    </row>
    <row r="182">
      <c r="A182" s="46" t="s">
        <v>17</v>
      </c>
      <c r="B182" s="46" t="s">
        <v>13</v>
      </c>
      <c r="C182" s="49"/>
      <c r="D182" s="48">
        <v>94.0</v>
      </c>
      <c r="E182" s="48">
        <v>94.0</v>
      </c>
    </row>
    <row r="183">
      <c r="A183" s="46" t="s">
        <v>17</v>
      </c>
      <c r="B183" s="46" t="s">
        <v>15</v>
      </c>
      <c r="C183" s="48">
        <v>124.4</v>
      </c>
      <c r="D183" s="49"/>
      <c r="E183" s="48">
        <v>124.4</v>
      </c>
    </row>
    <row r="184">
      <c r="A184" s="46" t="s">
        <v>17</v>
      </c>
      <c r="B184" s="46" t="s">
        <v>15</v>
      </c>
      <c r="C184" s="48">
        <v>121.3</v>
      </c>
      <c r="D184" s="49"/>
      <c r="E184" s="48">
        <v>121.3</v>
      </c>
    </row>
    <row r="185">
      <c r="A185" s="46" t="s">
        <v>17</v>
      </c>
      <c r="B185" s="46" t="s">
        <v>15</v>
      </c>
      <c r="C185" s="48">
        <v>138.8</v>
      </c>
      <c r="D185" s="49"/>
      <c r="E185" s="48">
        <v>138.8</v>
      </c>
    </row>
    <row r="186">
      <c r="A186" s="46" t="s">
        <v>17</v>
      </c>
      <c r="B186" s="46" t="s">
        <v>15</v>
      </c>
      <c r="C186" s="48">
        <v>135.5</v>
      </c>
      <c r="D186" s="49"/>
      <c r="E186" s="48">
        <v>135.5</v>
      </c>
    </row>
    <row r="187">
      <c r="A187" s="46" t="s">
        <v>17</v>
      </c>
      <c r="B187" s="46" t="s">
        <v>14</v>
      </c>
      <c r="C187" s="48">
        <v>108.4</v>
      </c>
      <c r="D187" s="48">
        <v>90.4</v>
      </c>
      <c r="E187" s="48">
        <v>94.1</v>
      </c>
    </row>
    <row r="188">
      <c r="A188" s="46" t="s">
        <v>17</v>
      </c>
      <c r="B188" s="46" t="s">
        <v>14</v>
      </c>
      <c r="C188" s="48">
        <v>114.1</v>
      </c>
      <c r="D188" s="48">
        <v>108.4</v>
      </c>
      <c r="E188" s="48">
        <v>109.5</v>
      </c>
    </row>
    <row r="189">
      <c r="A189" s="46" t="s">
        <v>17</v>
      </c>
      <c r="B189" s="46" t="s">
        <v>13</v>
      </c>
      <c r="C189" s="49"/>
      <c r="D189" s="48">
        <v>131.3</v>
      </c>
      <c r="E189" s="48">
        <v>131.3</v>
      </c>
    </row>
    <row r="190">
      <c r="A190" s="46" t="s">
        <v>17</v>
      </c>
      <c r="B190" s="46" t="s">
        <v>15</v>
      </c>
      <c r="C190" s="48">
        <v>150.5</v>
      </c>
      <c r="D190" s="49"/>
      <c r="E190" s="48">
        <v>150.5</v>
      </c>
    </row>
    <row r="191">
      <c r="A191" s="46" t="s">
        <v>17</v>
      </c>
      <c r="B191" s="46" t="s">
        <v>15</v>
      </c>
      <c r="C191" s="48">
        <v>147.3</v>
      </c>
      <c r="D191" s="49"/>
      <c r="E191" s="48">
        <v>147.3</v>
      </c>
    </row>
    <row r="192">
      <c r="A192" s="46" t="s">
        <v>17</v>
      </c>
      <c r="B192" s="46" t="s">
        <v>15</v>
      </c>
      <c r="C192" s="48">
        <v>106.1</v>
      </c>
      <c r="D192" s="49"/>
      <c r="E192" s="48">
        <v>106.1</v>
      </c>
    </row>
    <row r="193">
      <c r="A193" s="46" t="s">
        <v>17</v>
      </c>
      <c r="B193" s="46" t="s">
        <v>14</v>
      </c>
      <c r="C193" s="48">
        <v>125.9</v>
      </c>
      <c r="D193" s="48">
        <v>102.6</v>
      </c>
      <c r="E193" s="48">
        <v>119.2</v>
      </c>
    </row>
    <row r="194">
      <c r="A194" s="46" t="s">
        <v>17</v>
      </c>
      <c r="B194" s="46" t="s">
        <v>15</v>
      </c>
      <c r="C194" s="48">
        <v>109.7</v>
      </c>
      <c r="D194" s="49"/>
      <c r="E194" s="48">
        <v>109.7</v>
      </c>
    </row>
    <row r="195">
      <c r="A195" s="46" t="s">
        <v>17</v>
      </c>
      <c r="B195" s="46" t="s">
        <v>13</v>
      </c>
      <c r="C195" s="49"/>
      <c r="D195" s="48">
        <v>89.8</v>
      </c>
      <c r="E195" s="48">
        <v>89.8</v>
      </c>
    </row>
    <row r="196">
      <c r="A196" s="46" t="s">
        <v>17</v>
      </c>
      <c r="B196" s="46" t="s">
        <v>15</v>
      </c>
      <c r="C196" s="48">
        <v>127.6</v>
      </c>
      <c r="D196" s="49"/>
      <c r="E196" s="48">
        <v>127.6</v>
      </c>
    </row>
    <row r="197">
      <c r="A197" s="46" t="s">
        <v>17</v>
      </c>
      <c r="B197" s="46" t="s">
        <v>15</v>
      </c>
      <c r="C197" s="48">
        <v>120.0</v>
      </c>
      <c r="D197" s="49"/>
      <c r="E197" s="48">
        <v>120.0</v>
      </c>
    </row>
    <row r="198">
      <c r="A198" s="46" t="s">
        <v>17</v>
      </c>
      <c r="B198" s="46" t="s">
        <v>15</v>
      </c>
      <c r="C198" s="48">
        <v>118.1</v>
      </c>
      <c r="D198" s="49"/>
      <c r="E198" s="48">
        <v>118.1</v>
      </c>
    </row>
    <row r="199">
      <c r="A199" s="46" t="s">
        <v>17</v>
      </c>
      <c r="B199" s="46" t="s">
        <v>15</v>
      </c>
      <c r="C199" s="48">
        <v>101.7</v>
      </c>
      <c r="D199" s="49"/>
      <c r="E199" s="48">
        <v>101.7</v>
      </c>
    </row>
    <row r="200">
      <c r="A200" s="46" t="s">
        <v>17</v>
      </c>
      <c r="B200" s="46" t="s">
        <v>13</v>
      </c>
      <c r="C200" s="49"/>
      <c r="D200" s="48">
        <v>87.7</v>
      </c>
      <c r="E200" s="48">
        <v>87.7</v>
      </c>
    </row>
    <row r="201">
      <c r="A201" s="46" t="s">
        <v>17</v>
      </c>
      <c r="B201" s="46" t="s">
        <v>13</v>
      </c>
      <c r="C201" s="49"/>
      <c r="D201" s="48">
        <v>93.1</v>
      </c>
      <c r="E201" s="48">
        <v>93.1</v>
      </c>
    </row>
    <row r="202">
      <c r="A202" s="46" t="s">
        <v>17</v>
      </c>
      <c r="B202" s="46" t="s">
        <v>15</v>
      </c>
      <c r="C202" s="48">
        <v>125.4</v>
      </c>
      <c r="D202" s="49"/>
      <c r="E202" s="48">
        <v>125.4</v>
      </c>
    </row>
    <row r="203">
      <c r="A203" s="46" t="s">
        <v>17</v>
      </c>
      <c r="B203" s="46" t="s">
        <v>15</v>
      </c>
      <c r="C203" s="48">
        <v>115.8</v>
      </c>
      <c r="D203" s="49"/>
      <c r="E203" s="48">
        <v>115.8</v>
      </c>
    </row>
    <row r="204">
      <c r="A204" s="46" t="s">
        <v>17</v>
      </c>
      <c r="B204" s="46" t="s">
        <v>14</v>
      </c>
      <c r="C204" s="48">
        <v>110.3</v>
      </c>
      <c r="D204" s="48">
        <v>105.7</v>
      </c>
      <c r="E204" s="48">
        <v>109.5</v>
      </c>
    </row>
    <row r="205">
      <c r="A205" s="46" t="s">
        <v>17</v>
      </c>
      <c r="B205" s="46" t="s">
        <v>15</v>
      </c>
      <c r="C205" s="48">
        <v>103.0</v>
      </c>
      <c r="D205" s="49"/>
      <c r="E205" s="48">
        <v>103.0</v>
      </c>
    </row>
    <row r="206">
      <c r="A206" s="46" t="s">
        <v>17</v>
      </c>
      <c r="B206" s="46" t="s">
        <v>14</v>
      </c>
      <c r="C206" s="48">
        <v>118.7</v>
      </c>
      <c r="D206" s="48">
        <v>105.1</v>
      </c>
      <c r="E206" s="48">
        <v>113.9</v>
      </c>
    </row>
    <row r="207">
      <c r="A207" s="46" t="s">
        <v>17</v>
      </c>
      <c r="B207" s="46" t="s">
        <v>15</v>
      </c>
      <c r="C207" s="48">
        <v>126.0</v>
      </c>
      <c r="D207" s="49"/>
      <c r="E207" s="48">
        <v>126.0</v>
      </c>
    </row>
    <row r="208">
      <c r="A208" s="46" t="s">
        <v>17</v>
      </c>
      <c r="B208" s="46" t="s">
        <v>13</v>
      </c>
      <c r="C208" s="49"/>
      <c r="D208" s="48">
        <v>83.7</v>
      </c>
      <c r="E208" s="48">
        <v>83.7</v>
      </c>
    </row>
    <row r="209">
      <c r="A209" s="46" t="s">
        <v>17</v>
      </c>
      <c r="B209" s="46" t="s">
        <v>13</v>
      </c>
      <c r="C209" s="49"/>
      <c r="D209" s="48">
        <v>105.3</v>
      </c>
      <c r="E209" s="48">
        <v>105.3</v>
      </c>
    </row>
    <row r="210">
      <c r="A210" s="46" t="s">
        <v>17</v>
      </c>
      <c r="B210" s="46" t="s">
        <v>13</v>
      </c>
      <c r="C210" s="49"/>
      <c r="D210" s="48">
        <v>80.6</v>
      </c>
      <c r="E210" s="48">
        <v>80.6</v>
      </c>
    </row>
    <row r="211">
      <c r="A211" s="46" t="s">
        <v>17</v>
      </c>
      <c r="B211" s="46" t="s">
        <v>13</v>
      </c>
      <c r="C211" s="49"/>
      <c r="D211" s="48">
        <v>78.0</v>
      </c>
      <c r="E211" s="48">
        <v>78.0</v>
      </c>
    </row>
    <row r="212">
      <c r="A212" s="46" t="s">
        <v>17</v>
      </c>
      <c r="B212" s="46" t="s">
        <v>14</v>
      </c>
      <c r="C212" s="48">
        <v>107.0</v>
      </c>
      <c r="D212" s="48">
        <v>89.0</v>
      </c>
      <c r="E212" s="48">
        <v>99.7</v>
      </c>
    </row>
    <row r="213">
      <c r="A213" s="46" t="s">
        <v>17</v>
      </c>
      <c r="B213" s="46" t="s">
        <v>14</v>
      </c>
      <c r="C213" s="48">
        <v>117.2</v>
      </c>
      <c r="D213" s="48">
        <v>94.0</v>
      </c>
      <c r="E213" s="48">
        <v>112.1</v>
      </c>
    </row>
    <row r="214">
      <c r="A214" s="46" t="s">
        <v>17</v>
      </c>
      <c r="B214" s="46" t="s">
        <v>13</v>
      </c>
      <c r="C214" s="49"/>
      <c r="D214" s="48">
        <v>105.3</v>
      </c>
      <c r="E214" s="48">
        <v>105.3</v>
      </c>
    </row>
    <row r="215">
      <c r="A215" s="46" t="s">
        <v>17</v>
      </c>
      <c r="B215" s="46" t="s">
        <v>15</v>
      </c>
      <c r="C215" s="48">
        <v>143.0</v>
      </c>
      <c r="D215" s="49"/>
      <c r="E215" s="48">
        <v>143.0</v>
      </c>
    </row>
    <row r="216">
      <c r="A216" s="46" t="s">
        <v>17</v>
      </c>
      <c r="B216" s="46" t="s">
        <v>14</v>
      </c>
      <c r="C216" s="48">
        <v>137.8</v>
      </c>
      <c r="D216" s="48">
        <v>117.8</v>
      </c>
      <c r="E216" s="48">
        <v>130.4</v>
      </c>
    </row>
    <row r="217">
      <c r="A217" s="46" t="s">
        <v>17</v>
      </c>
      <c r="B217" s="46" t="s">
        <v>15</v>
      </c>
      <c r="C217" s="48">
        <v>134.1</v>
      </c>
      <c r="D217" s="49"/>
      <c r="E217" s="48">
        <v>134.1</v>
      </c>
    </row>
    <row r="218">
      <c r="A218" s="46" t="s">
        <v>17</v>
      </c>
      <c r="B218" s="46" t="s">
        <v>15</v>
      </c>
      <c r="C218" s="48">
        <v>148.4</v>
      </c>
      <c r="D218" s="49"/>
      <c r="E218" s="48">
        <v>148.4</v>
      </c>
    </row>
    <row r="219">
      <c r="A219" s="46" t="s">
        <v>17</v>
      </c>
      <c r="B219" s="46" t="s">
        <v>15</v>
      </c>
      <c r="C219" s="48">
        <v>151.3</v>
      </c>
      <c r="D219" s="49"/>
      <c r="E219" s="48">
        <v>151.3</v>
      </c>
    </row>
    <row r="220">
      <c r="A220" s="46" t="s">
        <v>17</v>
      </c>
      <c r="B220" s="46" t="s">
        <v>15</v>
      </c>
      <c r="C220" s="48">
        <v>152.1</v>
      </c>
      <c r="D220" s="49"/>
      <c r="E220" s="48">
        <v>152.1</v>
      </c>
    </row>
    <row r="221">
      <c r="A221" s="46" t="s">
        <v>17</v>
      </c>
      <c r="B221" s="46" t="s">
        <v>14</v>
      </c>
      <c r="C221" s="48">
        <v>144.0</v>
      </c>
      <c r="D221" s="48">
        <v>123.7</v>
      </c>
      <c r="E221" s="48">
        <v>140.1</v>
      </c>
    </row>
    <row r="222">
      <c r="A222" s="46" t="s">
        <v>17</v>
      </c>
      <c r="B222" s="46" t="s">
        <v>15</v>
      </c>
      <c r="C222" s="48">
        <v>138.3</v>
      </c>
      <c r="D222" s="49"/>
      <c r="E222" s="48">
        <v>138.3</v>
      </c>
    </row>
    <row r="223">
      <c r="A223" s="46" t="s">
        <v>17</v>
      </c>
      <c r="B223" s="46" t="s">
        <v>13</v>
      </c>
      <c r="C223" s="49"/>
      <c r="D223" s="48">
        <v>120.1</v>
      </c>
      <c r="E223" s="48">
        <v>120.1</v>
      </c>
    </row>
    <row r="224">
      <c r="A224" s="46" t="s">
        <v>17</v>
      </c>
      <c r="B224" s="46" t="s">
        <v>15</v>
      </c>
      <c r="C224" s="48">
        <v>145.4</v>
      </c>
      <c r="D224" s="49"/>
      <c r="E224" s="48">
        <v>145.4</v>
      </c>
    </row>
    <row r="225">
      <c r="A225" s="46" t="s">
        <v>17</v>
      </c>
      <c r="B225" s="46" t="s">
        <v>13</v>
      </c>
      <c r="C225" s="49"/>
      <c r="D225" s="48">
        <v>108.2</v>
      </c>
      <c r="E225" s="48">
        <v>108.2</v>
      </c>
    </row>
    <row r="226">
      <c r="A226" s="46" t="s">
        <v>17</v>
      </c>
      <c r="B226" s="46" t="s">
        <v>15</v>
      </c>
      <c r="C226" s="48">
        <v>98.0</v>
      </c>
      <c r="D226" s="49"/>
      <c r="E226" s="48">
        <v>98.0</v>
      </c>
    </row>
    <row r="227">
      <c r="A227" s="46" t="s">
        <v>17</v>
      </c>
      <c r="B227" s="46" t="s">
        <v>15</v>
      </c>
      <c r="C227" s="48">
        <v>129.9</v>
      </c>
      <c r="D227" s="49"/>
      <c r="E227" s="48">
        <v>129.9</v>
      </c>
    </row>
    <row r="228">
      <c r="A228" s="46" t="s">
        <v>17</v>
      </c>
      <c r="B228" s="46" t="s">
        <v>15</v>
      </c>
      <c r="C228" s="48">
        <v>135.9</v>
      </c>
      <c r="D228" s="49"/>
      <c r="E228" s="48">
        <v>135.9</v>
      </c>
    </row>
    <row r="229">
      <c r="A229" s="46" t="s">
        <v>17</v>
      </c>
      <c r="B229" s="46" t="s">
        <v>15</v>
      </c>
      <c r="C229" s="48">
        <v>140.1</v>
      </c>
      <c r="D229" s="49"/>
      <c r="E229" s="48">
        <v>140.1</v>
      </c>
    </row>
    <row r="230">
      <c r="A230" s="46" t="s">
        <v>17</v>
      </c>
      <c r="B230" s="46" t="s">
        <v>15</v>
      </c>
      <c r="C230" s="48">
        <v>114.0</v>
      </c>
      <c r="D230" s="49"/>
      <c r="E230" s="48">
        <v>114.0</v>
      </c>
    </row>
    <row r="231">
      <c r="A231" s="46" t="s">
        <v>17</v>
      </c>
      <c r="B231" s="46" t="s">
        <v>15</v>
      </c>
      <c r="C231" s="48">
        <v>113.6</v>
      </c>
      <c r="D231" s="49"/>
      <c r="E231" s="48">
        <v>113.6</v>
      </c>
    </row>
    <row r="232">
      <c r="A232" s="46" t="s">
        <v>17</v>
      </c>
      <c r="B232" s="46" t="s">
        <v>15</v>
      </c>
      <c r="C232" s="48">
        <v>106.2</v>
      </c>
      <c r="D232" s="49"/>
      <c r="E232" s="48">
        <v>106.2</v>
      </c>
    </row>
    <row r="233">
      <c r="A233" s="46" t="s">
        <v>17</v>
      </c>
      <c r="B233" s="46" t="s">
        <v>13</v>
      </c>
      <c r="C233" s="49"/>
      <c r="D233" s="48">
        <v>106.8</v>
      </c>
      <c r="E233" s="48">
        <v>106.8</v>
      </c>
    </row>
    <row r="234">
      <c r="A234" s="46" t="s">
        <v>17</v>
      </c>
      <c r="B234" s="46" t="s">
        <v>13</v>
      </c>
      <c r="C234" s="49"/>
      <c r="D234" s="48">
        <v>85.3</v>
      </c>
      <c r="E234" s="48">
        <v>85.3</v>
      </c>
    </row>
    <row r="235">
      <c r="A235" s="46" t="s">
        <v>17</v>
      </c>
      <c r="B235" s="46" t="s">
        <v>15</v>
      </c>
      <c r="C235" s="48">
        <v>149.2</v>
      </c>
      <c r="D235" s="49"/>
      <c r="E235" s="48">
        <v>149.2</v>
      </c>
    </row>
    <row r="236">
      <c r="A236" s="46" t="s">
        <v>17</v>
      </c>
      <c r="B236" s="46" t="s">
        <v>15</v>
      </c>
      <c r="C236" s="48">
        <v>108.8</v>
      </c>
      <c r="D236" s="49"/>
      <c r="E236" s="48">
        <v>108.8</v>
      </c>
    </row>
    <row r="237">
      <c r="A237" s="46" t="s">
        <v>17</v>
      </c>
      <c r="B237" s="46" t="s">
        <v>15</v>
      </c>
      <c r="C237" s="48">
        <v>141.0</v>
      </c>
      <c r="D237" s="49"/>
      <c r="E237" s="48">
        <v>141.0</v>
      </c>
    </row>
    <row r="238">
      <c r="A238" s="46" t="s">
        <v>17</v>
      </c>
      <c r="B238" s="46" t="s">
        <v>14</v>
      </c>
      <c r="C238" s="48">
        <v>140.7</v>
      </c>
      <c r="D238" s="48">
        <v>110.5</v>
      </c>
      <c r="E238" s="48">
        <v>138.5</v>
      </c>
    </row>
    <row r="239">
      <c r="A239" s="46" t="s">
        <v>17</v>
      </c>
      <c r="B239" s="46" t="s">
        <v>13</v>
      </c>
      <c r="C239" s="49"/>
      <c r="D239" s="48">
        <v>96.1</v>
      </c>
      <c r="E239" s="48">
        <v>96.1</v>
      </c>
    </row>
    <row r="240">
      <c r="A240" s="46" t="s">
        <v>17</v>
      </c>
      <c r="B240" s="46" t="s">
        <v>14</v>
      </c>
      <c r="C240" s="48">
        <v>143.2</v>
      </c>
      <c r="D240" s="48">
        <v>125.7</v>
      </c>
      <c r="E240" s="48">
        <v>140.1</v>
      </c>
    </row>
    <row r="241">
      <c r="A241" s="46" t="s">
        <v>17</v>
      </c>
      <c r="B241" s="46" t="s">
        <v>15</v>
      </c>
      <c r="C241" s="48">
        <v>125.3</v>
      </c>
      <c r="D241" s="49"/>
      <c r="E241" s="48">
        <v>125.3</v>
      </c>
    </row>
    <row r="242">
      <c r="A242" s="46" t="s">
        <v>17</v>
      </c>
      <c r="B242" s="46" t="s">
        <v>14</v>
      </c>
      <c r="C242" s="48">
        <v>106.6</v>
      </c>
      <c r="D242" s="48">
        <v>79.6</v>
      </c>
      <c r="E242" s="48">
        <v>100.9</v>
      </c>
    </row>
    <row r="243">
      <c r="A243" s="46" t="s">
        <v>17</v>
      </c>
      <c r="B243" s="46" t="s">
        <v>13</v>
      </c>
      <c r="C243" s="49"/>
      <c r="D243" s="48">
        <v>74.3</v>
      </c>
      <c r="E243" s="48">
        <v>74.3</v>
      </c>
    </row>
    <row r="244">
      <c r="A244" s="46" t="s">
        <v>17</v>
      </c>
      <c r="B244" s="46" t="s">
        <v>15</v>
      </c>
      <c r="C244" s="48">
        <v>78.1</v>
      </c>
      <c r="D244" s="49"/>
      <c r="E244" s="48">
        <v>78.1</v>
      </c>
    </row>
    <row r="245">
      <c r="A245" s="46" t="s">
        <v>17</v>
      </c>
      <c r="B245" s="46" t="s">
        <v>15</v>
      </c>
      <c r="C245" s="48">
        <v>87.1</v>
      </c>
      <c r="D245" s="49"/>
      <c r="E245" s="48">
        <v>87.1</v>
      </c>
    </row>
    <row r="246">
      <c r="A246" s="46" t="s">
        <v>17</v>
      </c>
      <c r="B246" s="46" t="s">
        <v>15</v>
      </c>
      <c r="C246" s="48">
        <v>130.0</v>
      </c>
      <c r="D246" s="49"/>
      <c r="E246" s="48">
        <v>130.0</v>
      </c>
    </row>
    <row r="247">
      <c r="A247" s="46" t="s">
        <v>17</v>
      </c>
      <c r="B247" s="46" t="s">
        <v>15</v>
      </c>
      <c r="C247" s="48">
        <v>117.4</v>
      </c>
      <c r="D247" s="49"/>
      <c r="E247" s="48">
        <v>117.4</v>
      </c>
    </row>
    <row r="248">
      <c r="A248" s="46" t="s">
        <v>17</v>
      </c>
      <c r="B248" s="46" t="s">
        <v>15</v>
      </c>
      <c r="C248" s="48">
        <v>110.9</v>
      </c>
      <c r="D248" s="49"/>
      <c r="E248" s="48">
        <v>110.9</v>
      </c>
    </row>
    <row r="249">
      <c r="A249" s="46" t="s">
        <v>17</v>
      </c>
      <c r="B249" s="46" t="s">
        <v>15</v>
      </c>
      <c r="C249" s="48">
        <v>102.7</v>
      </c>
      <c r="D249" s="49"/>
      <c r="E249" s="48">
        <v>102.7</v>
      </c>
    </row>
    <row r="250">
      <c r="A250" s="46" t="s">
        <v>17</v>
      </c>
      <c r="B250" s="46" t="s">
        <v>15</v>
      </c>
      <c r="C250" s="48">
        <v>133.3</v>
      </c>
      <c r="D250" s="49"/>
      <c r="E250" s="48">
        <v>133.3</v>
      </c>
    </row>
    <row r="251">
      <c r="A251" s="46" t="s">
        <v>17</v>
      </c>
      <c r="B251" s="46" t="s">
        <v>15</v>
      </c>
      <c r="C251" s="48">
        <v>111.0</v>
      </c>
      <c r="D251" s="49"/>
      <c r="E251" s="48">
        <v>111.0</v>
      </c>
    </row>
    <row r="252">
      <c r="A252" s="46" t="s">
        <v>17</v>
      </c>
      <c r="B252" s="46" t="s">
        <v>15</v>
      </c>
      <c r="C252" s="48">
        <v>111.9</v>
      </c>
      <c r="D252" s="49"/>
      <c r="E252" s="48">
        <v>111.9</v>
      </c>
    </row>
    <row r="253">
      <c r="A253" s="46" t="s">
        <v>17</v>
      </c>
      <c r="B253" s="46" t="s">
        <v>15</v>
      </c>
      <c r="C253" s="48">
        <v>126.3</v>
      </c>
      <c r="D253" s="49"/>
      <c r="E253" s="48">
        <v>126.3</v>
      </c>
    </row>
    <row r="254">
      <c r="A254" s="46" t="s">
        <v>17</v>
      </c>
      <c r="B254" s="46" t="s">
        <v>15</v>
      </c>
      <c r="C254" s="48">
        <v>117.7</v>
      </c>
      <c r="D254" s="49"/>
      <c r="E254" s="48">
        <v>117.7</v>
      </c>
    </row>
    <row r="255">
      <c r="A255" s="46" t="s">
        <v>17</v>
      </c>
      <c r="B255" s="46" t="s">
        <v>14</v>
      </c>
      <c r="C255" s="48">
        <v>116.8</v>
      </c>
      <c r="D255" s="48">
        <v>96.9</v>
      </c>
      <c r="E255" s="48">
        <v>114.6</v>
      </c>
    </row>
    <row r="256">
      <c r="A256" s="46" t="s">
        <v>17</v>
      </c>
      <c r="B256" s="46" t="s">
        <v>13</v>
      </c>
      <c r="C256" s="49"/>
      <c r="D256" s="48">
        <v>79.6</v>
      </c>
      <c r="E256" s="48">
        <v>79.6</v>
      </c>
    </row>
    <row r="257">
      <c r="A257" s="46" t="s">
        <v>17</v>
      </c>
      <c r="B257" s="46" t="s">
        <v>15</v>
      </c>
      <c r="C257" s="48">
        <v>110.1</v>
      </c>
      <c r="D257" s="49"/>
      <c r="E257" s="48">
        <v>110.1</v>
      </c>
    </row>
    <row r="258">
      <c r="A258" s="46" t="s">
        <v>17</v>
      </c>
      <c r="B258" s="46" t="s">
        <v>13</v>
      </c>
      <c r="C258" s="49"/>
      <c r="D258" s="48">
        <v>79.8</v>
      </c>
      <c r="E258" s="48">
        <v>79.8</v>
      </c>
    </row>
    <row r="259">
      <c r="A259" s="46" t="s">
        <v>17</v>
      </c>
      <c r="B259" s="46" t="s">
        <v>15</v>
      </c>
      <c r="C259" s="48">
        <v>109.5</v>
      </c>
      <c r="D259" s="49"/>
      <c r="E259" s="48">
        <v>109.5</v>
      </c>
    </row>
    <row r="260">
      <c r="A260" s="46" t="s">
        <v>17</v>
      </c>
      <c r="B260" s="46" t="s">
        <v>13</v>
      </c>
      <c r="C260" s="49"/>
      <c r="D260" s="48">
        <v>109.0</v>
      </c>
      <c r="E260" s="48">
        <v>109.0</v>
      </c>
    </row>
    <row r="261">
      <c r="A261" s="46" t="s">
        <v>17</v>
      </c>
      <c r="B261" s="46" t="s">
        <v>13</v>
      </c>
      <c r="C261" s="49"/>
      <c r="D261" s="48">
        <v>103.5</v>
      </c>
      <c r="E261" s="48">
        <v>103.5</v>
      </c>
    </row>
    <row r="262">
      <c r="A262" s="46" t="s">
        <v>17</v>
      </c>
      <c r="B262" s="46" t="s">
        <v>15</v>
      </c>
      <c r="C262" s="48">
        <v>117.3</v>
      </c>
      <c r="D262" s="49"/>
      <c r="E262" s="48">
        <v>117.3</v>
      </c>
    </row>
    <row r="263">
      <c r="A263" s="46" t="s">
        <v>17</v>
      </c>
      <c r="B263" s="46" t="s">
        <v>15</v>
      </c>
      <c r="C263" s="48">
        <v>127.5</v>
      </c>
      <c r="D263" s="49"/>
      <c r="E263" s="48">
        <v>127.5</v>
      </c>
    </row>
    <row r="264">
      <c r="A264" s="46" t="s">
        <v>17</v>
      </c>
      <c r="B264" s="46" t="s">
        <v>15</v>
      </c>
      <c r="C264" s="48">
        <v>108.4</v>
      </c>
      <c r="D264" s="49"/>
      <c r="E264" s="48">
        <v>108.4</v>
      </c>
    </row>
    <row r="265">
      <c r="A265" s="46" t="s">
        <v>17</v>
      </c>
      <c r="B265" s="46" t="s">
        <v>15</v>
      </c>
      <c r="C265" s="48">
        <v>103.5</v>
      </c>
      <c r="D265" s="49"/>
      <c r="E265" s="48">
        <v>103.5</v>
      </c>
    </row>
    <row r="266">
      <c r="A266" s="46" t="s">
        <v>17</v>
      </c>
      <c r="B266" s="46" t="s">
        <v>15</v>
      </c>
      <c r="C266" s="48">
        <v>128.2</v>
      </c>
      <c r="D266" s="49"/>
      <c r="E266" s="48">
        <v>128.2</v>
      </c>
    </row>
    <row r="267">
      <c r="A267" s="46" t="s">
        <v>17</v>
      </c>
      <c r="B267" s="46" t="s">
        <v>15</v>
      </c>
      <c r="C267" s="48">
        <v>130.6</v>
      </c>
      <c r="D267" s="49"/>
      <c r="E267" s="48">
        <v>130.6</v>
      </c>
    </row>
    <row r="268">
      <c r="A268" s="46" t="s">
        <v>17</v>
      </c>
      <c r="B268" s="46" t="s">
        <v>14</v>
      </c>
      <c r="C268" s="48">
        <v>86.8</v>
      </c>
      <c r="D268" s="48">
        <v>85.4</v>
      </c>
      <c r="E268" s="48">
        <v>86.2</v>
      </c>
    </row>
    <row r="269">
      <c r="A269" s="46" t="s">
        <v>17</v>
      </c>
      <c r="B269" s="46" t="s">
        <v>13</v>
      </c>
      <c r="C269" s="49"/>
      <c r="D269" s="48">
        <v>88.2</v>
      </c>
      <c r="E269" s="48">
        <v>88.2</v>
      </c>
    </row>
    <row r="270">
      <c r="A270" s="46" t="s">
        <v>17</v>
      </c>
      <c r="B270" s="46" t="s">
        <v>13</v>
      </c>
      <c r="C270" s="49"/>
      <c r="D270" s="48">
        <v>97.2</v>
      </c>
      <c r="E270" s="48">
        <v>97.2</v>
      </c>
    </row>
    <row r="271">
      <c r="A271" s="46" t="s">
        <v>17</v>
      </c>
      <c r="B271" s="46" t="s">
        <v>13</v>
      </c>
      <c r="C271" s="49"/>
      <c r="D271" s="48">
        <v>89.2</v>
      </c>
      <c r="E271" s="48">
        <v>89.2</v>
      </c>
    </row>
    <row r="272">
      <c r="A272" s="46" t="s">
        <v>17</v>
      </c>
      <c r="B272" s="46" t="s">
        <v>14</v>
      </c>
      <c r="C272" s="48">
        <v>103.9</v>
      </c>
      <c r="D272" s="48">
        <v>90.2</v>
      </c>
      <c r="E272" s="48">
        <v>93.1</v>
      </c>
    </row>
    <row r="273">
      <c r="A273" s="46" t="s">
        <v>17</v>
      </c>
      <c r="B273" s="46" t="s">
        <v>15</v>
      </c>
      <c r="C273" s="48">
        <v>93.7</v>
      </c>
      <c r="D273" s="49"/>
      <c r="E273" s="48">
        <v>93.7</v>
      </c>
    </row>
    <row r="274">
      <c r="A274" s="46" t="s">
        <v>17</v>
      </c>
      <c r="B274" s="46" t="s">
        <v>15</v>
      </c>
      <c r="C274" s="48">
        <v>93.1</v>
      </c>
      <c r="D274" s="49"/>
      <c r="E274" s="48">
        <v>93.1</v>
      </c>
    </row>
    <row r="275">
      <c r="A275" s="46" t="s">
        <v>17</v>
      </c>
      <c r="B275" s="46" t="s">
        <v>14</v>
      </c>
      <c r="C275" s="48">
        <v>74.5</v>
      </c>
      <c r="D275" s="48">
        <v>60.0</v>
      </c>
      <c r="E275" s="48">
        <v>61.3</v>
      </c>
    </row>
    <row r="276">
      <c r="A276" s="46" t="s">
        <v>17</v>
      </c>
      <c r="B276" s="46" t="s">
        <v>15</v>
      </c>
      <c r="C276" s="48">
        <v>87.4</v>
      </c>
      <c r="D276" s="49"/>
      <c r="E276" s="48">
        <v>87.4</v>
      </c>
    </row>
    <row r="277">
      <c r="A277" s="46" t="s">
        <v>17</v>
      </c>
      <c r="B277" s="46" t="s">
        <v>15</v>
      </c>
      <c r="C277" s="48">
        <v>111.1</v>
      </c>
      <c r="D277" s="49"/>
      <c r="E277" s="48">
        <v>111.1</v>
      </c>
    </row>
    <row r="278">
      <c r="A278" s="46" t="s">
        <v>17</v>
      </c>
      <c r="B278" s="46" t="s">
        <v>15</v>
      </c>
      <c r="C278" s="48">
        <v>108.8</v>
      </c>
      <c r="D278" s="49"/>
      <c r="E278" s="48">
        <v>108.8</v>
      </c>
    </row>
    <row r="279">
      <c r="A279" s="46" t="s">
        <v>17</v>
      </c>
      <c r="B279" s="46" t="s">
        <v>15</v>
      </c>
      <c r="C279" s="48">
        <v>106.5</v>
      </c>
      <c r="D279" s="49"/>
      <c r="E279" s="48">
        <v>106.5</v>
      </c>
    </row>
    <row r="280">
      <c r="A280" s="46" t="s">
        <v>17</v>
      </c>
      <c r="B280" s="46" t="s">
        <v>13</v>
      </c>
      <c r="C280" s="49"/>
      <c r="D280" s="48">
        <v>84.2</v>
      </c>
      <c r="E280" s="48">
        <v>84.2</v>
      </c>
    </row>
    <row r="281">
      <c r="A281" s="46" t="s">
        <v>17</v>
      </c>
      <c r="B281" s="46" t="s">
        <v>13</v>
      </c>
      <c r="C281" s="49"/>
      <c r="D281" s="48">
        <v>92.5</v>
      </c>
      <c r="E281" s="48">
        <v>92.5</v>
      </c>
    </row>
    <row r="282">
      <c r="A282" s="46" t="s">
        <v>17</v>
      </c>
      <c r="B282" s="46" t="s">
        <v>13</v>
      </c>
      <c r="C282" s="49"/>
      <c r="D282" s="48">
        <v>85.4</v>
      </c>
      <c r="E282" s="48">
        <v>85.4</v>
      </c>
    </row>
    <row r="283">
      <c r="A283" s="46" t="s">
        <v>17</v>
      </c>
      <c r="B283" s="46" t="s">
        <v>15</v>
      </c>
      <c r="C283" s="48">
        <v>117.0</v>
      </c>
      <c r="D283" s="49"/>
      <c r="E283" s="48">
        <v>117.0</v>
      </c>
    </row>
    <row r="284">
      <c r="A284" s="46" t="s">
        <v>17</v>
      </c>
      <c r="B284" s="46" t="s">
        <v>15</v>
      </c>
      <c r="C284" s="48">
        <v>134.6</v>
      </c>
      <c r="D284" s="49"/>
      <c r="E284" s="48">
        <v>134.6</v>
      </c>
    </row>
    <row r="285">
      <c r="A285" s="46" t="s">
        <v>17</v>
      </c>
      <c r="B285" s="46" t="s">
        <v>15</v>
      </c>
      <c r="C285" s="48">
        <v>104.8</v>
      </c>
      <c r="D285" s="49"/>
      <c r="E285" s="48">
        <v>104.8</v>
      </c>
    </row>
    <row r="286">
      <c r="A286" s="46" t="s">
        <v>17</v>
      </c>
      <c r="B286" s="46" t="s">
        <v>13</v>
      </c>
      <c r="C286" s="49"/>
      <c r="D286" s="48">
        <v>98.7</v>
      </c>
      <c r="E286" s="48">
        <v>98.7</v>
      </c>
    </row>
    <row r="287">
      <c r="A287" s="46" t="s">
        <v>17</v>
      </c>
      <c r="B287" s="46" t="s">
        <v>13</v>
      </c>
      <c r="C287" s="49"/>
      <c r="D287" s="48">
        <v>87.6</v>
      </c>
      <c r="E287" s="48">
        <v>87.6</v>
      </c>
    </row>
    <row r="288">
      <c r="A288" s="46" t="s">
        <v>17</v>
      </c>
      <c r="B288" s="46" t="s">
        <v>15</v>
      </c>
      <c r="C288" s="48">
        <v>124.0</v>
      </c>
      <c r="D288" s="49"/>
      <c r="E288" s="48">
        <v>124.0</v>
      </c>
    </row>
    <row r="289">
      <c r="A289" s="46" t="s">
        <v>17</v>
      </c>
      <c r="B289" s="46" t="s">
        <v>15</v>
      </c>
      <c r="C289" s="48">
        <v>129.9</v>
      </c>
      <c r="D289" s="49"/>
      <c r="E289" s="48">
        <v>129.9</v>
      </c>
    </row>
    <row r="290">
      <c r="A290" s="46" t="s">
        <v>17</v>
      </c>
      <c r="B290" s="46" t="s">
        <v>13</v>
      </c>
      <c r="C290" s="49"/>
      <c r="D290" s="48">
        <v>96.2</v>
      </c>
      <c r="E290" s="48">
        <v>96.2</v>
      </c>
    </row>
    <row r="291">
      <c r="A291" s="46" t="s">
        <v>17</v>
      </c>
      <c r="B291" s="46" t="s">
        <v>13</v>
      </c>
      <c r="C291" s="49"/>
      <c r="D291" s="48">
        <v>104.6</v>
      </c>
      <c r="E291" s="48">
        <v>104.6</v>
      </c>
    </row>
    <row r="292">
      <c r="A292" s="46" t="s">
        <v>17</v>
      </c>
      <c r="B292" s="46" t="s">
        <v>15</v>
      </c>
      <c r="C292" s="48">
        <v>128.4</v>
      </c>
      <c r="D292" s="49"/>
      <c r="E292" s="48">
        <v>128.4</v>
      </c>
    </row>
    <row r="293">
      <c r="A293" s="46" t="s">
        <v>17</v>
      </c>
      <c r="B293" s="46" t="s">
        <v>13</v>
      </c>
      <c r="C293" s="49"/>
      <c r="D293" s="48">
        <v>93.2</v>
      </c>
      <c r="E293" s="48">
        <v>93.2</v>
      </c>
    </row>
    <row r="294">
      <c r="A294" s="46" t="s">
        <v>17</v>
      </c>
      <c r="B294" s="46" t="s">
        <v>13</v>
      </c>
      <c r="C294" s="49"/>
      <c r="D294" s="48">
        <v>97.3</v>
      </c>
      <c r="E294" s="48">
        <v>97.3</v>
      </c>
    </row>
    <row r="295">
      <c r="A295" s="46" t="s">
        <v>17</v>
      </c>
      <c r="B295" s="46" t="s">
        <v>15</v>
      </c>
      <c r="C295" s="48">
        <v>115.6</v>
      </c>
      <c r="D295" s="49"/>
      <c r="E295" s="48">
        <v>115.6</v>
      </c>
    </row>
    <row r="296">
      <c r="A296" s="46" t="s">
        <v>17</v>
      </c>
      <c r="B296" s="46" t="s">
        <v>15</v>
      </c>
      <c r="C296" s="48">
        <v>118.0</v>
      </c>
      <c r="D296" s="49"/>
      <c r="E296" s="48">
        <v>118.0</v>
      </c>
    </row>
    <row r="297">
      <c r="A297" s="46" t="s">
        <v>17</v>
      </c>
      <c r="B297" s="46" t="s">
        <v>13</v>
      </c>
      <c r="C297" s="49"/>
      <c r="D297" s="48">
        <v>85.7</v>
      </c>
      <c r="E297" s="48">
        <v>85.7</v>
      </c>
    </row>
    <row r="298">
      <c r="A298" s="46" t="s">
        <v>17</v>
      </c>
      <c r="B298" s="46" t="s">
        <v>15</v>
      </c>
      <c r="C298" s="48">
        <v>138.6</v>
      </c>
      <c r="D298" s="49"/>
      <c r="E298" s="48">
        <v>138.6</v>
      </c>
    </row>
    <row r="299">
      <c r="A299" s="46" t="s">
        <v>17</v>
      </c>
      <c r="B299" s="46" t="s">
        <v>15</v>
      </c>
      <c r="C299" s="48">
        <v>144.8</v>
      </c>
      <c r="D299" s="49"/>
      <c r="E299" s="48">
        <v>144.8</v>
      </c>
    </row>
    <row r="300">
      <c r="A300" s="46" t="s">
        <v>17</v>
      </c>
      <c r="B300" s="46" t="s">
        <v>15</v>
      </c>
      <c r="C300" s="48">
        <v>126.8</v>
      </c>
      <c r="D300" s="49"/>
      <c r="E300" s="48">
        <v>126.8</v>
      </c>
    </row>
    <row r="301">
      <c r="A301" s="46" t="s">
        <v>17</v>
      </c>
      <c r="B301" s="46" t="s">
        <v>13</v>
      </c>
      <c r="C301" s="49"/>
      <c r="D301" s="48">
        <v>73.6</v>
      </c>
      <c r="E301" s="48">
        <v>73.6</v>
      </c>
    </row>
    <row r="302">
      <c r="A302" s="46" t="s">
        <v>17</v>
      </c>
      <c r="B302" s="46" t="s">
        <v>13</v>
      </c>
      <c r="C302" s="49"/>
      <c r="D302" s="48">
        <v>104.3</v>
      </c>
      <c r="E302" s="48">
        <v>104.3</v>
      </c>
    </row>
    <row r="303">
      <c r="A303" s="46" t="s">
        <v>17</v>
      </c>
      <c r="B303" s="46" t="s">
        <v>15</v>
      </c>
      <c r="C303" s="48">
        <v>112.8</v>
      </c>
      <c r="D303" s="49"/>
      <c r="E303" s="48">
        <v>112.8</v>
      </c>
    </row>
    <row r="304">
      <c r="A304" s="46" t="s">
        <v>17</v>
      </c>
      <c r="B304" s="46" t="s">
        <v>13</v>
      </c>
      <c r="C304" s="49"/>
      <c r="D304" s="48">
        <v>103.6</v>
      </c>
      <c r="E304" s="48">
        <v>103.6</v>
      </c>
    </row>
    <row r="305">
      <c r="A305" s="46" t="s">
        <v>17</v>
      </c>
      <c r="B305" s="46" t="s">
        <v>14</v>
      </c>
      <c r="C305" s="48">
        <v>123.4</v>
      </c>
      <c r="D305" s="48">
        <v>106.6</v>
      </c>
      <c r="E305" s="48">
        <v>107.8</v>
      </c>
    </row>
    <row r="306">
      <c r="A306" s="46" t="s">
        <v>17</v>
      </c>
      <c r="B306" s="46" t="s">
        <v>14</v>
      </c>
      <c r="C306" s="48">
        <v>125.5</v>
      </c>
      <c r="D306" s="48">
        <v>95.2</v>
      </c>
      <c r="E306" s="48">
        <v>122.6</v>
      </c>
    </row>
    <row r="307">
      <c r="A307" s="46" t="s">
        <v>17</v>
      </c>
      <c r="B307" s="46" t="s">
        <v>15</v>
      </c>
      <c r="C307" s="48">
        <v>116.7</v>
      </c>
      <c r="D307" s="49"/>
      <c r="E307" s="48">
        <v>116.7</v>
      </c>
    </row>
    <row r="308">
      <c r="A308" s="46" t="s">
        <v>17</v>
      </c>
      <c r="B308" s="46" t="s">
        <v>13</v>
      </c>
      <c r="C308" s="49"/>
      <c r="D308" s="48">
        <v>94.9</v>
      </c>
      <c r="E308" s="48">
        <v>94.9</v>
      </c>
    </row>
    <row r="309">
      <c r="A309" s="46" t="s">
        <v>17</v>
      </c>
      <c r="B309" s="46" t="s">
        <v>14</v>
      </c>
      <c r="C309" s="48">
        <v>116.4</v>
      </c>
      <c r="D309" s="48">
        <v>106.8</v>
      </c>
      <c r="E309" s="48">
        <v>109.9</v>
      </c>
    </row>
    <row r="310">
      <c r="A310" s="46" t="s">
        <v>17</v>
      </c>
      <c r="B310" s="46" t="s">
        <v>14</v>
      </c>
      <c r="C310" s="48">
        <v>112.0</v>
      </c>
      <c r="D310" s="48">
        <v>102.7</v>
      </c>
      <c r="E310" s="48">
        <v>106.6</v>
      </c>
    </row>
    <row r="311">
      <c r="A311" s="46" t="s">
        <v>17</v>
      </c>
      <c r="B311" s="46" t="s">
        <v>14</v>
      </c>
      <c r="C311" s="48">
        <v>124.1</v>
      </c>
      <c r="D311" s="48">
        <v>114.4</v>
      </c>
      <c r="E311" s="48">
        <v>123.8</v>
      </c>
    </row>
    <row r="312">
      <c r="A312" s="46" t="s">
        <v>17</v>
      </c>
      <c r="B312" s="46" t="s">
        <v>15</v>
      </c>
      <c r="C312" s="48">
        <v>121.4</v>
      </c>
      <c r="D312" s="49"/>
      <c r="E312" s="48">
        <v>121.4</v>
      </c>
    </row>
    <row r="313">
      <c r="A313" s="46" t="s">
        <v>17</v>
      </c>
      <c r="B313" s="46" t="s">
        <v>13</v>
      </c>
      <c r="C313" s="49"/>
      <c r="D313" s="48">
        <v>112.4</v>
      </c>
      <c r="E313" s="48">
        <v>112.4</v>
      </c>
    </row>
    <row r="314">
      <c r="A314" s="46" t="s">
        <v>17</v>
      </c>
      <c r="B314" s="46" t="s">
        <v>15</v>
      </c>
      <c r="C314" s="48">
        <v>105.4</v>
      </c>
      <c r="D314" s="49"/>
      <c r="E314" s="48">
        <v>105.4</v>
      </c>
    </row>
    <row r="315">
      <c r="A315" s="46" t="s">
        <v>17</v>
      </c>
      <c r="B315" s="46" t="s">
        <v>13</v>
      </c>
      <c r="C315" s="49"/>
      <c r="D315" s="48">
        <v>90.4</v>
      </c>
      <c r="E315" s="48">
        <v>90.4</v>
      </c>
    </row>
    <row r="316">
      <c r="A316" s="46" t="s">
        <v>17</v>
      </c>
      <c r="B316" s="46" t="s">
        <v>13</v>
      </c>
      <c r="C316" s="49"/>
      <c r="D316" s="48">
        <v>83.2</v>
      </c>
      <c r="E316" s="48">
        <v>83.2</v>
      </c>
    </row>
    <row r="317">
      <c r="A317" s="46" t="s">
        <v>17</v>
      </c>
      <c r="B317" s="46" t="s">
        <v>14</v>
      </c>
      <c r="C317" s="48">
        <v>128.1</v>
      </c>
      <c r="D317" s="48">
        <v>101.1</v>
      </c>
      <c r="E317" s="48">
        <v>115.8</v>
      </c>
    </row>
    <row r="318">
      <c r="A318" s="46" t="s">
        <v>17</v>
      </c>
      <c r="B318" s="46" t="s">
        <v>15</v>
      </c>
      <c r="C318" s="48">
        <v>105.2</v>
      </c>
      <c r="D318" s="49"/>
      <c r="E318" s="48">
        <v>105.2</v>
      </c>
    </row>
    <row r="319">
      <c r="A319" s="46" t="s">
        <v>17</v>
      </c>
      <c r="B319" s="46" t="s">
        <v>15</v>
      </c>
      <c r="C319" s="48">
        <v>104.4</v>
      </c>
      <c r="D319" s="49"/>
      <c r="E319" s="48">
        <v>104.4</v>
      </c>
    </row>
    <row r="320">
      <c r="A320" s="46" t="s">
        <v>17</v>
      </c>
      <c r="B320" s="46" t="s">
        <v>13</v>
      </c>
      <c r="C320" s="49"/>
      <c r="D320" s="48">
        <v>75.7</v>
      </c>
      <c r="E320" s="48">
        <v>75.7</v>
      </c>
    </row>
    <row r="321">
      <c r="A321" s="46" t="s">
        <v>17</v>
      </c>
      <c r="B321" s="46" t="s">
        <v>13</v>
      </c>
      <c r="C321" s="49"/>
      <c r="D321" s="48">
        <v>100.1</v>
      </c>
      <c r="E321" s="48">
        <v>100.1</v>
      </c>
    </row>
    <row r="322">
      <c r="A322" s="46" t="s">
        <v>17</v>
      </c>
      <c r="B322" s="46" t="s">
        <v>14</v>
      </c>
      <c r="C322" s="48">
        <v>116.5</v>
      </c>
      <c r="D322" s="48">
        <v>99.0</v>
      </c>
      <c r="E322" s="48">
        <v>103.2</v>
      </c>
    </row>
    <row r="323">
      <c r="A323" s="46" t="s">
        <v>17</v>
      </c>
      <c r="B323" s="46" t="s">
        <v>13</v>
      </c>
      <c r="C323" s="49"/>
      <c r="D323" s="48">
        <v>101.4</v>
      </c>
      <c r="E323" s="48">
        <v>101.4</v>
      </c>
    </row>
    <row r="324">
      <c r="A324" s="46" t="s">
        <v>17</v>
      </c>
      <c r="B324" s="46" t="s">
        <v>14</v>
      </c>
      <c r="C324" s="48">
        <v>118.2</v>
      </c>
      <c r="D324" s="48">
        <v>109.3</v>
      </c>
      <c r="E324" s="48">
        <v>112.4</v>
      </c>
    </row>
    <row r="325">
      <c r="A325" s="46" t="s">
        <v>17</v>
      </c>
      <c r="B325" s="46" t="s">
        <v>14</v>
      </c>
      <c r="C325" s="48">
        <v>94.0</v>
      </c>
      <c r="D325" s="48">
        <v>88.4</v>
      </c>
      <c r="E325" s="48">
        <v>89.7</v>
      </c>
    </row>
    <row r="326">
      <c r="A326" s="46" t="s">
        <v>17</v>
      </c>
      <c r="B326" s="46" t="s">
        <v>14</v>
      </c>
      <c r="C326" s="48">
        <v>116.6</v>
      </c>
      <c r="D326" s="48">
        <v>110.4</v>
      </c>
      <c r="E326" s="48">
        <v>113.3</v>
      </c>
    </row>
    <row r="327">
      <c r="A327" s="46" t="s">
        <v>17</v>
      </c>
      <c r="B327" s="46" t="s">
        <v>13</v>
      </c>
      <c r="C327" s="49"/>
      <c r="D327" s="48">
        <v>97.2</v>
      </c>
      <c r="E327" s="48">
        <v>97.2</v>
      </c>
    </row>
    <row r="328">
      <c r="A328" s="46" t="s">
        <v>17</v>
      </c>
      <c r="B328" s="46" t="s">
        <v>14</v>
      </c>
      <c r="C328" s="48">
        <v>117.6</v>
      </c>
      <c r="D328" s="48">
        <v>104.5</v>
      </c>
      <c r="E328" s="48">
        <v>110.3</v>
      </c>
    </row>
    <row r="329">
      <c r="A329" s="46" t="s">
        <v>17</v>
      </c>
      <c r="B329" s="46" t="s">
        <v>15</v>
      </c>
      <c r="C329" s="48">
        <v>117.2</v>
      </c>
      <c r="D329" s="49"/>
      <c r="E329" s="48">
        <v>117.2</v>
      </c>
    </row>
    <row r="330">
      <c r="A330" s="46" t="s">
        <v>17</v>
      </c>
      <c r="B330" s="46" t="s">
        <v>15</v>
      </c>
      <c r="C330" s="48">
        <v>122.1</v>
      </c>
      <c r="D330" s="49"/>
      <c r="E330" s="48">
        <v>122.1</v>
      </c>
    </row>
    <row r="331">
      <c r="A331" s="46" t="s">
        <v>17</v>
      </c>
      <c r="B331" s="46" t="s">
        <v>13</v>
      </c>
      <c r="C331" s="49"/>
      <c r="D331" s="48">
        <v>103.7</v>
      </c>
      <c r="E331" s="48">
        <v>103.7</v>
      </c>
    </row>
    <row r="332">
      <c r="A332" s="46" t="s">
        <v>17</v>
      </c>
      <c r="B332" s="46" t="s">
        <v>15</v>
      </c>
      <c r="C332" s="48">
        <v>129.3</v>
      </c>
      <c r="D332" s="49"/>
      <c r="E332" s="48">
        <v>129.3</v>
      </c>
    </row>
    <row r="333">
      <c r="A333" s="46" t="s">
        <v>17</v>
      </c>
      <c r="B333" s="46" t="s">
        <v>15</v>
      </c>
      <c r="C333" s="48">
        <v>111.0</v>
      </c>
      <c r="D333" s="49"/>
      <c r="E333" s="48">
        <v>111.0</v>
      </c>
    </row>
    <row r="334">
      <c r="A334" s="46" t="s">
        <v>17</v>
      </c>
      <c r="B334" s="46" t="s">
        <v>15</v>
      </c>
      <c r="C334" s="48">
        <v>113.7</v>
      </c>
      <c r="D334" s="49"/>
      <c r="E334" s="48">
        <v>113.7</v>
      </c>
    </row>
    <row r="335">
      <c r="A335" s="46" t="s">
        <v>17</v>
      </c>
      <c r="B335" s="46" t="s">
        <v>15</v>
      </c>
      <c r="C335" s="48">
        <v>129.4</v>
      </c>
      <c r="D335" s="49"/>
      <c r="E335" s="48">
        <v>129.4</v>
      </c>
    </row>
    <row r="336">
      <c r="A336" s="46" t="s">
        <v>17</v>
      </c>
      <c r="B336" s="46" t="s">
        <v>15</v>
      </c>
      <c r="C336" s="48">
        <v>104.5</v>
      </c>
      <c r="D336" s="49"/>
      <c r="E336" s="48">
        <v>104.5</v>
      </c>
    </row>
    <row r="337">
      <c r="A337" s="46" t="s">
        <v>17</v>
      </c>
      <c r="B337" s="46" t="s">
        <v>15</v>
      </c>
      <c r="C337" s="48">
        <v>123.0</v>
      </c>
      <c r="D337" s="49"/>
      <c r="E337" s="48">
        <v>123.0</v>
      </c>
    </row>
    <row r="338">
      <c r="A338" s="46" t="s">
        <v>17</v>
      </c>
      <c r="B338" s="46" t="s">
        <v>15</v>
      </c>
      <c r="C338" s="48">
        <v>121.4</v>
      </c>
      <c r="D338" s="49"/>
      <c r="E338" s="48">
        <v>121.4</v>
      </c>
    </row>
    <row r="339">
      <c r="A339" s="46" t="s">
        <v>17</v>
      </c>
      <c r="B339" s="46" t="s">
        <v>13</v>
      </c>
      <c r="C339" s="49"/>
      <c r="D339" s="48">
        <v>90.4</v>
      </c>
      <c r="E339" s="48">
        <v>90.4</v>
      </c>
    </row>
    <row r="340">
      <c r="A340" s="46" t="s">
        <v>17</v>
      </c>
      <c r="B340" s="46" t="s">
        <v>15</v>
      </c>
      <c r="C340" s="48">
        <v>129.8</v>
      </c>
      <c r="D340" s="49"/>
      <c r="E340" s="48">
        <v>129.8</v>
      </c>
    </row>
    <row r="341">
      <c r="A341" s="46" t="s">
        <v>17</v>
      </c>
      <c r="B341" s="46" t="s">
        <v>15</v>
      </c>
      <c r="C341" s="48">
        <v>141.9</v>
      </c>
      <c r="D341" s="49"/>
      <c r="E341" s="48">
        <v>141.9</v>
      </c>
    </row>
    <row r="342">
      <c r="A342" s="46" t="s">
        <v>17</v>
      </c>
      <c r="B342" s="46" t="s">
        <v>15</v>
      </c>
      <c r="C342" s="48">
        <v>132.0</v>
      </c>
      <c r="D342" s="49"/>
      <c r="E342" s="48">
        <v>132.0</v>
      </c>
    </row>
    <row r="343">
      <c r="A343" s="46" t="s">
        <v>17</v>
      </c>
      <c r="B343" s="46" t="s">
        <v>15</v>
      </c>
      <c r="C343" s="48">
        <v>120.8</v>
      </c>
      <c r="D343" s="49"/>
      <c r="E343" s="48">
        <v>120.8</v>
      </c>
    </row>
    <row r="344">
      <c r="A344" s="46" t="s">
        <v>17</v>
      </c>
      <c r="B344" s="46" t="s">
        <v>13</v>
      </c>
      <c r="C344" s="49"/>
      <c r="D344" s="48">
        <v>96.6</v>
      </c>
      <c r="E344" s="48">
        <v>96.6</v>
      </c>
    </row>
    <row r="345">
      <c r="A345" s="46" t="s">
        <v>17</v>
      </c>
      <c r="B345" s="46" t="s">
        <v>15</v>
      </c>
      <c r="C345" s="48">
        <v>105.8</v>
      </c>
      <c r="D345" s="49"/>
      <c r="E345" s="48">
        <v>105.8</v>
      </c>
    </row>
    <row r="346">
      <c r="A346" s="46" t="s">
        <v>17</v>
      </c>
      <c r="B346" s="46" t="s">
        <v>15</v>
      </c>
      <c r="C346" s="48">
        <v>130.6</v>
      </c>
      <c r="D346" s="49"/>
      <c r="E346" s="48">
        <v>130.6</v>
      </c>
    </row>
    <row r="347">
      <c r="A347" s="46" t="s">
        <v>17</v>
      </c>
      <c r="B347" s="46" t="s">
        <v>15</v>
      </c>
      <c r="C347" s="48">
        <v>115.8</v>
      </c>
      <c r="D347" s="49"/>
      <c r="E347" s="48">
        <v>115.8</v>
      </c>
    </row>
    <row r="348">
      <c r="A348" s="46" t="s">
        <v>17</v>
      </c>
      <c r="B348" s="46" t="s">
        <v>15</v>
      </c>
      <c r="C348" s="48">
        <v>138.8</v>
      </c>
      <c r="D348" s="49"/>
      <c r="E348" s="48">
        <v>138.8</v>
      </c>
    </row>
    <row r="349">
      <c r="A349" s="46" t="s">
        <v>17</v>
      </c>
      <c r="B349" s="46" t="s">
        <v>15</v>
      </c>
      <c r="C349" s="48">
        <v>108.7</v>
      </c>
      <c r="D349" s="49"/>
      <c r="E349" s="48">
        <v>108.7</v>
      </c>
    </row>
    <row r="350">
      <c r="A350" s="46" t="s">
        <v>17</v>
      </c>
      <c r="B350" s="46" t="s">
        <v>15</v>
      </c>
      <c r="C350" s="48">
        <v>117.9</v>
      </c>
      <c r="D350" s="49"/>
      <c r="E350" s="48">
        <v>117.9</v>
      </c>
    </row>
    <row r="351">
      <c r="A351" s="46" t="s">
        <v>17</v>
      </c>
      <c r="B351" s="46" t="s">
        <v>15</v>
      </c>
      <c r="C351" s="48">
        <v>116.5</v>
      </c>
      <c r="D351" s="49"/>
      <c r="E351" s="48">
        <v>116.5</v>
      </c>
    </row>
    <row r="352">
      <c r="A352" s="46" t="s">
        <v>17</v>
      </c>
      <c r="B352" s="46" t="s">
        <v>15</v>
      </c>
      <c r="C352" s="48">
        <v>110.5</v>
      </c>
      <c r="D352" s="49"/>
      <c r="E352" s="48">
        <v>110.5</v>
      </c>
    </row>
    <row r="353">
      <c r="A353" s="46" t="s">
        <v>17</v>
      </c>
      <c r="B353" s="46" t="s">
        <v>13</v>
      </c>
      <c r="C353" s="49"/>
      <c r="D353" s="48">
        <v>82.8</v>
      </c>
      <c r="E353" s="48">
        <v>82.8</v>
      </c>
    </row>
    <row r="354">
      <c r="A354" s="46" t="s">
        <v>17</v>
      </c>
      <c r="B354" s="46" t="s">
        <v>15</v>
      </c>
      <c r="C354" s="48">
        <v>111.8</v>
      </c>
      <c r="D354" s="49"/>
      <c r="E354" s="48">
        <v>111.8</v>
      </c>
    </row>
    <row r="355">
      <c r="A355" s="46" t="s">
        <v>17</v>
      </c>
      <c r="B355" s="46" t="s">
        <v>14</v>
      </c>
      <c r="C355" s="48">
        <v>107.1</v>
      </c>
      <c r="D355" s="48">
        <v>85.4</v>
      </c>
      <c r="E355" s="48">
        <v>102.7</v>
      </c>
    </row>
    <row r="356">
      <c r="A356" s="46" t="s">
        <v>17</v>
      </c>
      <c r="B356" s="46" t="s">
        <v>15</v>
      </c>
      <c r="C356" s="48">
        <v>131.0</v>
      </c>
      <c r="D356" s="49"/>
      <c r="E356" s="48">
        <v>131.0</v>
      </c>
    </row>
    <row r="357">
      <c r="A357" s="46" t="s">
        <v>17</v>
      </c>
      <c r="B357" s="46" t="s">
        <v>14</v>
      </c>
      <c r="C357" s="48">
        <v>122.1</v>
      </c>
      <c r="D357" s="48">
        <v>98.8</v>
      </c>
      <c r="E357" s="48">
        <v>117.9</v>
      </c>
    </row>
    <row r="358">
      <c r="A358" s="46" t="s">
        <v>17</v>
      </c>
      <c r="B358" s="46" t="s">
        <v>14</v>
      </c>
      <c r="C358" s="48">
        <v>106.1</v>
      </c>
      <c r="D358" s="48">
        <v>88.3</v>
      </c>
      <c r="E358" s="48">
        <v>99.8</v>
      </c>
    </row>
    <row r="359">
      <c r="A359" s="46" t="s">
        <v>17</v>
      </c>
      <c r="B359" s="46" t="s">
        <v>13</v>
      </c>
      <c r="C359" s="49"/>
      <c r="D359" s="48">
        <v>89.3</v>
      </c>
      <c r="E359" s="48">
        <v>89.3</v>
      </c>
    </row>
    <row r="360">
      <c r="A360" s="46" t="s">
        <v>17</v>
      </c>
      <c r="B360" s="46" t="s">
        <v>13</v>
      </c>
      <c r="C360" s="49"/>
      <c r="D360" s="48">
        <v>86.3</v>
      </c>
      <c r="E360" s="48">
        <v>86.3</v>
      </c>
    </row>
    <row r="361">
      <c r="A361" s="46" t="s">
        <v>17</v>
      </c>
      <c r="B361" s="46" t="s">
        <v>15</v>
      </c>
      <c r="C361" s="48">
        <v>127.3</v>
      </c>
      <c r="D361" s="49"/>
      <c r="E361" s="48">
        <v>127.3</v>
      </c>
    </row>
    <row r="362">
      <c r="A362" s="46" t="s">
        <v>17</v>
      </c>
      <c r="B362" s="46" t="s">
        <v>15</v>
      </c>
      <c r="C362" s="48">
        <v>89.5</v>
      </c>
      <c r="D362" s="49"/>
      <c r="E362" s="48">
        <v>89.5</v>
      </c>
    </row>
    <row r="363">
      <c r="A363" s="46" t="s">
        <v>17</v>
      </c>
      <c r="B363" s="46" t="s">
        <v>14</v>
      </c>
      <c r="C363" s="48">
        <v>92.4</v>
      </c>
      <c r="D363" s="48">
        <v>81.9</v>
      </c>
      <c r="E363" s="48">
        <v>86.9</v>
      </c>
    </row>
    <row r="364">
      <c r="A364" s="46" t="s">
        <v>17</v>
      </c>
      <c r="B364" s="46" t="s">
        <v>14</v>
      </c>
      <c r="C364" s="48">
        <v>98.9</v>
      </c>
      <c r="D364" s="48">
        <v>88.1</v>
      </c>
      <c r="E364" s="48">
        <v>91.3</v>
      </c>
    </row>
    <row r="365">
      <c r="A365" s="46" t="s">
        <v>17</v>
      </c>
      <c r="B365" s="46" t="s">
        <v>14</v>
      </c>
      <c r="C365" s="48">
        <v>94.9</v>
      </c>
      <c r="D365" s="48">
        <v>82.2</v>
      </c>
      <c r="E365" s="48">
        <v>85.0</v>
      </c>
    </row>
    <row r="366">
      <c r="A366" s="46" t="s">
        <v>17</v>
      </c>
      <c r="B366" s="46" t="s">
        <v>15</v>
      </c>
      <c r="C366" s="48">
        <v>133.0</v>
      </c>
      <c r="D366" s="49"/>
      <c r="E366" s="48">
        <v>133.0</v>
      </c>
    </row>
    <row r="367">
      <c r="A367" s="46" t="s">
        <v>17</v>
      </c>
      <c r="B367" s="46" t="s">
        <v>13</v>
      </c>
      <c r="C367" s="49"/>
      <c r="D367" s="48">
        <v>112.0</v>
      </c>
      <c r="E367" s="48">
        <v>112.0</v>
      </c>
    </row>
    <row r="368">
      <c r="A368" s="46" t="s">
        <v>17</v>
      </c>
      <c r="B368" s="46" t="s">
        <v>13</v>
      </c>
      <c r="C368" s="49"/>
      <c r="D368" s="48">
        <v>90.1</v>
      </c>
      <c r="E368" s="48">
        <v>90.1</v>
      </c>
    </row>
    <row r="369">
      <c r="A369" s="46" t="s">
        <v>17</v>
      </c>
      <c r="B369" s="46" t="s">
        <v>14</v>
      </c>
      <c r="C369" s="48">
        <v>101.0</v>
      </c>
      <c r="D369" s="48">
        <v>86.9</v>
      </c>
      <c r="E369" s="48">
        <v>91.6</v>
      </c>
    </row>
    <row r="370">
      <c r="A370" s="46" t="s">
        <v>17</v>
      </c>
      <c r="B370" s="46" t="s">
        <v>14</v>
      </c>
      <c r="C370" s="48">
        <v>107.9</v>
      </c>
      <c r="D370" s="48">
        <v>86.7</v>
      </c>
      <c r="E370" s="48">
        <v>96.2</v>
      </c>
    </row>
    <row r="371">
      <c r="A371" s="46" t="s">
        <v>17</v>
      </c>
      <c r="B371" s="46" t="s">
        <v>14</v>
      </c>
      <c r="C371" s="48">
        <v>100.3</v>
      </c>
      <c r="D371" s="48">
        <v>72.4</v>
      </c>
      <c r="E371" s="48">
        <v>78.2</v>
      </c>
    </row>
    <row r="372">
      <c r="A372" s="46" t="s">
        <v>17</v>
      </c>
      <c r="B372" s="46" t="s">
        <v>15</v>
      </c>
      <c r="C372" s="48">
        <v>126.9</v>
      </c>
      <c r="D372" s="49"/>
      <c r="E372" s="48">
        <v>126.9</v>
      </c>
    </row>
    <row r="373">
      <c r="A373" s="46" t="s">
        <v>17</v>
      </c>
      <c r="B373" s="46" t="s">
        <v>15</v>
      </c>
      <c r="C373" s="48">
        <v>136.5</v>
      </c>
      <c r="D373" s="49"/>
      <c r="E373" s="48">
        <v>136.5</v>
      </c>
    </row>
    <row r="374">
      <c r="A374" s="46" t="s">
        <v>17</v>
      </c>
      <c r="B374" s="46" t="s">
        <v>15</v>
      </c>
      <c r="C374" s="48">
        <v>148.8</v>
      </c>
      <c r="D374" s="49"/>
      <c r="E374" s="48">
        <v>148.8</v>
      </c>
    </row>
    <row r="375">
      <c r="A375" s="46" t="s">
        <v>17</v>
      </c>
      <c r="B375" s="46" t="s">
        <v>15</v>
      </c>
      <c r="C375" s="48">
        <v>155.3</v>
      </c>
      <c r="D375" s="49"/>
      <c r="E375" s="48">
        <v>155.3</v>
      </c>
    </row>
    <row r="376">
      <c r="A376" s="46" t="s">
        <v>17</v>
      </c>
      <c r="B376" s="46" t="s">
        <v>13</v>
      </c>
      <c r="C376" s="49"/>
      <c r="D376" s="48">
        <v>83.9</v>
      </c>
      <c r="E376" s="48">
        <v>83.9</v>
      </c>
    </row>
    <row r="377">
      <c r="A377" s="46" t="s">
        <v>17</v>
      </c>
      <c r="B377" s="46" t="s">
        <v>13</v>
      </c>
      <c r="C377" s="49"/>
      <c r="D377" s="48">
        <v>114.5</v>
      </c>
      <c r="E377" s="48">
        <v>114.5</v>
      </c>
    </row>
    <row r="378">
      <c r="A378" s="46" t="s">
        <v>17</v>
      </c>
      <c r="B378" s="46" t="s">
        <v>15</v>
      </c>
      <c r="C378" s="48">
        <v>123.9</v>
      </c>
      <c r="D378" s="49"/>
      <c r="E378" s="48">
        <v>123.9</v>
      </c>
    </row>
    <row r="379">
      <c r="A379" s="46" t="s">
        <v>17</v>
      </c>
      <c r="B379" s="46" t="s">
        <v>15</v>
      </c>
      <c r="C379" s="48">
        <v>136.0</v>
      </c>
      <c r="D379" s="49"/>
      <c r="E379" s="48">
        <v>136.0</v>
      </c>
    </row>
    <row r="380">
      <c r="A380" s="46" t="s">
        <v>17</v>
      </c>
      <c r="B380" s="46" t="s">
        <v>15</v>
      </c>
      <c r="C380" s="48">
        <v>114.5</v>
      </c>
      <c r="D380" s="49"/>
      <c r="E380" s="48">
        <v>114.5</v>
      </c>
    </row>
    <row r="381">
      <c r="A381" s="46" t="s">
        <v>17</v>
      </c>
      <c r="B381" s="46" t="s">
        <v>13</v>
      </c>
      <c r="C381" s="49"/>
      <c r="D381" s="48">
        <v>105.7</v>
      </c>
      <c r="E381" s="48">
        <v>105.7</v>
      </c>
    </row>
    <row r="382">
      <c r="A382" s="46" t="s">
        <v>17</v>
      </c>
      <c r="B382" s="46" t="s">
        <v>13</v>
      </c>
      <c r="C382" s="49"/>
      <c r="D382" s="48">
        <v>91.8</v>
      </c>
      <c r="E382" s="48">
        <v>91.8</v>
      </c>
    </row>
    <row r="383">
      <c r="A383" s="46" t="s">
        <v>17</v>
      </c>
      <c r="B383" s="46" t="s">
        <v>15</v>
      </c>
      <c r="C383" s="48">
        <v>125.7</v>
      </c>
      <c r="D383" s="49"/>
      <c r="E383" s="48">
        <v>125.7</v>
      </c>
    </row>
    <row r="384">
      <c r="A384" s="46" t="s">
        <v>17</v>
      </c>
      <c r="B384" s="46" t="s">
        <v>15</v>
      </c>
      <c r="C384" s="48">
        <v>123.1</v>
      </c>
      <c r="D384" s="49"/>
      <c r="E384" s="48">
        <v>123.1</v>
      </c>
    </row>
    <row r="385">
      <c r="A385" s="46" t="s">
        <v>17</v>
      </c>
      <c r="B385" s="46" t="s">
        <v>15</v>
      </c>
      <c r="C385" s="48">
        <v>106.7</v>
      </c>
      <c r="D385" s="49"/>
      <c r="E385" s="48">
        <v>106.7</v>
      </c>
    </row>
    <row r="386">
      <c r="A386" s="46" t="s">
        <v>17</v>
      </c>
      <c r="B386" s="46" t="s">
        <v>13</v>
      </c>
      <c r="C386" s="49"/>
      <c r="D386" s="48">
        <v>88.9</v>
      </c>
      <c r="E386" s="48">
        <v>88.9</v>
      </c>
    </row>
    <row r="387">
      <c r="A387" s="46" t="s">
        <v>17</v>
      </c>
      <c r="B387" s="46" t="s">
        <v>15</v>
      </c>
      <c r="C387" s="48">
        <v>123.8</v>
      </c>
      <c r="D387" s="49"/>
      <c r="E387" s="48">
        <v>123.8</v>
      </c>
    </row>
    <row r="388">
      <c r="A388" s="46" t="s">
        <v>17</v>
      </c>
      <c r="B388" s="46" t="s">
        <v>15</v>
      </c>
      <c r="C388" s="48">
        <v>127.4</v>
      </c>
      <c r="D388" s="49"/>
      <c r="E388" s="48">
        <v>127.4</v>
      </c>
    </row>
    <row r="389">
      <c r="A389" s="46" t="s">
        <v>17</v>
      </c>
      <c r="B389" s="46" t="s">
        <v>13</v>
      </c>
      <c r="C389" s="49"/>
      <c r="D389" s="48">
        <v>92.2</v>
      </c>
      <c r="E389" s="48">
        <v>92.2</v>
      </c>
    </row>
    <row r="390">
      <c r="A390" s="46" t="s">
        <v>17</v>
      </c>
      <c r="B390" s="46" t="s">
        <v>15</v>
      </c>
      <c r="C390" s="48">
        <v>144.7</v>
      </c>
      <c r="D390" s="49"/>
      <c r="E390" s="48">
        <v>144.7</v>
      </c>
    </row>
    <row r="391">
      <c r="A391" s="46" t="s">
        <v>17</v>
      </c>
      <c r="B391" s="46" t="s">
        <v>15</v>
      </c>
      <c r="C391" s="48">
        <v>112.0</v>
      </c>
      <c r="D391" s="49"/>
      <c r="E391" s="48">
        <v>112.0</v>
      </c>
    </row>
    <row r="392">
      <c r="A392" s="46" t="s">
        <v>17</v>
      </c>
      <c r="B392" s="46" t="s">
        <v>15</v>
      </c>
      <c r="C392" s="48">
        <v>117.9</v>
      </c>
      <c r="D392" s="49"/>
      <c r="E392" s="48">
        <v>117.9</v>
      </c>
    </row>
    <row r="393">
      <c r="A393" s="46" t="s">
        <v>17</v>
      </c>
      <c r="B393" s="46" t="s">
        <v>15</v>
      </c>
      <c r="C393" s="48">
        <v>126.6</v>
      </c>
      <c r="D393" s="49"/>
      <c r="E393" s="48">
        <v>126.6</v>
      </c>
    </row>
    <row r="394">
      <c r="A394" s="46" t="s">
        <v>17</v>
      </c>
      <c r="B394" s="46" t="s">
        <v>15</v>
      </c>
      <c r="C394" s="48">
        <v>101.9</v>
      </c>
      <c r="D394" s="49"/>
      <c r="E394" s="48">
        <v>101.9</v>
      </c>
    </row>
    <row r="395">
      <c r="A395" s="46" t="s">
        <v>17</v>
      </c>
      <c r="B395" s="46" t="s">
        <v>13</v>
      </c>
      <c r="C395" s="49"/>
      <c r="D395" s="48">
        <v>91.0</v>
      </c>
      <c r="E395" s="48">
        <v>91.0</v>
      </c>
    </row>
    <row r="396">
      <c r="A396" s="46" t="s">
        <v>17</v>
      </c>
      <c r="B396" s="46" t="s">
        <v>15</v>
      </c>
      <c r="C396" s="48">
        <v>113.5</v>
      </c>
      <c r="D396" s="49"/>
      <c r="E396" s="48">
        <v>113.5</v>
      </c>
    </row>
    <row r="397">
      <c r="A397" s="46" t="s">
        <v>17</v>
      </c>
      <c r="B397" s="46" t="s">
        <v>13</v>
      </c>
      <c r="C397" s="49"/>
      <c r="D397" s="48">
        <v>100.5</v>
      </c>
      <c r="E397" s="48">
        <v>100.5</v>
      </c>
    </row>
    <row r="398">
      <c r="A398" s="46" t="s">
        <v>17</v>
      </c>
      <c r="B398" s="46" t="s">
        <v>15</v>
      </c>
      <c r="C398" s="48">
        <v>119.1</v>
      </c>
      <c r="D398" s="49"/>
      <c r="E398" s="48">
        <v>119.1</v>
      </c>
    </row>
    <row r="399">
      <c r="A399" s="46" t="s">
        <v>17</v>
      </c>
      <c r="B399" s="46" t="s">
        <v>15</v>
      </c>
      <c r="C399" s="48">
        <v>98.7</v>
      </c>
      <c r="D399" s="49"/>
      <c r="E399" s="48">
        <v>98.7</v>
      </c>
    </row>
    <row r="400">
      <c r="A400" s="46" t="s">
        <v>17</v>
      </c>
      <c r="B400" s="46" t="s">
        <v>15</v>
      </c>
      <c r="C400" s="48">
        <v>127.5</v>
      </c>
      <c r="D400" s="49"/>
      <c r="E400" s="48">
        <v>127.5</v>
      </c>
    </row>
    <row r="401">
      <c r="A401" s="46" t="s">
        <v>17</v>
      </c>
      <c r="B401" s="46" t="s">
        <v>15</v>
      </c>
      <c r="C401" s="48">
        <v>123.6</v>
      </c>
      <c r="D401" s="49"/>
      <c r="E401" s="48">
        <v>123.6</v>
      </c>
    </row>
    <row r="402">
      <c r="A402" s="46" t="s">
        <v>17</v>
      </c>
      <c r="B402" s="46" t="s">
        <v>15</v>
      </c>
      <c r="C402" s="48">
        <v>124.3</v>
      </c>
      <c r="D402" s="49"/>
      <c r="E402" s="48">
        <v>124.3</v>
      </c>
    </row>
    <row r="403">
      <c r="A403" s="46" t="s">
        <v>17</v>
      </c>
      <c r="B403" s="46" t="s">
        <v>15</v>
      </c>
      <c r="C403" s="48">
        <v>116.8</v>
      </c>
      <c r="D403" s="49"/>
      <c r="E403" s="48">
        <v>116.8</v>
      </c>
    </row>
    <row r="404">
      <c r="A404" s="46" t="s">
        <v>17</v>
      </c>
      <c r="B404" s="46" t="s">
        <v>13</v>
      </c>
      <c r="C404" s="49"/>
      <c r="D404" s="48">
        <v>111.4</v>
      </c>
      <c r="E404" s="48">
        <v>111.4</v>
      </c>
    </row>
    <row r="405">
      <c r="A405" s="46" t="s">
        <v>17</v>
      </c>
      <c r="B405" s="46" t="s">
        <v>13</v>
      </c>
      <c r="C405" s="49"/>
      <c r="D405" s="48">
        <v>100.9</v>
      </c>
      <c r="E405" s="48">
        <v>100.9</v>
      </c>
    </row>
    <row r="406">
      <c r="A406" s="46" t="s">
        <v>17</v>
      </c>
      <c r="B406" s="46" t="s">
        <v>13</v>
      </c>
      <c r="C406" s="49"/>
      <c r="D406" s="48">
        <v>95.5</v>
      </c>
      <c r="E406" s="48">
        <v>95.5</v>
      </c>
    </row>
    <row r="407">
      <c r="A407" s="46" t="s">
        <v>17</v>
      </c>
      <c r="B407" s="46" t="s">
        <v>15</v>
      </c>
      <c r="C407" s="48">
        <v>111.3</v>
      </c>
      <c r="D407" s="49"/>
      <c r="E407" s="48">
        <v>111.3</v>
      </c>
    </row>
    <row r="408">
      <c r="A408" s="46" t="s">
        <v>17</v>
      </c>
      <c r="B408" s="46" t="s">
        <v>15</v>
      </c>
      <c r="C408" s="48">
        <v>117.5</v>
      </c>
      <c r="D408" s="49"/>
      <c r="E408" s="48">
        <v>117.5</v>
      </c>
    </row>
    <row r="409">
      <c r="A409" s="46" t="s">
        <v>17</v>
      </c>
      <c r="B409" s="46" t="s">
        <v>15</v>
      </c>
      <c r="C409" s="48">
        <v>145.2</v>
      </c>
      <c r="D409" s="49"/>
      <c r="E409" s="48">
        <v>145.2</v>
      </c>
    </row>
    <row r="410">
      <c r="A410" s="46" t="s">
        <v>17</v>
      </c>
      <c r="B410" s="46" t="s">
        <v>15</v>
      </c>
      <c r="C410" s="48">
        <v>130.0</v>
      </c>
      <c r="D410" s="49"/>
      <c r="E410" s="48">
        <v>130.0</v>
      </c>
    </row>
    <row r="411">
      <c r="A411" s="46" t="s">
        <v>17</v>
      </c>
      <c r="B411" s="46" t="s">
        <v>15</v>
      </c>
      <c r="C411" s="48">
        <v>128.7</v>
      </c>
      <c r="D411" s="49"/>
      <c r="E411" s="48">
        <v>128.7</v>
      </c>
    </row>
    <row r="412">
      <c r="A412" s="46" t="s">
        <v>17</v>
      </c>
      <c r="B412" s="46" t="s">
        <v>13</v>
      </c>
      <c r="C412" s="49"/>
      <c r="D412" s="48">
        <v>85.4</v>
      </c>
      <c r="E412" s="48">
        <v>85.4</v>
      </c>
    </row>
    <row r="413">
      <c r="A413" s="46" t="s">
        <v>17</v>
      </c>
      <c r="B413" s="46" t="s">
        <v>13</v>
      </c>
      <c r="C413" s="49"/>
      <c r="D413" s="48">
        <v>101.5</v>
      </c>
      <c r="E413" s="48">
        <v>101.5</v>
      </c>
    </row>
    <row r="414">
      <c r="A414" s="46" t="s">
        <v>17</v>
      </c>
      <c r="B414" s="46" t="s">
        <v>13</v>
      </c>
      <c r="C414" s="49"/>
      <c r="D414" s="48">
        <v>107.3</v>
      </c>
      <c r="E414" s="48">
        <v>107.3</v>
      </c>
    </row>
    <row r="415">
      <c r="A415" s="46" t="s">
        <v>17</v>
      </c>
      <c r="B415" s="46" t="s">
        <v>15</v>
      </c>
      <c r="C415" s="48">
        <v>124.3</v>
      </c>
      <c r="D415" s="49"/>
      <c r="E415" s="48">
        <v>124.3</v>
      </c>
    </row>
    <row r="416">
      <c r="A416" s="46" t="s">
        <v>17</v>
      </c>
      <c r="B416" s="46" t="s">
        <v>14</v>
      </c>
      <c r="C416" s="48">
        <v>129.6</v>
      </c>
      <c r="D416" s="48">
        <v>118.8</v>
      </c>
      <c r="E416" s="48">
        <v>121.2</v>
      </c>
    </row>
    <row r="417">
      <c r="A417" s="46" t="s">
        <v>17</v>
      </c>
      <c r="B417" s="46" t="s">
        <v>15</v>
      </c>
      <c r="C417" s="48">
        <v>119.8</v>
      </c>
      <c r="D417" s="49"/>
      <c r="E417" s="48">
        <v>119.8</v>
      </c>
    </row>
    <row r="418">
      <c r="A418" s="46" t="s">
        <v>17</v>
      </c>
      <c r="B418" s="46" t="s">
        <v>15</v>
      </c>
      <c r="C418" s="48">
        <v>114.0</v>
      </c>
      <c r="D418" s="49"/>
      <c r="E418" s="48">
        <v>114.0</v>
      </c>
    </row>
    <row r="419">
      <c r="A419" s="46" t="s">
        <v>17</v>
      </c>
      <c r="B419" s="46" t="s">
        <v>15</v>
      </c>
      <c r="C419" s="48">
        <v>116.3</v>
      </c>
      <c r="D419" s="49"/>
      <c r="E419" s="48">
        <v>116.3</v>
      </c>
    </row>
    <row r="420">
      <c r="A420" s="46" t="s">
        <v>17</v>
      </c>
      <c r="B420" s="46" t="s">
        <v>14</v>
      </c>
      <c r="C420" s="48">
        <v>121.8</v>
      </c>
      <c r="D420" s="48">
        <v>96.8</v>
      </c>
      <c r="E420" s="48">
        <v>119.7</v>
      </c>
    </row>
    <row r="421">
      <c r="A421" s="46" t="s">
        <v>17</v>
      </c>
      <c r="B421" s="46" t="s">
        <v>13</v>
      </c>
      <c r="C421" s="49"/>
      <c r="D421" s="48">
        <v>97.2</v>
      </c>
      <c r="E421" s="48">
        <v>97.2</v>
      </c>
    </row>
    <row r="422">
      <c r="A422" s="46" t="s">
        <v>17</v>
      </c>
      <c r="B422" s="46" t="s">
        <v>15</v>
      </c>
      <c r="C422" s="48">
        <v>123.9</v>
      </c>
      <c r="D422" s="49"/>
      <c r="E422" s="48">
        <v>123.9</v>
      </c>
    </row>
    <row r="423">
      <c r="A423" s="46" t="s">
        <v>17</v>
      </c>
      <c r="B423" s="46" t="s">
        <v>14</v>
      </c>
      <c r="C423" s="48">
        <v>112.8</v>
      </c>
      <c r="D423" s="48">
        <v>89.2</v>
      </c>
      <c r="E423" s="48">
        <v>105.7</v>
      </c>
    </row>
    <row r="424">
      <c r="A424" s="46" t="s">
        <v>17</v>
      </c>
      <c r="B424" s="46" t="s">
        <v>14</v>
      </c>
      <c r="C424" s="48">
        <v>110.2</v>
      </c>
      <c r="D424" s="48">
        <v>96.8</v>
      </c>
      <c r="E424" s="48">
        <v>100.4</v>
      </c>
    </row>
    <row r="425">
      <c r="A425" s="46" t="s">
        <v>17</v>
      </c>
      <c r="B425" s="46" t="s">
        <v>14</v>
      </c>
      <c r="C425" s="48">
        <v>112.1</v>
      </c>
      <c r="D425" s="48">
        <v>87.3</v>
      </c>
      <c r="E425" s="48">
        <v>106.9</v>
      </c>
    </row>
    <row r="426">
      <c r="A426" s="46" t="s">
        <v>17</v>
      </c>
      <c r="B426" s="46" t="s">
        <v>13</v>
      </c>
      <c r="C426" s="49"/>
      <c r="D426" s="48">
        <v>101.4</v>
      </c>
      <c r="E426" s="48">
        <v>101.4</v>
      </c>
    </row>
    <row r="427">
      <c r="A427" s="46" t="s">
        <v>17</v>
      </c>
      <c r="B427" s="46" t="s">
        <v>15</v>
      </c>
      <c r="C427" s="48">
        <v>137.0</v>
      </c>
      <c r="D427" s="49"/>
      <c r="E427" s="48">
        <v>137.0</v>
      </c>
    </row>
    <row r="428">
      <c r="A428" s="46" t="s">
        <v>17</v>
      </c>
      <c r="B428" s="46" t="s">
        <v>15</v>
      </c>
      <c r="C428" s="48">
        <v>145.8</v>
      </c>
      <c r="D428" s="49"/>
      <c r="E428" s="48">
        <v>145.8</v>
      </c>
    </row>
    <row r="429">
      <c r="A429" s="46" t="s">
        <v>17</v>
      </c>
      <c r="B429" s="46" t="s">
        <v>15</v>
      </c>
      <c r="C429" s="48">
        <v>140.4</v>
      </c>
      <c r="D429" s="49"/>
      <c r="E429" s="48">
        <v>140.4</v>
      </c>
    </row>
    <row r="430">
      <c r="A430" s="46" t="s">
        <v>17</v>
      </c>
      <c r="B430" s="46" t="s">
        <v>15</v>
      </c>
      <c r="C430" s="48">
        <v>153.2</v>
      </c>
      <c r="D430" s="49"/>
      <c r="E430" s="48">
        <v>153.2</v>
      </c>
    </row>
    <row r="431">
      <c r="A431" s="46" t="s">
        <v>17</v>
      </c>
      <c r="B431" s="46" t="s">
        <v>15</v>
      </c>
      <c r="C431" s="48">
        <v>147.8</v>
      </c>
      <c r="D431" s="49"/>
      <c r="E431" s="48">
        <v>147.8</v>
      </c>
    </row>
    <row r="432">
      <c r="A432" s="46" t="s">
        <v>17</v>
      </c>
      <c r="B432" s="46" t="s">
        <v>15</v>
      </c>
      <c r="C432" s="48">
        <v>138.7</v>
      </c>
      <c r="D432" s="49"/>
      <c r="E432" s="48">
        <v>138.7</v>
      </c>
    </row>
    <row r="433">
      <c r="A433" s="46" t="s">
        <v>17</v>
      </c>
      <c r="B433" s="46" t="s">
        <v>15</v>
      </c>
      <c r="C433" s="48">
        <v>138.4</v>
      </c>
      <c r="D433" s="49"/>
      <c r="E433" s="48">
        <v>138.4</v>
      </c>
    </row>
    <row r="434">
      <c r="A434" s="46" t="s">
        <v>17</v>
      </c>
      <c r="B434" s="46" t="s">
        <v>15</v>
      </c>
      <c r="C434" s="48">
        <v>149.5</v>
      </c>
      <c r="D434" s="49"/>
      <c r="E434" s="48">
        <v>149.5</v>
      </c>
    </row>
    <row r="435">
      <c r="A435" s="46" t="s">
        <v>17</v>
      </c>
      <c r="B435" s="46" t="s">
        <v>15</v>
      </c>
      <c r="C435" s="48">
        <v>145.9</v>
      </c>
      <c r="D435" s="49"/>
      <c r="E435" s="48">
        <v>145.9</v>
      </c>
    </row>
    <row r="436">
      <c r="A436" s="46" t="s">
        <v>17</v>
      </c>
      <c r="B436" s="46" t="s">
        <v>14</v>
      </c>
      <c r="C436" s="48">
        <v>125.8</v>
      </c>
      <c r="D436" s="48">
        <v>119.9</v>
      </c>
      <c r="E436" s="48">
        <v>123.0</v>
      </c>
    </row>
    <row r="437">
      <c r="A437" s="46" t="s">
        <v>17</v>
      </c>
      <c r="B437" s="46" t="s">
        <v>14</v>
      </c>
      <c r="C437" s="48">
        <v>126.4</v>
      </c>
      <c r="D437" s="48">
        <v>112.0</v>
      </c>
      <c r="E437" s="48">
        <v>120.0</v>
      </c>
    </row>
    <row r="438">
      <c r="A438" s="46" t="s">
        <v>17</v>
      </c>
      <c r="B438" s="46" t="s">
        <v>15</v>
      </c>
      <c r="C438" s="48">
        <v>102.8</v>
      </c>
      <c r="D438" s="49"/>
      <c r="E438" s="48">
        <v>102.8</v>
      </c>
    </row>
    <row r="439">
      <c r="A439" s="46" t="s">
        <v>17</v>
      </c>
      <c r="B439" s="46" t="s">
        <v>14</v>
      </c>
      <c r="C439" s="48">
        <v>130.1</v>
      </c>
      <c r="D439" s="48">
        <v>111.2</v>
      </c>
      <c r="E439" s="48">
        <v>122.5</v>
      </c>
    </row>
    <row r="440">
      <c r="A440" s="46" t="s">
        <v>17</v>
      </c>
      <c r="B440" s="46" t="s">
        <v>15</v>
      </c>
      <c r="C440" s="48">
        <v>130.0</v>
      </c>
      <c r="D440" s="49"/>
      <c r="E440" s="48">
        <v>130.0</v>
      </c>
    </row>
    <row r="441">
      <c r="A441" s="46" t="s">
        <v>17</v>
      </c>
      <c r="B441" s="46" t="s">
        <v>14</v>
      </c>
      <c r="C441" s="48">
        <v>112.2</v>
      </c>
      <c r="D441" s="48">
        <v>88.7</v>
      </c>
      <c r="E441" s="48">
        <v>100.2</v>
      </c>
    </row>
    <row r="442">
      <c r="A442" s="46" t="s">
        <v>17</v>
      </c>
      <c r="B442" s="46" t="s">
        <v>13</v>
      </c>
      <c r="C442" s="49"/>
      <c r="D442" s="48">
        <v>96.5</v>
      </c>
      <c r="E442" s="48">
        <v>96.5</v>
      </c>
    </row>
    <row r="443">
      <c r="A443" s="46" t="s">
        <v>17</v>
      </c>
      <c r="B443" s="46" t="s">
        <v>15</v>
      </c>
      <c r="C443" s="48">
        <v>122.5</v>
      </c>
      <c r="D443" s="49"/>
      <c r="E443" s="48">
        <v>122.5</v>
      </c>
    </row>
    <row r="444">
      <c r="A444" s="46" t="s">
        <v>17</v>
      </c>
      <c r="B444" s="46" t="s">
        <v>14</v>
      </c>
      <c r="C444" s="48">
        <v>109.0</v>
      </c>
      <c r="D444" s="48">
        <v>91.0</v>
      </c>
      <c r="E444" s="48">
        <v>98.0</v>
      </c>
    </row>
    <row r="445">
      <c r="A445" s="46" t="s">
        <v>17</v>
      </c>
      <c r="B445" s="46" t="s">
        <v>13</v>
      </c>
      <c r="C445" s="49"/>
      <c r="D445" s="48">
        <v>104.0</v>
      </c>
      <c r="E445" s="48">
        <v>104.0</v>
      </c>
    </row>
    <row r="446">
      <c r="A446" s="46" t="s">
        <v>17</v>
      </c>
      <c r="B446" s="46" t="s">
        <v>15</v>
      </c>
      <c r="C446" s="48">
        <v>125.5</v>
      </c>
      <c r="D446" s="49"/>
      <c r="E446" s="48">
        <v>125.5</v>
      </c>
    </row>
    <row r="447">
      <c r="A447" s="46" t="s">
        <v>17</v>
      </c>
      <c r="B447" s="46" t="s">
        <v>15</v>
      </c>
      <c r="C447" s="48">
        <v>118.4</v>
      </c>
      <c r="D447" s="49"/>
      <c r="E447" s="48">
        <v>118.4</v>
      </c>
    </row>
    <row r="448">
      <c r="A448" s="46" t="s">
        <v>17</v>
      </c>
      <c r="B448" s="46" t="s">
        <v>15</v>
      </c>
      <c r="C448" s="48">
        <v>142.1</v>
      </c>
      <c r="D448" s="49"/>
      <c r="E448" s="48">
        <v>142.1</v>
      </c>
    </row>
    <row r="449">
      <c r="A449" s="46" t="s">
        <v>17</v>
      </c>
      <c r="B449" s="46" t="s">
        <v>15</v>
      </c>
      <c r="C449" s="48">
        <v>145.7</v>
      </c>
      <c r="D449" s="49"/>
      <c r="E449" s="48">
        <v>145.7</v>
      </c>
    </row>
    <row r="450">
      <c r="A450" s="46" t="s">
        <v>17</v>
      </c>
      <c r="B450" s="46" t="s">
        <v>15</v>
      </c>
      <c r="C450" s="48">
        <v>141.2</v>
      </c>
      <c r="D450" s="49"/>
      <c r="E450" s="48">
        <v>141.2</v>
      </c>
    </row>
    <row r="451">
      <c r="A451" s="46" t="s">
        <v>17</v>
      </c>
      <c r="B451" s="46" t="s">
        <v>15</v>
      </c>
      <c r="C451" s="48">
        <v>146.3</v>
      </c>
      <c r="D451" s="49"/>
      <c r="E451" s="48">
        <v>146.3</v>
      </c>
    </row>
    <row r="452">
      <c r="A452" s="46" t="s">
        <v>17</v>
      </c>
      <c r="B452" s="46" t="s">
        <v>13</v>
      </c>
      <c r="C452" s="49"/>
      <c r="D452" s="48">
        <v>108.0</v>
      </c>
      <c r="E452" s="48">
        <v>108.0</v>
      </c>
    </row>
    <row r="453">
      <c r="A453" s="46" t="s">
        <v>17</v>
      </c>
      <c r="B453" s="46" t="s">
        <v>15</v>
      </c>
      <c r="C453" s="48">
        <v>149.3</v>
      </c>
      <c r="D453" s="49"/>
      <c r="E453" s="48">
        <v>149.3</v>
      </c>
    </row>
    <row r="454">
      <c r="A454" s="46" t="s">
        <v>17</v>
      </c>
      <c r="B454" s="46" t="s">
        <v>14</v>
      </c>
      <c r="C454" s="48">
        <v>112.3</v>
      </c>
      <c r="D454" s="48">
        <v>91.1</v>
      </c>
      <c r="E454" s="48">
        <v>101.6</v>
      </c>
    </row>
    <row r="455">
      <c r="A455" s="46" t="s">
        <v>17</v>
      </c>
      <c r="B455" s="46" t="s">
        <v>15</v>
      </c>
      <c r="C455" s="48">
        <v>108.1</v>
      </c>
      <c r="D455" s="49"/>
      <c r="E455" s="48">
        <v>108.1</v>
      </c>
    </row>
    <row r="456">
      <c r="A456" s="46" t="s">
        <v>17</v>
      </c>
      <c r="B456" s="46" t="s">
        <v>13</v>
      </c>
      <c r="C456" s="49"/>
      <c r="D456" s="48">
        <v>96.9</v>
      </c>
      <c r="E456" s="48">
        <v>96.9</v>
      </c>
    </row>
    <row r="457">
      <c r="A457" s="46" t="s">
        <v>17</v>
      </c>
      <c r="B457" s="46" t="s">
        <v>15</v>
      </c>
      <c r="C457" s="48">
        <v>123.0</v>
      </c>
      <c r="D457" s="49"/>
      <c r="E457" s="48">
        <v>123.0</v>
      </c>
    </row>
    <row r="458">
      <c r="A458" s="46" t="s">
        <v>17</v>
      </c>
      <c r="B458" s="46" t="s">
        <v>13</v>
      </c>
      <c r="C458" s="49"/>
      <c r="D458" s="48">
        <v>100.5</v>
      </c>
      <c r="E458" s="48">
        <v>100.5</v>
      </c>
    </row>
    <row r="459">
      <c r="A459" s="46" t="s">
        <v>17</v>
      </c>
      <c r="B459" s="46" t="s">
        <v>13</v>
      </c>
      <c r="C459" s="49"/>
      <c r="D459" s="48">
        <v>97.9</v>
      </c>
      <c r="E459" s="48">
        <v>97.9</v>
      </c>
    </row>
    <row r="460">
      <c r="A460" s="46" t="s">
        <v>17</v>
      </c>
      <c r="B460" s="46" t="s">
        <v>13</v>
      </c>
      <c r="C460" s="49"/>
      <c r="D460" s="48">
        <v>106.2</v>
      </c>
      <c r="E460" s="48">
        <v>106.2</v>
      </c>
    </row>
    <row r="461">
      <c r="A461" s="46" t="s">
        <v>17</v>
      </c>
      <c r="B461" s="46" t="s">
        <v>13</v>
      </c>
      <c r="C461" s="49"/>
      <c r="D461" s="48">
        <v>101.1</v>
      </c>
      <c r="E461" s="48">
        <v>101.1</v>
      </c>
    </row>
    <row r="462">
      <c r="A462" s="46" t="s">
        <v>17</v>
      </c>
      <c r="B462" s="46" t="s">
        <v>15</v>
      </c>
      <c r="C462" s="48">
        <v>120.4</v>
      </c>
      <c r="D462" s="49"/>
      <c r="E462" s="48">
        <v>120.4</v>
      </c>
    </row>
    <row r="463">
      <c r="A463" s="46" t="s">
        <v>17</v>
      </c>
      <c r="B463" s="46" t="s">
        <v>15</v>
      </c>
      <c r="C463" s="48">
        <v>125.1</v>
      </c>
      <c r="D463" s="49"/>
      <c r="E463" s="48">
        <v>125.1</v>
      </c>
    </row>
    <row r="464">
      <c r="A464" s="46" t="s">
        <v>17</v>
      </c>
      <c r="B464" s="46" t="s">
        <v>14</v>
      </c>
      <c r="C464" s="48">
        <v>110.0</v>
      </c>
      <c r="D464" s="48">
        <v>100.3</v>
      </c>
      <c r="E464" s="48">
        <v>108.6</v>
      </c>
    </row>
    <row r="465">
      <c r="A465" s="46" t="s">
        <v>17</v>
      </c>
      <c r="B465" s="46" t="s">
        <v>15</v>
      </c>
      <c r="C465" s="48">
        <v>115.3</v>
      </c>
      <c r="D465" s="49"/>
      <c r="E465" s="48">
        <v>115.3</v>
      </c>
    </row>
    <row r="466">
      <c r="A466" s="46" t="s">
        <v>17</v>
      </c>
      <c r="B466" s="46" t="s">
        <v>15</v>
      </c>
      <c r="C466" s="48">
        <v>124.3</v>
      </c>
      <c r="D466" s="49"/>
      <c r="E466" s="48">
        <v>124.3</v>
      </c>
    </row>
    <row r="467">
      <c r="A467" s="46" t="s">
        <v>17</v>
      </c>
      <c r="B467" s="46" t="s">
        <v>13</v>
      </c>
      <c r="C467" s="49"/>
      <c r="D467" s="48">
        <v>76.2</v>
      </c>
      <c r="E467" s="48">
        <v>76.2</v>
      </c>
    </row>
    <row r="468">
      <c r="A468" s="46" t="s">
        <v>17</v>
      </c>
      <c r="B468" s="46" t="s">
        <v>14</v>
      </c>
      <c r="C468" s="48">
        <v>120.1</v>
      </c>
      <c r="D468" s="48">
        <v>82.8</v>
      </c>
      <c r="E468" s="48">
        <v>115.0</v>
      </c>
    </row>
    <row r="469">
      <c r="A469" s="46" t="s">
        <v>17</v>
      </c>
      <c r="B469" s="46" t="s">
        <v>15</v>
      </c>
      <c r="C469" s="48">
        <v>133.2</v>
      </c>
      <c r="D469" s="49"/>
      <c r="E469" s="48">
        <v>133.2</v>
      </c>
    </row>
    <row r="470">
      <c r="A470" s="46" t="s">
        <v>17</v>
      </c>
      <c r="B470" s="46" t="s">
        <v>14</v>
      </c>
      <c r="C470" s="48">
        <v>129.0</v>
      </c>
      <c r="D470" s="48">
        <v>112.3</v>
      </c>
      <c r="E470" s="48">
        <v>127.1</v>
      </c>
    </row>
    <row r="471">
      <c r="A471" s="46" t="s">
        <v>17</v>
      </c>
      <c r="B471" s="46" t="s">
        <v>15</v>
      </c>
      <c r="C471" s="48">
        <v>146.2</v>
      </c>
      <c r="D471" s="49"/>
      <c r="E471" s="48">
        <v>146.2</v>
      </c>
    </row>
    <row r="472">
      <c r="A472" s="46" t="s">
        <v>17</v>
      </c>
      <c r="B472" s="46" t="s">
        <v>15</v>
      </c>
      <c r="C472" s="48">
        <v>134.1</v>
      </c>
      <c r="D472" s="49"/>
      <c r="E472" s="48">
        <v>134.1</v>
      </c>
    </row>
    <row r="473">
      <c r="A473" s="46" t="s">
        <v>17</v>
      </c>
      <c r="B473" s="46" t="s">
        <v>14</v>
      </c>
      <c r="C473" s="48">
        <v>125.7</v>
      </c>
      <c r="D473" s="48">
        <v>109.2</v>
      </c>
      <c r="E473" s="48">
        <v>122.6</v>
      </c>
    </row>
    <row r="474">
      <c r="A474" s="46" t="s">
        <v>17</v>
      </c>
      <c r="B474" s="46" t="s">
        <v>15</v>
      </c>
      <c r="C474" s="48">
        <v>108.2</v>
      </c>
      <c r="D474" s="49"/>
      <c r="E474" s="48">
        <v>108.2</v>
      </c>
    </row>
    <row r="475">
      <c r="A475" s="46" t="s">
        <v>17</v>
      </c>
      <c r="B475" s="46" t="s">
        <v>15</v>
      </c>
      <c r="C475" s="48">
        <v>145.2</v>
      </c>
      <c r="D475" s="49"/>
      <c r="E475" s="48">
        <v>145.2</v>
      </c>
    </row>
    <row r="476">
      <c r="A476" s="46" t="s">
        <v>17</v>
      </c>
      <c r="B476" s="46" t="s">
        <v>15</v>
      </c>
      <c r="C476" s="48">
        <v>154.0</v>
      </c>
      <c r="D476" s="49"/>
      <c r="E476" s="48">
        <v>154.0</v>
      </c>
    </row>
    <row r="477">
      <c r="A477" s="46" t="s">
        <v>17</v>
      </c>
      <c r="B477" s="46" t="s">
        <v>14</v>
      </c>
      <c r="C477" s="48">
        <v>122.8</v>
      </c>
      <c r="D477" s="48">
        <v>112.2</v>
      </c>
      <c r="E477" s="48">
        <v>117.3</v>
      </c>
    </row>
    <row r="478">
      <c r="A478" s="46" t="s">
        <v>17</v>
      </c>
      <c r="B478" s="46" t="s">
        <v>14</v>
      </c>
      <c r="C478" s="48">
        <v>116.5</v>
      </c>
      <c r="D478" s="48">
        <v>108.1</v>
      </c>
      <c r="E478" s="48">
        <v>112.0</v>
      </c>
    </row>
    <row r="479">
      <c r="A479" s="46" t="s">
        <v>17</v>
      </c>
      <c r="B479" s="46" t="s">
        <v>13</v>
      </c>
      <c r="C479" s="49"/>
      <c r="D479" s="48">
        <v>108.6</v>
      </c>
      <c r="E479" s="48">
        <v>108.6</v>
      </c>
    </row>
    <row r="480">
      <c r="A480" s="46" t="s">
        <v>17</v>
      </c>
      <c r="B480" s="46" t="s">
        <v>15</v>
      </c>
      <c r="C480" s="48">
        <v>143.6</v>
      </c>
      <c r="D480" s="49"/>
      <c r="E480" s="48">
        <v>143.6</v>
      </c>
    </row>
    <row r="481">
      <c r="A481" s="46" t="s">
        <v>17</v>
      </c>
      <c r="B481" s="46" t="s">
        <v>15</v>
      </c>
      <c r="C481" s="48">
        <v>115.7</v>
      </c>
      <c r="D481" s="49"/>
      <c r="E481" s="48">
        <v>115.7</v>
      </c>
    </row>
    <row r="482">
      <c r="A482" s="46" t="s">
        <v>17</v>
      </c>
      <c r="B482" s="46" t="s">
        <v>15</v>
      </c>
      <c r="C482" s="48">
        <v>97.9</v>
      </c>
      <c r="D482" s="49"/>
      <c r="E482" s="48">
        <v>97.9</v>
      </c>
    </row>
    <row r="483">
      <c r="A483" s="46" t="s">
        <v>17</v>
      </c>
      <c r="B483" s="46" t="s">
        <v>15</v>
      </c>
      <c r="C483" s="48">
        <v>148.2</v>
      </c>
      <c r="D483" s="49"/>
      <c r="E483" s="48">
        <v>148.2</v>
      </c>
    </row>
    <row r="484">
      <c r="A484" s="46" t="s">
        <v>17</v>
      </c>
      <c r="B484" s="46" t="s">
        <v>15</v>
      </c>
      <c r="C484" s="48">
        <v>132.1</v>
      </c>
      <c r="D484" s="49"/>
      <c r="E484" s="48">
        <v>132.1</v>
      </c>
    </row>
    <row r="485">
      <c r="A485" s="46" t="s">
        <v>17</v>
      </c>
      <c r="B485" s="46" t="s">
        <v>15</v>
      </c>
      <c r="C485" s="48">
        <v>143.5</v>
      </c>
      <c r="D485" s="49"/>
      <c r="E485" s="48">
        <v>143.5</v>
      </c>
    </row>
    <row r="486">
      <c r="A486" s="46" t="s">
        <v>17</v>
      </c>
      <c r="B486" s="46" t="s">
        <v>13</v>
      </c>
      <c r="C486" s="49"/>
      <c r="D486" s="48">
        <v>113.1</v>
      </c>
      <c r="E486" s="48">
        <v>113.1</v>
      </c>
    </row>
    <row r="487">
      <c r="A487" s="46" t="s">
        <v>17</v>
      </c>
      <c r="B487" s="46" t="s">
        <v>15</v>
      </c>
      <c r="C487" s="48">
        <v>139.7</v>
      </c>
      <c r="D487" s="49"/>
      <c r="E487" s="48">
        <v>139.7</v>
      </c>
    </row>
    <row r="488">
      <c r="A488" s="46" t="s">
        <v>17</v>
      </c>
      <c r="B488" s="46" t="s">
        <v>15</v>
      </c>
      <c r="C488" s="48">
        <v>103.5</v>
      </c>
      <c r="D488" s="49"/>
      <c r="E488" s="48">
        <v>103.5</v>
      </c>
    </row>
    <row r="489">
      <c r="A489" s="46" t="s">
        <v>17</v>
      </c>
      <c r="B489" s="46" t="s">
        <v>15</v>
      </c>
      <c r="C489" s="48">
        <v>123.6</v>
      </c>
      <c r="D489" s="49"/>
      <c r="E489" s="48">
        <v>123.6</v>
      </c>
    </row>
    <row r="490">
      <c r="A490" s="46" t="s">
        <v>17</v>
      </c>
      <c r="B490" s="46" t="s">
        <v>15</v>
      </c>
      <c r="C490" s="48">
        <v>134.9</v>
      </c>
      <c r="D490" s="49"/>
      <c r="E490" s="48">
        <v>134.9</v>
      </c>
    </row>
    <row r="491">
      <c r="A491" s="46" t="s">
        <v>17</v>
      </c>
      <c r="B491" s="46" t="s">
        <v>15</v>
      </c>
      <c r="C491" s="48">
        <v>112.0</v>
      </c>
      <c r="D491" s="49"/>
      <c r="E491" s="48">
        <v>112.0</v>
      </c>
    </row>
    <row r="492">
      <c r="A492" s="46" t="s">
        <v>17</v>
      </c>
      <c r="B492" s="46" t="s">
        <v>13</v>
      </c>
      <c r="C492" s="49"/>
      <c r="D492" s="48">
        <v>80.7</v>
      </c>
      <c r="E492" s="48">
        <v>80.7</v>
      </c>
    </row>
    <row r="493">
      <c r="A493" s="46" t="s">
        <v>17</v>
      </c>
      <c r="B493" s="46" t="s">
        <v>13</v>
      </c>
      <c r="C493" s="49"/>
      <c r="D493" s="48">
        <v>73.5</v>
      </c>
      <c r="E493" s="48">
        <v>73.5</v>
      </c>
    </row>
    <row r="494">
      <c r="A494" s="46" t="s">
        <v>17</v>
      </c>
      <c r="B494" s="46" t="s">
        <v>13</v>
      </c>
      <c r="C494" s="49"/>
      <c r="D494" s="48">
        <v>49.5</v>
      </c>
      <c r="E494" s="48">
        <v>49.5</v>
      </c>
    </row>
    <row r="495">
      <c r="A495" s="46" t="s">
        <v>17</v>
      </c>
      <c r="B495" s="46" t="s">
        <v>15</v>
      </c>
      <c r="C495" s="48">
        <v>123.5</v>
      </c>
      <c r="D495" s="49"/>
      <c r="E495" s="48">
        <v>123.5</v>
      </c>
    </row>
    <row r="496">
      <c r="A496" s="46" t="s">
        <v>17</v>
      </c>
      <c r="B496" s="46" t="s">
        <v>13</v>
      </c>
      <c r="C496" s="49"/>
      <c r="D496" s="48">
        <v>100.6</v>
      </c>
      <c r="E496" s="48">
        <v>100.6</v>
      </c>
    </row>
    <row r="497">
      <c r="A497" s="46" t="s">
        <v>17</v>
      </c>
      <c r="B497" s="46" t="s">
        <v>14</v>
      </c>
      <c r="C497" s="48">
        <v>103.9</v>
      </c>
      <c r="D497" s="48">
        <v>90.0</v>
      </c>
      <c r="E497" s="48">
        <v>101.5</v>
      </c>
    </row>
    <row r="498">
      <c r="A498" s="46" t="s">
        <v>17</v>
      </c>
      <c r="B498" s="46" t="s">
        <v>15</v>
      </c>
      <c r="C498" s="48">
        <v>125.9</v>
      </c>
      <c r="D498" s="49"/>
      <c r="E498" s="48">
        <v>125.9</v>
      </c>
    </row>
    <row r="499">
      <c r="A499" s="46" t="s">
        <v>17</v>
      </c>
      <c r="B499" s="46" t="s">
        <v>14</v>
      </c>
      <c r="C499" s="48">
        <v>119.2</v>
      </c>
      <c r="D499" s="48">
        <v>89.5</v>
      </c>
      <c r="E499" s="48">
        <v>114.9</v>
      </c>
    </row>
    <row r="500">
      <c r="A500" s="46" t="s">
        <v>17</v>
      </c>
      <c r="B500" s="46" t="s">
        <v>15</v>
      </c>
      <c r="C500" s="48">
        <v>136.9</v>
      </c>
      <c r="D500" s="49"/>
      <c r="E500" s="48">
        <v>136.9</v>
      </c>
    </row>
    <row r="501">
      <c r="A501" s="46" t="s">
        <v>17</v>
      </c>
      <c r="B501" s="46" t="s">
        <v>15</v>
      </c>
      <c r="C501" s="48">
        <v>106.2</v>
      </c>
      <c r="D501" s="49"/>
      <c r="E501" s="48">
        <v>106.2</v>
      </c>
    </row>
    <row r="502">
      <c r="A502" s="46" t="s">
        <v>17</v>
      </c>
      <c r="B502" s="46" t="s">
        <v>13</v>
      </c>
      <c r="C502" s="49"/>
      <c r="D502" s="48">
        <v>83.0</v>
      </c>
      <c r="E502" s="48">
        <v>83.0</v>
      </c>
    </row>
    <row r="503">
      <c r="A503" s="46" t="s">
        <v>17</v>
      </c>
      <c r="B503" s="46" t="s">
        <v>15</v>
      </c>
      <c r="C503" s="48">
        <v>119.8</v>
      </c>
      <c r="D503" s="49"/>
      <c r="E503" s="48">
        <v>119.8</v>
      </c>
    </row>
    <row r="504">
      <c r="A504" s="46" t="s">
        <v>17</v>
      </c>
      <c r="B504" s="46" t="s">
        <v>15</v>
      </c>
      <c r="C504" s="48">
        <v>107.2</v>
      </c>
      <c r="D504" s="49"/>
      <c r="E504" s="48">
        <v>107.2</v>
      </c>
    </row>
    <row r="505">
      <c r="A505" s="46" t="s">
        <v>17</v>
      </c>
      <c r="B505" s="46" t="s">
        <v>13</v>
      </c>
      <c r="C505" s="49"/>
      <c r="D505" s="48">
        <v>94.7</v>
      </c>
      <c r="E505" s="48">
        <v>94.7</v>
      </c>
    </row>
    <row r="506">
      <c r="A506" s="46" t="s">
        <v>17</v>
      </c>
      <c r="B506" s="46" t="s">
        <v>15</v>
      </c>
      <c r="C506" s="48">
        <v>131.2</v>
      </c>
      <c r="D506" s="49"/>
      <c r="E506" s="48">
        <v>131.2</v>
      </c>
    </row>
    <row r="507">
      <c r="A507" s="46" t="s">
        <v>17</v>
      </c>
      <c r="B507" s="46" t="s">
        <v>13</v>
      </c>
      <c r="C507" s="49"/>
      <c r="D507" s="48">
        <v>94.6</v>
      </c>
      <c r="E507" s="48">
        <v>94.6</v>
      </c>
    </row>
    <row r="508">
      <c r="A508" s="46" t="s">
        <v>17</v>
      </c>
      <c r="B508" s="46" t="s">
        <v>15</v>
      </c>
      <c r="C508" s="48">
        <v>143.8</v>
      </c>
      <c r="D508" s="49"/>
      <c r="E508" s="48">
        <v>143.8</v>
      </c>
    </row>
    <row r="509">
      <c r="A509" s="46" t="s">
        <v>17</v>
      </c>
      <c r="B509" s="46" t="s">
        <v>15</v>
      </c>
      <c r="C509" s="48">
        <v>104.8</v>
      </c>
      <c r="D509" s="49"/>
      <c r="E509" s="48">
        <v>104.8</v>
      </c>
    </row>
    <row r="510">
      <c r="A510" s="46" t="s">
        <v>17</v>
      </c>
      <c r="B510" s="46" t="s">
        <v>13</v>
      </c>
      <c r="C510" s="49"/>
      <c r="D510" s="48">
        <v>94.6</v>
      </c>
      <c r="E510" s="48">
        <v>94.6</v>
      </c>
    </row>
    <row r="511">
      <c r="A511" s="46" t="s">
        <v>17</v>
      </c>
      <c r="B511" s="46" t="s">
        <v>13</v>
      </c>
      <c r="C511" s="49"/>
      <c r="D511" s="48">
        <v>97.2</v>
      </c>
      <c r="E511" s="48">
        <v>97.2</v>
      </c>
    </row>
    <row r="512">
      <c r="A512" s="46" t="s">
        <v>17</v>
      </c>
      <c r="B512" s="46" t="s">
        <v>13</v>
      </c>
      <c r="C512" s="49"/>
      <c r="D512" s="48">
        <v>96.5</v>
      </c>
      <c r="E512" s="48">
        <v>96.5</v>
      </c>
    </row>
    <row r="513">
      <c r="A513" s="46" t="s">
        <v>17</v>
      </c>
      <c r="B513" s="46" t="s">
        <v>15</v>
      </c>
      <c r="C513" s="48">
        <v>113.7</v>
      </c>
      <c r="D513" s="49"/>
      <c r="E513" s="48">
        <v>113.7</v>
      </c>
    </row>
    <row r="514">
      <c r="A514" s="46" t="s">
        <v>17</v>
      </c>
      <c r="B514" s="46" t="s">
        <v>14</v>
      </c>
      <c r="C514" s="48">
        <v>113.4</v>
      </c>
      <c r="D514" s="48">
        <v>94.9</v>
      </c>
      <c r="E514" s="48">
        <v>106.4</v>
      </c>
    </row>
    <row r="515">
      <c r="A515" s="46" t="s">
        <v>17</v>
      </c>
      <c r="B515" s="46" t="s">
        <v>14</v>
      </c>
      <c r="C515" s="48">
        <v>118.9</v>
      </c>
      <c r="D515" s="48">
        <v>95.3</v>
      </c>
      <c r="E515" s="48">
        <v>111.1</v>
      </c>
    </row>
    <row r="516">
      <c r="A516" s="46" t="s">
        <v>17</v>
      </c>
      <c r="B516" s="46" t="s">
        <v>15</v>
      </c>
      <c r="C516" s="48">
        <v>151.5</v>
      </c>
      <c r="D516" s="49"/>
      <c r="E516" s="48">
        <v>151.5</v>
      </c>
    </row>
    <row r="517">
      <c r="A517" s="46" t="s">
        <v>17</v>
      </c>
      <c r="B517" s="46" t="s">
        <v>15</v>
      </c>
      <c r="C517" s="48">
        <v>138.0</v>
      </c>
      <c r="D517" s="49"/>
      <c r="E517" s="48">
        <v>138.0</v>
      </c>
    </row>
    <row r="518">
      <c r="A518" s="46" t="s">
        <v>17</v>
      </c>
      <c r="B518" s="46" t="s">
        <v>13</v>
      </c>
      <c r="C518" s="49"/>
      <c r="D518" s="48">
        <v>92.8</v>
      </c>
      <c r="E518" s="48">
        <v>92.8</v>
      </c>
    </row>
    <row r="519">
      <c r="A519" s="46" t="s">
        <v>17</v>
      </c>
      <c r="B519" s="46" t="s">
        <v>13</v>
      </c>
      <c r="C519" s="49"/>
      <c r="D519" s="48">
        <v>73.0</v>
      </c>
      <c r="E519" s="48">
        <v>73.0</v>
      </c>
    </row>
    <row r="520">
      <c r="A520" s="46" t="s">
        <v>17</v>
      </c>
      <c r="B520" s="46" t="s">
        <v>14</v>
      </c>
      <c r="C520" s="48">
        <v>109.1</v>
      </c>
      <c r="D520" s="48">
        <v>94.2</v>
      </c>
      <c r="E520" s="48">
        <v>96.8</v>
      </c>
    </row>
    <row r="521">
      <c r="A521" s="46" t="s">
        <v>17</v>
      </c>
      <c r="B521" s="46" t="s">
        <v>13</v>
      </c>
      <c r="C521" s="49"/>
      <c r="D521" s="48">
        <v>70.1</v>
      </c>
      <c r="E521" s="48">
        <v>70.1</v>
      </c>
    </row>
    <row r="522">
      <c r="A522" s="46" t="s">
        <v>17</v>
      </c>
      <c r="B522" s="46" t="s">
        <v>13</v>
      </c>
      <c r="C522" s="49"/>
      <c r="D522" s="48">
        <v>88.9</v>
      </c>
      <c r="E522" s="48">
        <v>88.9</v>
      </c>
    </row>
    <row r="523">
      <c r="A523" s="46" t="s">
        <v>17</v>
      </c>
      <c r="B523" s="46" t="s">
        <v>15</v>
      </c>
      <c r="C523" s="48">
        <v>70.8</v>
      </c>
      <c r="D523" s="49"/>
      <c r="E523" s="48">
        <v>70.8</v>
      </c>
    </row>
    <row r="524">
      <c r="A524" s="46" t="s">
        <v>17</v>
      </c>
      <c r="B524" s="46" t="s">
        <v>14</v>
      </c>
      <c r="C524" s="48">
        <v>117.6</v>
      </c>
      <c r="D524" s="48">
        <v>104.3</v>
      </c>
      <c r="E524" s="48">
        <v>108.7</v>
      </c>
    </row>
    <row r="525">
      <c r="A525" s="46" t="s">
        <v>17</v>
      </c>
      <c r="B525" s="46" t="s">
        <v>14</v>
      </c>
      <c r="C525" s="48">
        <v>96.4</v>
      </c>
      <c r="D525" s="48">
        <v>94.7</v>
      </c>
      <c r="E525" s="48">
        <v>95.0</v>
      </c>
    </row>
    <row r="526">
      <c r="A526" s="46" t="s">
        <v>17</v>
      </c>
      <c r="B526" s="46" t="s">
        <v>14</v>
      </c>
      <c r="C526" s="48">
        <v>104.5</v>
      </c>
      <c r="D526" s="48">
        <v>95.2</v>
      </c>
      <c r="E526" s="48">
        <v>96.0</v>
      </c>
    </row>
    <row r="527">
      <c r="A527" s="46" t="s">
        <v>17</v>
      </c>
      <c r="B527" s="46" t="s">
        <v>15</v>
      </c>
      <c r="C527" s="48">
        <v>117.2</v>
      </c>
      <c r="D527" s="49"/>
      <c r="E527" s="48">
        <v>117.2</v>
      </c>
    </row>
    <row r="528">
      <c r="A528" s="46" t="s">
        <v>17</v>
      </c>
      <c r="B528" s="46" t="s">
        <v>15</v>
      </c>
      <c r="C528" s="48">
        <v>127.0</v>
      </c>
      <c r="D528" s="49"/>
      <c r="E528" s="48">
        <v>127.0</v>
      </c>
    </row>
    <row r="529">
      <c r="A529" s="46" t="s">
        <v>17</v>
      </c>
      <c r="B529" s="46" t="s">
        <v>15</v>
      </c>
      <c r="C529" s="48">
        <v>117.0</v>
      </c>
      <c r="D529" s="49"/>
      <c r="E529" s="48">
        <v>117.0</v>
      </c>
    </row>
    <row r="530">
      <c r="A530" s="46" t="s">
        <v>17</v>
      </c>
      <c r="B530" s="46" t="s">
        <v>15</v>
      </c>
      <c r="C530" s="48">
        <v>95.5</v>
      </c>
      <c r="D530" s="49"/>
      <c r="E530" s="48">
        <v>95.5</v>
      </c>
    </row>
    <row r="531">
      <c r="A531" s="46" t="s">
        <v>17</v>
      </c>
      <c r="B531" s="46" t="s">
        <v>15</v>
      </c>
      <c r="C531" s="48">
        <v>99.4</v>
      </c>
      <c r="D531" s="49"/>
      <c r="E531" s="48">
        <v>99.4</v>
      </c>
    </row>
    <row r="532">
      <c r="A532" s="46" t="s">
        <v>17</v>
      </c>
      <c r="B532" s="46" t="s">
        <v>15</v>
      </c>
      <c r="C532" s="48">
        <v>111.8</v>
      </c>
      <c r="D532" s="49"/>
      <c r="E532" s="48">
        <v>111.8</v>
      </c>
    </row>
    <row r="533">
      <c r="A533" s="46" t="s">
        <v>17</v>
      </c>
      <c r="B533" s="46" t="s">
        <v>15</v>
      </c>
      <c r="C533" s="48">
        <v>125.2</v>
      </c>
      <c r="D533" s="49"/>
      <c r="E533" s="48">
        <v>125.2</v>
      </c>
    </row>
    <row r="534">
      <c r="A534" s="46" t="s">
        <v>17</v>
      </c>
      <c r="B534" s="46" t="s">
        <v>14</v>
      </c>
      <c r="C534" s="48">
        <v>108.3</v>
      </c>
      <c r="D534" s="48">
        <v>87.5</v>
      </c>
      <c r="E534" s="48">
        <v>88.1</v>
      </c>
    </row>
    <row r="535">
      <c r="A535" s="46" t="s">
        <v>17</v>
      </c>
      <c r="B535" s="46" t="s">
        <v>15</v>
      </c>
      <c r="C535" s="48">
        <v>124.9</v>
      </c>
      <c r="D535" s="49"/>
      <c r="E535" s="48">
        <v>124.9</v>
      </c>
    </row>
    <row r="536">
      <c r="A536" s="46" t="s">
        <v>17</v>
      </c>
      <c r="B536" s="46" t="s">
        <v>13</v>
      </c>
      <c r="C536" s="49"/>
      <c r="D536" s="48">
        <v>68.7</v>
      </c>
      <c r="E536" s="48">
        <v>68.7</v>
      </c>
    </row>
    <row r="537">
      <c r="A537" s="46" t="s">
        <v>17</v>
      </c>
      <c r="B537" s="46" t="s">
        <v>15</v>
      </c>
      <c r="C537" s="48">
        <v>126.2</v>
      </c>
      <c r="D537" s="49"/>
      <c r="E537" s="48">
        <v>126.2</v>
      </c>
    </row>
    <row r="538">
      <c r="A538" s="46" t="s">
        <v>17</v>
      </c>
      <c r="B538" s="46" t="s">
        <v>15</v>
      </c>
      <c r="C538" s="48">
        <v>120.8</v>
      </c>
      <c r="D538" s="49"/>
      <c r="E538" s="48">
        <v>120.8</v>
      </c>
    </row>
    <row r="539">
      <c r="A539" s="46" t="s">
        <v>17</v>
      </c>
      <c r="B539" s="46" t="s">
        <v>15</v>
      </c>
      <c r="C539" s="48">
        <v>115.9</v>
      </c>
      <c r="D539" s="49"/>
      <c r="E539" s="48">
        <v>115.9</v>
      </c>
    </row>
    <row r="540">
      <c r="A540" s="46" t="s">
        <v>17</v>
      </c>
      <c r="B540" s="46" t="s">
        <v>15</v>
      </c>
      <c r="C540" s="48">
        <v>109.3</v>
      </c>
      <c r="D540" s="49"/>
      <c r="E540" s="48">
        <v>109.3</v>
      </c>
    </row>
    <row r="541">
      <c r="A541" s="46" t="s">
        <v>17</v>
      </c>
      <c r="B541" s="46" t="s">
        <v>15</v>
      </c>
      <c r="C541" s="48">
        <v>124.0</v>
      </c>
      <c r="D541" s="49"/>
      <c r="E541" s="48">
        <v>124.0</v>
      </c>
    </row>
    <row r="542">
      <c r="A542" s="46" t="s">
        <v>17</v>
      </c>
      <c r="B542" s="46" t="s">
        <v>14</v>
      </c>
      <c r="C542" s="48">
        <v>99.6</v>
      </c>
      <c r="D542" s="48">
        <v>93.2</v>
      </c>
      <c r="E542" s="48">
        <v>98.6</v>
      </c>
    </row>
    <row r="543">
      <c r="A543" s="46" t="s">
        <v>17</v>
      </c>
      <c r="B543" s="46" t="s">
        <v>15</v>
      </c>
      <c r="C543" s="48">
        <v>111.3</v>
      </c>
      <c r="D543" s="49"/>
      <c r="E543" s="48">
        <v>111.3</v>
      </c>
    </row>
    <row r="544">
      <c r="A544" s="46" t="s">
        <v>17</v>
      </c>
      <c r="B544" s="46" t="s">
        <v>13</v>
      </c>
      <c r="C544" s="49"/>
      <c r="D544" s="48">
        <v>84.5</v>
      </c>
      <c r="E544" s="48">
        <v>84.5</v>
      </c>
    </row>
    <row r="545">
      <c r="A545" s="46" t="s">
        <v>17</v>
      </c>
      <c r="B545" s="46" t="s">
        <v>15</v>
      </c>
      <c r="C545" s="48">
        <v>124.8</v>
      </c>
      <c r="D545" s="49"/>
      <c r="E545" s="48">
        <v>124.8</v>
      </c>
    </row>
    <row r="546">
      <c r="A546" s="46" t="s">
        <v>17</v>
      </c>
      <c r="B546" s="46" t="s">
        <v>15</v>
      </c>
      <c r="C546" s="48">
        <v>112.6</v>
      </c>
      <c r="D546" s="49"/>
      <c r="E546" s="48">
        <v>112.6</v>
      </c>
    </row>
    <row r="547">
      <c r="A547" s="46" t="s">
        <v>17</v>
      </c>
      <c r="B547" s="46" t="s">
        <v>15</v>
      </c>
      <c r="C547" s="48">
        <v>138.2</v>
      </c>
      <c r="D547" s="49"/>
      <c r="E547" s="48">
        <v>138.2</v>
      </c>
    </row>
    <row r="548">
      <c r="A548" s="46" t="s">
        <v>17</v>
      </c>
      <c r="B548" s="46" t="s">
        <v>15</v>
      </c>
      <c r="C548" s="48">
        <v>120.8</v>
      </c>
      <c r="D548" s="49"/>
      <c r="E548" s="48">
        <v>120.8</v>
      </c>
    </row>
    <row r="549">
      <c r="A549" s="46" t="s">
        <v>17</v>
      </c>
      <c r="B549" s="46" t="s">
        <v>15</v>
      </c>
      <c r="C549" s="48">
        <v>115.4</v>
      </c>
      <c r="D549" s="49"/>
      <c r="E549" s="48">
        <v>115.4</v>
      </c>
    </row>
    <row r="550">
      <c r="A550" s="46" t="s">
        <v>17</v>
      </c>
      <c r="B550" s="46" t="s">
        <v>13</v>
      </c>
      <c r="C550" s="49"/>
      <c r="D550" s="48">
        <v>103.9</v>
      </c>
      <c r="E550" s="48">
        <v>103.9</v>
      </c>
    </row>
    <row r="551">
      <c r="A551" s="46" t="s">
        <v>17</v>
      </c>
      <c r="B551" s="46" t="s">
        <v>14</v>
      </c>
      <c r="C551" s="48">
        <v>116.3</v>
      </c>
      <c r="D551" s="48">
        <v>91.2</v>
      </c>
      <c r="E551" s="48">
        <v>101.5</v>
      </c>
    </row>
    <row r="552">
      <c r="A552" s="46" t="s">
        <v>17</v>
      </c>
      <c r="B552" s="46" t="s">
        <v>13</v>
      </c>
      <c r="C552" s="49"/>
      <c r="D552" s="48">
        <v>81.0</v>
      </c>
      <c r="E552" s="48">
        <v>81.0</v>
      </c>
    </row>
    <row r="553">
      <c r="A553" s="46" t="s">
        <v>17</v>
      </c>
      <c r="B553" s="46" t="s">
        <v>13</v>
      </c>
      <c r="C553" s="49"/>
      <c r="D553" s="48">
        <v>80.9</v>
      </c>
      <c r="E553" s="48">
        <v>80.9</v>
      </c>
    </row>
    <row r="554">
      <c r="A554" s="46" t="s">
        <v>17</v>
      </c>
      <c r="B554" s="46" t="s">
        <v>15</v>
      </c>
      <c r="C554" s="48">
        <v>110.3</v>
      </c>
      <c r="D554" s="49"/>
      <c r="E554" s="48">
        <v>110.3</v>
      </c>
    </row>
    <row r="555">
      <c r="A555" s="46" t="s">
        <v>17</v>
      </c>
      <c r="B555" s="46" t="s">
        <v>13</v>
      </c>
      <c r="C555" s="49"/>
      <c r="D555" s="48">
        <v>95.3</v>
      </c>
      <c r="E555" s="48">
        <v>95.3</v>
      </c>
    </row>
    <row r="556">
      <c r="A556" s="46" t="s">
        <v>17</v>
      </c>
      <c r="B556" s="46" t="s">
        <v>14</v>
      </c>
      <c r="C556" s="48">
        <v>119.7</v>
      </c>
      <c r="D556" s="48">
        <v>100.7</v>
      </c>
      <c r="E556" s="48">
        <v>113.8</v>
      </c>
    </row>
    <row r="557">
      <c r="A557" s="46" t="s">
        <v>17</v>
      </c>
      <c r="B557" s="46" t="s">
        <v>15</v>
      </c>
      <c r="C557" s="48">
        <v>142.9</v>
      </c>
      <c r="D557" s="49"/>
      <c r="E557" s="48">
        <v>142.9</v>
      </c>
    </row>
    <row r="558">
      <c r="A558" s="46" t="s">
        <v>17</v>
      </c>
      <c r="B558" s="46" t="s">
        <v>14</v>
      </c>
      <c r="C558" s="48">
        <v>113.0</v>
      </c>
      <c r="D558" s="48">
        <v>99.1</v>
      </c>
      <c r="E558" s="48">
        <v>106.3</v>
      </c>
    </row>
    <row r="559">
      <c r="A559" s="46" t="s">
        <v>17</v>
      </c>
      <c r="B559" s="46" t="s">
        <v>13</v>
      </c>
      <c r="C559" s="49"/>
      <c r="D559" s="48">
        <v>97.8</v>
      </c>
      <c r="E559" s="48">
        <v>97.8</v>
      </c>
    </row>
    <row r="560">
      <c r="A560" s="46" t="s">
        <v>17</v>
      </c>
      <c r="B560" s="46" t="s">
        <v>13</v>
      </c>
      <c r="C560" s="49"/>
      <c r="D560" s="48">
        <v>78.4</v>
      </c>
      <c r="E560" s="48">
        <v>78.4</v>
      </c>
    </row>
    <row r="561">
      <c r="A561" s="46" t="s">
        <v>17</v>
      </c>
      <c r="B561" s="46" t="s">
        <v>13</v>
      </c>
      <c r="C561" s="49"/>
      <c r="D561" s="48">
        <v>90.4</v>
      </c>
      <c r="E561" s="48">
        <v>90.4</v>
      </c>
    </row>
    <row r="562">
      <c r="A562" s="46" t="s">
        <v>17</v>
      </c>
      <c r="B562" s="46" t="s">
        <v>14</v>
      </c>
      <c r="C562" s="48">
        <v>110.3</v>
      </c>
      <c r="D562" s="48">
        <v>81.6</v>
      </c>
      <c r="E562" s="48">
        <v>102.3</v>
      </c>
    </row>
    <row r="563">
      <c r="A563" s="46" t="s">
        <v>17</v>
      </c>
      <c r="B563" s="46" t="s">
        <v>14</v>
      </c>
      <c r="C563" s="48">
        <v>138.3</v>
      </c>
      <c r="D563" s="48">
        <v>101.4</v>
      </c>
      <c r="E563" s="48">
        <v>135.2</v>
      </c>
    </row>
    <row r="564">
      <c r="A564" s="46" t="s">
        <v>17</v>
      </c>
      <c r="B564" s="46" t="s">
        <v>15</v>
      </c>
      <c r="C564" s="48">
        <v>143.1</v>
      </c>
      <c r="D564" s="49"/>
      <c r="E564" s="48">
        <v>143.1</v>
      </c>
    </row>
    <row r="565">
      <c r="A565" s="46" t="s">
        <v>17</v>
      </c>
      <c r="B565" s="46" t="s">
        <v>13</v>
      </c>
      <c r="C565" s="49"/>
      <c r="D565" s="48">
        <v>101.7</v>
      </c>
      <c r="E565" s="48">
        <v>101.7</v>
      </c>
    </row>
    <row r="566">
      <c r="A566" s="46" t="s">
        <v>17</v>
      </c>
      <c r="B566" s="46" t="s">
        <v>15</v>
      </c>
      <c r="C566" s="48">
        <v>114.5</v>
      </c>
      <c r="D566" s="49"/>
      <c r="E566" s="48">
        <v>114.5</v>
      </c>
    </row>
    <row r="567">
      <c r="A567" s="46" t="s">
        <v>17</v>
      </c>
      <c r="B567" s="46" t="s">
        <v>15</v>
      </c>
      <c r="C567" s="48">
        <v>135.2</v>
      </c>
      <c r="D567" s="49"/>
      <c r="E567" s="48">
        <v>135.2</v>
      </c>
    </row>
    <row r="568">
      <c r="A568" s="46" t="s">
        <v>17</v>
      </c>
      <c r="B568" s="46" t="s">
        <v>15</v>
      </c>
      <c r="C568" s="48">
        <v>139.9</v>
      </c>
      <c r="D568" s="49"/>
      <c r="E568" s="48">
        <v>139.9</v>
      </c>
    </row>
    <row r="569">
      <c r="A569" s="46" t="s">
        <v>17</v>
      </c>
      <c r="B569" s="46" t="s">
        <v>13</v>
      </c>
      <c r="C569" s="49"/>
      <c r="D569" s="48">
        <v>95.0</v>
      </c>
      <c r="E569" s="48">
        <v>95.0</v>
      </c>
    </row>
    <row r="570">
      <c r="A570" s="46" t="s">
        <v>17</v>
      </c>
      <c r="B570" s="46" t="s">
        <v>13</v>
      </c>
      <c r="C570" s="49"/>
      <c r="D570" s="48">
        <v>105.1</v>
      </c>
      <c r="E570" s="48">
        <v>105.1</v>
      </c>
    </row>
    <row r="571">
      <c r="A571" s="46" t="s">
        <v>17</v>
      </c>
      <c r="B571" s="46" t="s">
        <v>13</v>
      </c>
      <c r="C571" s="49"/>
      <c r="D571" s="48">
        <v>91.3</v>
      </c>
      <c r="E571" s="48">
        <v>91.3</v>
      </c>
    </row>
    <row r="572">
      <c r="A572" s="46" t="s">
        <v>17</v>
      </c>
      <c r="B572" s="46" t="s">
        <v>14</v>
      </c>
      <c r="C572" s="48">
        <v>131.3</v>
      </c>
      <c r="D572" s="48">
        <v>115.7</v>
      </c>
      <c r="E572" s="48">
        <v>128.8</v>
      </c>
    </row>
    <row r="573">
      <c r="A573" s="46" t="s">
        <v>17</v>
      </c>
      <c r="B573" s="46" t="s">
        <v>15</v>
      </c>
      <c r="C573" s="48">
        <v>108.5</v>
      </c>
      <c r="D573" s="49"/>
      <c r="E573" s="48">
        <v>108.5</v>
      </c>
    </row>
    <row r="574">
      <c r="A574" s="46" t="s">
        <v>17</v>
      </c>
      <c r="B574" s="46" t="s">
        <v>15</v>
      </c>
      <c r="C574" s="48">
        <v>130.1</v>
      </c>
      <c r="D574" s="49"/>
      <c r="E574" s="48">
        <v>130.1</v>
      </c>
    </row>
    <row r="575">
      <c r="A575" s="46" t="s">
        <v>17</v>
      </c>
      <c r="B575" s="46" t="s">
        <v>15</v>
      </c>
      <c r="C575" s="48">
        <v>136.8</v>
      </c>
      <c r="D575" s="49"/>
      <c r="E575" s="48">
        <v>136.8</v>
      </c>
    </row>
    <row r="576">
      <c r="A576" s="46" t="s">
        <v>17</v>
      </c>
      <c r="B576" s="46" t="s">
        <v>15</v>
      </c>
      <c r="C576" s="48">
        <v>129.1</v>
      </c>
      <c r="D576" s="49"/>
      <c r="E576" s="48">
        <v>129.1</v>
      </c>
    </row>
    <row r="577">
      <c r="A577" s="46" t="s">
        <v>17</v>
      </c>
      <c r="B577" s="46" t="s">
        <v>14</v>
      </c>
      <c r="C577" s="48">
        <v>119.7</v>
      </c>
      <c r="D577" s="48">
        <v>105.1</v>
      </c>
      <c r="E577" s="48">
        <v>111.8</v>
      </c>
    </row>
    <row r="578">
      <c r="A578" s="46" t="s">
        <v>17</v>
      </c>
      <c r="B578" s="46" t="s">
        <v>15</v>
      </c>
      <c r="C578" s="48">
        <v>133.7</v>
      </c>
      <c r="D578" s="49"/>
      <c r="E578" s="48">
        <v>133.7</v>
      </c>
    </row>
    <row r="579">
      <c r="A579" s="46" t="s">
        <v>17</v>
      </c>
      <c r="B579" s="46" t="s">
        <v>13</v>
      </c>
      <c r="C579" s="49"/>
      <c r="D579" s="48">
        <v>108.6</v>
      </c>
      <c r="E579" s="48">
        <v>108.6</v>
      </c>
    </row>
    <row r="580">
      <c r="A580" s="46" t="s">
        <v>17</v>
      </c>
      <c r="B580" s="46" t="s">
        <v>14</v>
      </c>
      <c r="C580" s="48">
        <v>112.2</v>
      </c>
      <c r="D580" s="48">
        <v>92.1</v>
      </c>
      <c r="E580" s="48">
        <v>110.3</v>
      </c>
    </row>
    <row r="581">
      <c r="A581" s="46" t="s">
        <v>17</v>
      </c>
      <c r="B581" s="46" t="s">
        <v>14</v>
      </c>
      <c r="C581" s="48">
        <v>124.9</v>
      </c>
      <c r="D581" s="48">
        <v>105.0</v>
      </c>
      <c r="E581" s="48">
        <v>120.1</v>
      </c>
    </row>
    <row r="582">
      <c r="A582" s="46" t="s">
        <v>17</v>
      </c>
      <c r="B582" s="46" t="s">
        <v>15</v>
      </c>
      <c r="C582" s="48">
        <v>101.8</v>
      </c>
      <c r="D582" s="49"/>
      <c r="E582" s="48">
        <v>101.8</v>
      </c>
    </row>
    <row r="583">
      <c r="A583" s="46" t="s">
        <v>17</v>
      </c>
      <c r="B583" s="46" t="s">
        <v>15</v>
      </c>
      <c r="C583" s="48">
        <v>142.3</v>
      </c>
      <c r="D583" s="49"/>
      <c r="E583" s="48">
        <v>142.3</v>
      </c>
    </row>
    <row r="584">
      <c r="A584" s="46" t="s">
        <v>17</v>
      </c>
      <c r="B584" s="46" t="s">
        <v>15</v>
      </c>
      <c r="C584" s="48">
        <v>99.1</v>
      </c>
      <c r="D584" s="49"/>
      <c r="E584" s="48">
        <v>99.1</v>
      </c>
    </row>
    <row r="585">
      <c r="A585" s="46" t="s">
        <v>17</v>
      </c>
      <c r="B585" s="46" t="s">
        <v>13</v>
      </c>
      <c r="C585" s="49"/>
      <c r="D585" s="48">
        <v>107.6</v>
      </c>
      <c r="E585" s="48">
        <v>107.6</v>
      </c>
    </row>
    <row r="586">
      <c r="A586" s="46" t="s">
        <v>17</v>
      </c>
      <c r="B586" s="46" t="s">
        <v>15</v>
      </c>
      <c r="C586" s="48">
        <v>111.1</v>
      </c>
      <c r="D586" s="49"/>
      <c r="E586" s="48">
        <v>111.1</v>
      </c>
    </row>
    <row r="587">
      <c r="A587" s="46" t="s">
        <v>17</v>
      </c>
      <c r="B587" s="46" t="s">
        <v>13</v>
      </c>
      <c r="C587" s="49"/>
      <c r="D587" s="48">
        <v>90.1</v>
      </c>
      <c r="E587" s="48">
        <v>90.1</v>
      </c>
    </row>
    <row r="588">
      <c r="A588" s="46" t="s">
        <v>17</v>
      </c>
      <c r="B588" s="46" t="s">
        <v>15</v>
      </c>
      <c r="C588" s="48">
        <v>120.1</v>
      </c>
      <c r="D588" s="49"/>
      <c r="E588" s="48">
        <v>120.1</v>
      </c>
    </row>
    <row r="589">
      <c r="A589" s="46" t="s">
        <v>17</v>
      </c>
      <c r="B589" s="46" t="s">
        <v>13</v>
      </c>
      <c r="C589" s="49"/>
      <c r="D589" s="48">
        <v>97.3</v>
      </c>
      <c r="E589" s="48">
        <v>97.3</v>
      </c>
    </row>
    <row r="590">
      <c r="A590" s="46" t="s">
        <v>17</v>
      </c>
      <c r="B590" s="46" t="s">
        <v>13</v>
      </c>
      <c r="C590" s="49"/>
      <c r="D590" s="48">
        <v>100.1</v>
      </c>
      <c r="E590" s="48">
        <v>100.1</v>
      </c>
    </row>
    <row r="591">
      <c r="A591" s="46" t="s">
        <v>17</v>
      </c>
      <c r="B591" s="46" t="s">
        <v>15</v>
      </c>
      <c r="C591" s="48">
        <v>122.7</v>
      </c>
      <c r="D591" s="49"/>
      <c r="E591" s="48">
        <v>122.7</v>
      </c>
    </row>
    <row r="592">
      <c r="A592" s="46" t="s">
        <v>17</v>
      </c>
      <c r="B592" s="46" t="s">
        <v>15</v>
      </c>
      <c r="C592" s="48">
        <v>124.0</v>
      </c>
      <c r="D592" s="49"/>
      <c r="E592" s="48">
        <v>124.0</v>
      </c>
    </row>
    <row r="593">
      <c r="A593" s="46" t="s">
        <v>17</v>
      </c>
      <c r="B593" s="46" t="s">
        <v>13</v>
      </c>
      <c r="C593" s="49"/>
      <c r="D593" s="48">
        <v>86.3</v>
      </c>
      <c r="E593" s="48">
        <v>86.3</v>
      </c>
    </row>
    <row r="594">
      <c r="A594" s="46" t="s">
        <v>17</v>
      </c>
      <c r="B594" s="46" t="s">
        <v>13</v>
      </c>
      <c r="C594" s="49"/>
      <c r="D594" s="48">
        <v>66.0</v>
      </c>
      <c r="E594" s="48">
        <v>66.0</v>
      </c>
    </row>
    <row r="595">
      <c r="A595" s="46" t="s">
        <v>17</v>
      </c>
      <c r="B595" s="46" t="s">
        <v>14</v>
      </c>
      <c r="C595" s="48">
        <v>101.4</v>
      </c>
      <c r="D595" s="48">
        <v>90.7</v>
      </c>
      <c r="E595" s="48">
        <v>92.6</v>
      </c>
    </row>
    <row r="596">
      <c r="A596" s="46" t="s">
        <v>17</v>
      </c>
      <c r="B596" s="46" t="s">
        <v>15</v>
      </c>
      <c r="C596" s="48">
        <v>141.9</v>
      </c>
      <c r="D596" s="49"/>
      <c r="E596" s="48">
        <v>141.9</v>
      </c>
    </row>
    <row r="597">
      <c r="A597" s="46" t="s">
        <v>17</v>
      </c>
      <c r="B597" s="46" t="s">
        <v>13</v>
      </c>
      <c r="C597" s="49"/>
      <c r="D597" s="48">
        <v>121.3</v>
      </c>
      <c r="E597" s="48">
        <v>121.3</v>
      </c>
    </row>
    <row r="598">
      <c r="A598" s="46" t="s">
        <v>17</v>
      </c>
      <c r="B598" s="46" t="s">
        <v>13</v>
      </c>
      <c r="C598" s="49"/>
      <c r="D598" s="48">
        <v>100.1</v>
      </c>
      <c r="E598" s="48">
        <v>100.1</v>
      </c>
    </row>
    <row r="599">
      <c r="A599" s="46" t="s">
        <v>17</v>
      </c>
      <c r="B599" s="46" t="s">
        <v>14</v>
      </c>
      <c r="C599" s="48">
        <v>120.2</v>
      </c>
      <c r="D599" s="48">
        <v>103.8</v>
      </c>
      <c r="E599" s="48">
        <v>106.3</v>
      </c>
    </row>
    <row r="600">
      <c r="A600" s="46" t="s">
        <v>17</v>
      </c>
      <c r="B600" s="46" t="s">
        <v>14</v>
      </c>
      <c r="C600" s="48">
        <v>122.9</v>
      </c>
      <c r="D600" s="48">
        <v>105.9</v>
      </c>
      <c r="E600" s="48">
        <v>117.1</v>
      </c>
    </row>
    <row r="601">
      <c r="A601" s="46" t="s">
        <v>17</v>
      </c>
      <c r="B601" s="46" t="s">
        <v>13</v>
      </c>
      <c r="C601" s="49"/>
      <c r="D601" s="48">
        <v>107.5</v>
      </c>
      <c r="E601" s="48">
        <v>107.5</v>
      </c>
    </row>
    <row r="602">
      <c r="A602" s="46" t="s">
        <v>17</v>
      </c>
      <c r="B602" s="46" t="s">
        <v>15</v>
      </c>
      <c r="C602" s="48">
        <v>126.5</v>
      </c>
      <c r="D602" s="49"/>
      <c r="E602" s="48">
        <v>126.5</v>
      </c>
    </row>
    <row r="603">
      <c r="A603" s="46" t="s">
        <v>17</v>
      </c>
      <c r="B603" s="46" t="s">
        <v>13</v>
      </c>
      <c r="C603" s="49"/>
      <c r="D603" s="48">
        <v>82.5</v>
      </c>
      <c r="E603" s="48">
        <v>82.5</v>
      </c>
    </row>
    <row r="604">
      <c r="A604" s="46" t="s">
        <v>17</v>
      </c>
      <c r="B604" s="46" t="s">
        <v>15</v>
      </c>
      <c r="C604" s="48">
        <v>116.2</v>
      </c>
      <c r="D604" s="49"/>
      <c r="E604" s="48">
        <v>116.2</v>
      </c>
    </row>
    <row r="605">
      <c r="A605" s="46" t="s">
        <v>17</v>
      </c>
      <c r="B605" s="46" t="s">
        <v>15</v>
      </c>
      <c r="C605" s="48">
        <v>103.2</v>
      </c>
      <c r="D605" s="49"/>
      <c r="E605" s="48">
        <v>103.2</v>
      </c>
    </row>
    <row r="606">
      <c r="A606" s="46" t="s">
        <v>17</v>
      </c>
      <c r="B606" s="46" t="s">
        <v>15</v>
      </c>
      <c r="C606" s="48">
        <v>110.4</v>
      </c>
      <c r="D606" s="49"/>
      <c r="E606" s="48">
        <v>110.4</v>
      </c>
    </row>
    <row r="607">
      <c r="A607" s="46" t="s">
        <v>17</v>
      </c>
      <c r="B607" s="46" t="s">
        <v>13</v>
      </c>
      <c r="C607" s="49"/>
      <c r="D607" s="48">
        <v>82.8</v>
      </c>
      <c r="E607" s="48">
        <v>82.8</v>
      </c>
    </row>
    <row r="608">
      <c r="A608" s="46" t="s">
        <v>17</v>
      </c>
      <c r="B608" s="46" t="s">
        <v>14</v>
      </c>
      <c r="C608" s="48">
        <v>102.1</v>
      </c>
      <c r="D608" s="48">
        <v>88.1</v>
      </c>
      <c r="E608" s="48">
        <v>94.9</v>
      </c>
    </row>
    <row r="609">
      <c r="A609" s="46" t="s">
        <v>17</v>
      </c>
      <c r="B609" s="46" t="s">
        <v>14</v>
      </c>
      <c r="C609" s="48">
        <v>120.9</v>
      </c>
      <c r="D609" s="48">
        <v>103.1</v>
      </c>
      <c r="E609" s="48">
        <v>114.4</v>
      </c>
    </row>
    <row r="610">
      <c r="A610" s="46" t="s">
        <v>17</v>
      </c>
      <c r="B610" s="46" t="s">
        <v>15</v>
      </c>
      <c r="C610" s="48">
        <v>110.8</v>
      </c>
      <c r="D610" s="49"/>
      <c r="E610" s="48">
        <v>110.8</v>
      </c>
    </row>
    <row r="611">
      <c r="A611" s="46" t="s">
        <v>17</v>
      </c>
      <c r="B611" s="46" t="s">
        <v>14</v>
      </c>
      <c r="C611" s="48">
        <v>103.7</v>
      </c>
      <c r="D611" s="48">
        <v>92.7</v>
      </c>
      <c r="E611" s="48">
        <v>99.3</v>
      </c>
    </row>
    <row r="612">
      <c r="A612" s="46" t="s">
        <v>17</v>
      </c>
      <c r="B612" s="46" t="s">
        <v>13</v>
      </c>
      <c r="C612" s="49"/>
      <c r="D612" s="48">
        <v>97.6</v>
      </c>
      <c r="E612" s="48">
        <v>97.6</v>
      </c>
    </row>
    <row r="613">
      <c r="A613" s="46" t="s">
        <v>17</v>
      </c>
      <c r="B613" s="46" t="s">
        <v>15</v>
      </c>
      <c r="C613" s="48">
        <v>136.0</v>
      </c>
      <c r="D613" s="49"/>
      <c r="E613" s="48">
        <v>136.0</v>
      </c>
    </row>
    <row r="614">
      <c r="A614" s="46" t="s">
        <v>17</v>
      </c>
      <c r="B614" s="46" t="s">
        <v>13</v>
      </c>
      <c r="C614" s="49"/>
      <c r="D614" s="48">
        <v>95.3</v>
      </c>
      <c r="E614" s="48">
        <v>95.3</v>
      </c>
    </row>
    <row r="615">
      <c r="A615" s="46" t="s">
        <v>17</v>
      </c>
      <c r="B615" s="46" t="s">
        <v>15</v>
      </c>
      <c r="C615" s="48">
        <v>110.4</v>
      </c>
      <c r="D615" s="49"/>
      <c r="E615" s="48">
        <v>110.4</v>
      </c>
    </row>
    <row r="616">
      <c r="A616" s="46" t="s">
        <v>17</v>
      </c>
      <c r="B616" s="46" t="s">
        <v>15</v>
      </c>
      <c r="C616" s="48">
        <v>122.7</v>
      </c>
      <c r="D616" s="49"/>
      <c r="E616" s="48">
        <v>122.7</v>
      </c>
    </row>
    <row r="617">
      <c r="A617" s="46" t="s">
        <v>17</v>
      </c>
      <c r="B617" s="46" t="s">
        <v>13</v>
      </c>
      <c r="C617" s="49"/>
      <c r="D617" s="48">
        <v>99.0</v>
      </c>
      <c r="E617" s="48">
        <v>99.0</v>
      </c>
    </row>
    <row r="618">
      <c r="A618" s="46" t="s">
        <v>17</v>
      </c>
      <c r="B618" s="46" t="s">
        <v>13</v>
      </c>
      <c r="C618" s="49"/>
      <c r="D618" s="48">
        <v>85.0</v>
      </c>
      <c r="E618" s="48">
        <v>85.0</v>
      </c>
    </row>
    <row r="619">
      <c r="A619" s="46" t="s">
        <v>17</v>
      </c>
      <c r="B619" s="46" t="s">
        <v>15</v>
      </c>
      <c r="C619" s="48">
        <v>115.3</v>
      </c>
      <c r="D619" s="49"/>
      <c r="E619" s="48">
        <v>115.3</v>
      </c>
    </row>
    <row r="620">
      <c r="A620" s="46" t="s">
        <v>17</v>
      </c>
      <c r="B620" s="46" t="s">
        <v>15</v>
      </c>
      <c r="C620" s="48">
        <v>118.3</v>
      </c>
      <c r="D620" s="49"/>
      <c r="E620" s="48">
        <v>118.3</v>
      </c>
    </row>
    <row r="621">
      <c r="A621" s="46" t="s">
        <v>17</v>
      </c>
      <c r="B621" s="46" t="s">
        <v>15</v>
      </c>
      <c r="C621" s="48">
        <v>124.0</v>
      </c>
      <c r="D621" s="49"/>
      <c r="E621" s="48">
        <v>124.0</v>
      </c>
    </row>
    <row r="622">
      <c r="A622" s="46" t="s">
        <v>17</v>
      </c>
      <c r="B622" s="46" t="s">
        <v>15</v>
      </c>
      <c r="C622" s="48">
        <v>108.1</v>
      </c>
      <c r="D622" s="49"/>
      <c r="E622" s="48">
        <v>108.1</v>
      </c>
    </row>
    <row r="623">
      <c r="A623" s="46" t="s">
        <v>17</v>
      </c>
      <c r="B623" s="46" t="s">
        <v>15</v>
      </c>
      <c r="C623" s="48">
        <v>105.8</v>
      </c>
      <c r="D623" s="49"/>
      <c r="E623" s="48">
        <v>105.8</v>
      </c>
    </row>
    <row r="624">
      <c r="A624" s="46" t="s">
        <v>17</v>
      </c>
      <c r="B624" s="46" t="s">
        <v>13</v>
      </c>
      <c r="C624" s="49"/>
      <c r="D624" s="48">
        <v>99.9</v>
      </c>
      <c r="E624" s="48">
        <v>99.9</v>
      </c>
    </row>
    <row r="625">
      <c r="A625" s="46" t="s">
        <v>17</v>
      </c>
      <c r="B625" s="46" t="s">
        <v>13</v>
      </c>
      <c r="C625" s="49"/>
      <c r="D625" s="48">
        <v>88.1</v>
      </c>
      <c r="E625" s="48">
        <v>88.1</v>
      </c>
    </row>
    <row r="626">
      <c r="A626" s="46" t="s">
        <v>17</v>
      </c>
      <c r="B626" s="46" t="s">
        <v>13</v>
      </c>
      <c r="C626" s="49"/>
      <c r="D626" s="48">
        <v>104.3</v>
      </c>
      <c r="E626" s="48">
        <v>104.3</v>
      </c>
    </row>
    <row r="627">
      <c r="A627" s="46" t="s">
        <v>17</v>
      </c>
      <c r="B627" s="46" t="s">
        <v>13</v>
      </c>
      <c r="C627" s="49"/>
      <c r="D627" s="48">
        <v>82.4</v>
      </c>
      <c r="E627" s="48">
        <v>82.4</v>
      </c>
    </row>
    <row r="628">
      <c r="A628" s="46" t="s">
        <v>17</v>
      </c>
      <c r="B628" s="46" t="s">
        <v>13</v>
      </c>
      <c r="C628" s="49"/>
      <c r="D628" s="48">
        <v>98.2</v>
      </c>
      <c r="E628" s="48">
        <v>98.2</v>
      </c>
    </row>
    <row r="629">
      <c r="A629" s="46" t="s">
        <v>17</v>
      </c>
      <c r="B629" s="46" t="s">
        <v>13</v>
      </c>
      <c r="C629" s="49"/>
      <c r="D629" s="48">
        <v>81.2</v>
      </c>
      <c r="E629" s="48">
        <v>81.2</v>
      </c>
    </row>
    <row r="630">
      <c r="A630" s="46" t="s">
        <v>17</v>
      </c>
      <c r="B630" s="46" t="s">
        <v>13</v>
      </c>
      <c r="C630" s="49"/>
      <c r="D630" s="48">
        <v>96.8</v>
      </c>
      <c r="E630" s="48">
        <v>96.8</v>
      </c>
    </row>
    <row r="631">
      <c r="A631" s="46" t="s">
        <v>17</v>
      </c>
      <c r="B631" s="46" t="s">
        <v>14</v>
      </c>
      <c r="C631" s="48">
        <v>92.4</v>
      </c>
      <c r="D631" s="48">
        <v>83.4</v>
      </c>
      <c r="E631" s="48">
        <v>89.7</v>
      </c>
    </row>
    <row r="632">
      <c r="A632" s="46" t="s">
        <v>17</v>
      </c>
      <c r="B632" s="46" t="s">
        <v>15</v>
      </c>
      <c r="C632" s="48">
        <v>122.1</v>
      </c>
      <c r="D632" s="49"/>
      <c r="E632" s="48">
        <v>122.1</v>
      </c>
    </row>
    <row r="633">
      <c r="A633" s="46" t="s">
        <v>17</v>
      </c>
      <c r="B633" s="46" t="s">
        <v>13</v>
      </c>
      <c r="C633" s="49"/>
      <c r="D633" s="48">
        <v>85.2</v>
      </c>
      <c r="E633" s="48">
        <v>85.2</v>
      </c>
    </row>
    <row r="634">
      <c r="A634" s="46" t="s">
        <v>17</v>
      </c>
      <c r="B634" s="46" t="s">
        <v>15</v>
      </c>
      <c r="C634" s="48">
        <v>132.8</v>
      </c>
      <c r="D634" s="49"/>
      <c r="E634" s="48">
        <v>132.8</v>
      </c>
    </row>
    <row r="635">
      <c r="A635" s="46" t="s">
        <v>17</v>
      </c>
      <c r="B635" s="46" t="s">
        <v>13</v>
      </c>
      <c r="C635" s="49"/>
      <c r="D635" s="48">
        <v>92.2</v>
      </c>
      <c r="E635" s="48">
        <v>92.2</v>
      </c>
    </row>
    <row r="636">
      <c r="A636" s="46" t="s">
        <v>17</v>
      </c>
      <c r="B636" s="46" t="s">
        <v>14</v>
      </c>
      <c r="C636" s="48">
        <v>93.9</v>
      </c>
      <c r="D636" s="48">
        <v>85.6</v>
      </c>
      <c r="E636" s="48">
        <v>90.0</v>
      </c>
    </row>
    <row r="637">
      <c r="A637" s="46" t="s">
        <v>17</v>
      </c>
      <c r="B637" s="46" t="s">
        <v>14</v>
      </c>
      <c r="C637" s="48">
        <v>103.6</v>
      </c>
      <c r="D637" s="48">
        <v>85.2</v>
      </c>
      <c r="E637" s="48">
        <v>91.7</v>
      </c>
    </row>
    <row r="638">
      <c r="A638" s="46" t="s">
        <v>17</v>
      </c>
      <c r="B638" s="46" t="s">
        <v>14</v>
      </c>
      <c r="C638" s="48">
        <v>94.4</v>
      </c>
      <c r="D638" s="48">
        <v>77.7</v>
      </c>
      <c r="E638" s="48">
        <v>84.9</v>
      </c>
    </row>
    <row r="639">
      <c r="A639" s="46" t="s">
        <v>17</v>
      </c>
      <c r="B639" s="46" t="s">
        <v>13</v>
      </c>
      <c r="C639" s="49"/>
      <c r="D639" s="48">
        <v>96.0</v>
      </c>
      <c r="E639" s="48">
        <v>96.0</v>
      </c>
    </row>
    <row r="640">
      <c r="A640" s="46" t="s">
        <v>17</v>
      </c>
      <c r="B640" s="46" t="s">
        <v>14</v>
      </c>
      <c r="C640" s="48">
        <v>103.4</v>
      </c>
      <c r="D640" s="48">
        <v>85.8</v>
      </c>
      <c r="E640" s="48">
        <v>93.8</v>
      </c>
    </row>
    <row r="641">
      <c r="A641" s="46" t="s">
        <v>17</v>
      </c>
      <c r="B641" s="46" t="s">
        <v>15</v>
      </c>
      <c r="C641" s="48">
        <v>121.3</v>
      </c>
      <c r="D641" s="49"/>
      <c r="E641" s="48">
        <v>121.3</v>
      </c>
    </row>
    <row r="642">
      <c r="A642" s="46" t="s">
        <v>17</v>
      </c>
      <c r="B642" s="46" t="s">
        <v>15</v>
      </c>
      <c r="C642" s="48">
        <v>149.0</v>
      </c>
      <c r="D642" s="49"/>
      <c r="E642" s="48">
        <v>149.0</v>
      </c>
    </row>
    <row r="643">
      <c r="A643" s="46" t="s">
        <v>17</v>
      </c>
      <c r="B643" s="46" t="s">
        <v>14</v>
      </c>
      <c r="C643" s="48">
        <v>124.2</v>
      </c>
      <c r="D643" s="48">
        <v>112.6</v>
      </c>
      <c r="E643" s="48">
        <v>122.1</v>
      </c>
    </row>
    <row r="644">
      <c r="A644" s="46" t="s">
        <v>17</v>
      </c>
      <c r="B644" s="46" t="s">
        <v>15</v>
      </c>
      <c r="C644" s="48">
        <v>117.7</v>
      </c>
      <c r="D644" s="49"/>
      <c r="E644" s="48">
        <v>117.7</v>
      </c>
    </row>
    <row r="645">
      <c r="A645" s="46" t="s">
        <v>17</v>
      </c>
      <c r="B645" s="46" t="s">
        <v>15</v>
      </c>
      <c r="C645" s="48">
        <v>102.0</v>
      </c>
      <c r="D645" s="49"/>
      <c r="E645" s="48">
        <v>102.0</v>
      </c>
    </row>
    <row r="646">
      <c r="A646" s="46" t="s">
        <v>17</v>
      </c>
      <c r="B646" s="46" t="s">
        <v>15</v>
      </c>
      <c r="C646" s="48">
        <v>122.5</v>
      </c>
      <c r="D646" s="49"/>
      <c r="E646" s="48">
        <v>122.5</v>
      </c>
    </row>
    <row r="647">
      <c r="A647" s="46" t="s">
        <v>17</v>
      </c>
      <c r="B647" s="46" t="s">
        <v>15</v>
      </c>
      <c r="C647" s="48">
        <v>118.2</v>
      </c>
      <c r="D647" s="49"/>
      <c r="E647" s="48">
        <v>118.2</v>
      </c>
    </row>
    <row r="648">
      <c r="A648" s="46" t="s">
        <v>17</v>
      </c>
      <c r="B648" s="46" t="s">
        <v>13</v>
      </c>
      <c r="C648" s="49"/>
      <c r="D648" s="48">
        <v>92.3</v>
      </c>
      <c r="E648" s="48">
        <v>92.3</v>
      </c>
    </row>
    <row r="649">
      <c r="A649" s="46" t="s">
        <v>17</v>
      </c>
      <c r="B649" s="46" t="s">
        <v>15</v>
      </c>
      <c r="C649" s="48">
        <v>122.3</v>
      </c>
      <c r="D649" s="49"/>
      <c r="E649" s="48">
        <v>122.3</v>
      </c>
    </row>
    <row r="650">
      <c r="A650" s="46" t="s">
        <v>17</v>
      </c>
      <c r="B650" s="46" t="s">
        <v>13</v>
      </c>
      <c r="C650" s="49"/>
      <c r="D650" s="48">
        <v>113.1</v>
      </c>
      <c r="E650" s="48">
        <v>113.1</v>
      </c>
    </row>
    <row r="651">
      <c r="A651" s="46" t="s">
        <v>17</v>
      </c>
      <c r="B651" s="46" t="s">
        <v>15</v>
      </c>
      <c r="C651" s="48">
        <v>115.4</v>
      </c>
      <c r="D651" s="49"/>
      <c r="E651" s="48">
        <v>115.4</v>
      </c>
    </row>
    <row r="652">
      <c r="A652" s="46" t="s">
        <v>17</v>
      </c>
      <c r="B652" s="46" t="s">
        <v>15</v>
      </c>
      <c r="C652" s="48">
        <v>126.2</v>
      </c>
      <c r="D652" s="49"/>
      <c r="E652" s="48">
        <v>126.2</v>
      </c>
    </row>
    <row r="653">
      <c r="A653" s="46" t="s">
        <v>17</v>
      </c>
      <c r="B653" s="46" t="s">
        <v>14</v>
      </c>
      <c r="C653" s="48">
        <v>110.9</v>
      </c>
      <c r="D653" s="48">
        <v>103.0</v>
      </c>
      <c r="E653" s="48">
        <v>106.8</v>
      </c>
    </row>
    <row r="654">
      <c r="A654" s="46" t="s">
        <v>17</v>
      </c>
      <c r="B654" s="46" t="s">
        <v>13</v>
      </c>
      <c r="C654" s="49"/>
      <c r="D654" s="48">
        <v>90.5</v>
      </c>
      <c r="E654" s="48">
        <v>90.5</v>
      </c>
    </row>
    <row r="655">
      <c r="A655" s="46" t="s">
        <v>17</v>
      </c>
      <c r="B655" s="46" t="s">
        <v>15</v>
      </c>
      <c r="C655" s="48">
        <v>103.2</v>
      </c>
      <c r="D655" s="49"/>
      <c r="E655" s="48">
        <v>103.2</v>
      </c>
    </row>
    <row r="656">
      <c r="A656" s="46" t="s">
        <v>17</v>
      </c>
      <c r="B656" s="46" t="s">
        <v>13</v>
      </c>
      <c r="C656" s="49"/>
      <c r="D656" s="48">
        <v>75.6</v>
      </c>
      <c r="E656" s="48">
        <v>75.6</v>
      </c>
    </row>
    <row r="657">
      <c r="A657" s="46" t="s">
        <v>17</v>
      </c>
      <c r="B657" s="46" t="s">
        <v>13</v>
      </c>
      <c r="C657" s="49"/>
      <c r="D657" s="48">
        <v>92.0</v>
      </c>
      <c r="E657" s="48">
        <v>92.0</v>
      </c>
    </row>
    <row r="658">
      <c r="A658" s="46" t="s">
        <v>17</v>
      </c>
      <c r="B658" s="46" t="s">
        <v>15</v>
      </c>
      <c r="C658" s="48">
        <v>142.0</v>
      </c>
      <c r="D658" s="49"/>
      <c r="E658" s="48">
        <v>142.0</v>
      </c>
    </row>
    <row r="659">
      <c r="A659" s="46" t="s">
        <v>17</v>
      </c>
      <c r="B659" s="46" t="s">
        <v>15</v>
      </c>
      <c r="C659" s="48">
        <v>138.7</v>
      </c>
      <c r="D659" s="49"/>
      <c r="E659" s="48">
        <v>138.7</v>
      </c>
    </row>
    <row r="660">
      <c r="A660" s="46" t="s">
        <v>17</v>
      </c>
      <c r="B660" s="46" t="s">
        <v>15</v>
      </c>
      <c r="C660" s="48">
        <v>110.9</v>
      </c>
      <c r="D660" s="49"/>
      <c r="E660" s="48">
        <v>110.9</v>
      </c>
    </row>
    <row r="661">
      <c r="A661" s="46" t="s">
        <v>17</v>
      </c>
      <c r="B661" s="46" t="s">
        <v>15</v>
      </c>
      <c r="C661" s="48">
        <v>99.9</v>
      </c>
      <c r="D661" s="49"/>
      <c r="E661" s="48">
        <v>99.9</v>
      </c>
    </row>
    <row r="662">
      <c r="A662" s="46" t="s">
        <v>17</v>
      </c>
      <c r="B662" s="46" t="s">
        <v>15</v>
      </c>
      <c r="C662" s="48">
        <v>135.1</v>
      </c>
      <c r="D662" s="49"/>
      <c r="E662" s="48">
        <v>135.1</v>
      </c>
    </row>
    <row r="663">
      <c r="A663" s="46" t="s">
        <v>17</v>
      </c>
      <c r="B663" s="46" t="s">
        <v>15</v>
      </c>
      <c r="C663" s="48">
        <v>148.9</v>
      </c>
      <c r="D663" s="49"/>
      <c r="E663" s="48">
        <v>148.9</v>
      </c>
    </row>
    <row r="664">
      <c r="A664" s="46" t="s">
        <v>17</v>
      </c>
      <c r="B664" s="46" t="s">
        <v>15</v>
      </c>
      <c r="C664" s="48">
        <v>125.7</v>
      </c>
      <c r="D664" s="49"/>
      <c r="E664" s="48">
        <v>125.7</v>
      </c>
    </row>
    <row r="665">
      <c r="A665" s="46" t="s">
        <v>17</v>
      </c>
      <c r="B665" s="46" t="s">
        <v>15</v>
      </c>
      <c r="C665" s="48">
        <v>117.0</v>
      </c>
      <c r="D665" s="49"/>
      <c r="E665" s="48">
        <v>117.0</v>
      </c>
    </row>
    <row r="666">
      <c r="A666" s="46" t="s">
        <v>17</v>
      </c>
      <c r="B666" s="46" t="s">
        <v>15</v>
      </c>
      <c r="C666" s="48">
        <v>107.2</v>
      </c>
      <c r="D666" s="49"/>
      <c r="E666" s="48">
        <v>107.2</v>
      </c>
    </row>
    <row r="667">
      <c r="A667" s="46" t="s">
        <v>17</v>
      </c>
      <c r="B667" s="46" t="s">
        <v>13</v>
      </c>
      <c r="C667" s="49"/>
      <c r="D667" s="48">
        <v>92.5</v>
      </c>
      <c r="E667" s="48">
        <v>92.5</v>
      </c>
    </row>
    <row r="668">
      <c r="A668" s="46" t="s">
        <v>17</v>
      </c>
      <c r="B668" s="46" t="s">
        <v>13</v>
      </c>
      <c r="C668" s="49"/>
      <c r="D668" s="48">
        <v>114.3</v>
      </c>
      <c r="E668" s="48">
        <v>114.3</v>
      </c>
    </row>
    <row r="669">
      <c r="A669" s="46" t="s">
        <v>17</v>
      </c>
      <c r="B669" s="46" t="s">
        <v>15</v>
      </c>
      <c r="C669" s="48">
        <v>121.1</v>
      </c>
      <c r="D669" s="49"/>
      <c r="E669" s="48">
        <v>121.1</v>
      </c>
    </row>
    <row r="670">
      <c r="A670" s="46" t="s">
        <v>17</v>
      </c>
      <c r="B670" s="46" t="s">
        <v>13</v>
      </c>
      <c r="C670" s="49"/>
      <c r="D670" s="48">
        <v>66.0</v>
      </c>
      <c r="E670" s="48">
        <v>66.0</v>
      </c>
    </row>
    <row r="671">
      <c r="A671" s="46" t="s">
        <v>17</v>
      </c>
      <c r="B671" s="46" t="s">
        <v>13</v>
      </c>
      <c r="C671" s="49"/>
      <c r="D671" s="48">
        <v>74.8</v>
      </c>
      <c r="E671" s="48">
        <v>74.8</v>
      </c>
    </row>
    <row r="672">
      <c r="A672" s="46" t="s">
        <v>17</v>
      </c>
      <c r="B672" s="46" t="s">
        <v>13</v>
      </c>
      <c r="C672" s="49"/>
      <c r="D672" s="48">
        <v>81.0</v>
      </c>
      <c r="E672" s="48">
        <v>81.0</v>
      </c>
    </row>
    <row r="673">
      <c r="A673" s="46" t="s">
        <v>17</v>
      </c>
      <c r="B673" s="46" t="s">
        <v>13</v>
      </c>
      <c r="C673" s="49"/>
      <c r="D673" s="48">
        <v>80.4</v>
      </c>
      <c r="E673" s="48">
        <v>80.4</v>
      </c>
    </row>
    <row r="674">
      <c r="A674" s="46" t="s">
        <v>17</v>
      </c>
      <c r="B674" s="46" t="s">
        <v>15</v>
      </c>
      <c r="C674" s="48">
        <v>104.5</v>
      </c>
      <c r="D674" s="49"/>
      <c r="E674" s="48">
        <v>104.5</v>
      </c>
    </row>
    <row r="675">
      <c r="A675" s="46" t="s">
        <v>17</v>
      </c>
      <c r="B675" s="46" t="s">
        <v>15</v>
      </c>
      <c r="C675" s="48">
        <v>128.4</v>
      </c>
      <c r="D675" s="49"/>
      <c r="E675" s="48">
        <v>128.4</v>
      </c>
    </row>
    <row r="676">
      <c r="A676" s="46" t="s">
        <v>17</v>
      </c>
      <c r="B676" s="46" t="s">
        <v>13</v>
      </c>
      <c r="C676" s="49"/>
      <c r="D676" s="48">
        <v>96.0</v>
      </c>
      <c r="E676" s="48">
        <v>96.0</v>
      </c>
    </row>
    <row r="677">
      <c r="A677" s="46" t="s">
        <v>17</v>
      </c>
      <c r="B677" s="46" t="s">
        <v>14</v>
      </c>
      <c r="C677" s="48">
        <v>107.3</v>
      </c>
      <c r="D677" s="48">
        <v>93.2</v>
      </c>
      <c r="E677" s="48">
        <v>98.5</v>
      </c>
    </row>
    <row r="678">
      <c r="A678" s="46" t="s">
        <v>17</v>
      </c>
      <c r="B678" s="46" t="s">
        <v>13</v>
      </c>
      <c r="C678" s="49"/>
      <c r="D678" s="48">
        <v>99.2</v>
      </c>
      <c r="E678" s="48">
        <v>99.2</v>
      </c>
    </row>
    <row r="679">
      <c r="A679" s="46" t="s">
        <v>17</v>
      </c>
      <c r="B679" s="46" t="s">
        <v>13</v>
      </c>
      <c r="C679" s="49"/>
      <c r="D679" s="48">
        <v>103.0</v>
      </c>
      <c r="E679" s="48">
        <v>103.0</v>
      </c>
    </row>
    <row r="680">
      <c r="A680" s="46" t="s">
        <v>17</v>
      </c>
      <c r="B680" s="46" t="s">
        <v>15</v>
      </c>
      <c r="C680" s="48">
        <v>141.9</v>
      </c>
      <c r="D680" s="49"/>
      <c r="E680" s="48">
        <v>141.9</v>
      </c>
    </row>
    <row r="681">
      <c r="A681" s="46" t="s">
        <v>17</v>
      </c>
      <c r="B681" s="46" t="s">
        <v>15</v>
      </c>
      <c r="C681" s="48">
        <v>134.7</v>
      </c>
      <c r="D681" s="49"/>
      <c r="E681" s="48">
        <v>134.7</v>
      </c>
    </row>
    <row r="682">
      <c r="A682" s="46" t="s">
        <v>17</v>
      </c>
      <c r="B682" s="46" t="s">
        <v>15</v>
      </c>
      <c r="C682" s="48">
        <v>143.7</v>
      </c>
      <c r="D682" s="49"/>
      <c r="E682" s="48">
        <v>143.7</v>
      </c>
    </row>
    <row r="683">
      <c r="A683" s="46" t="s">
        <v>17</v>
      </c>
      <c r="B683" s="46" t="s">
        <v>15</v>
      </c>
      <c r="C683" s="48">
        <v>147.4</v>
      </c>
      <c r="D683" s="49"/>
      <c r="E683" s="48">
        <v>147.4</v>
      </c>
    </row>
    <row r="684">
      <c r="A684" s="46" t="s">
        <v>17</v>
      </c>
      <c r="B684" s="46" t="s">
        <v>15</v>
      </c>
      <c r="C684" s="48">
        <v>140.7</v>
      </c>
      <c r="D684" s="49"/>
      <c r="E684" s="48">
        <v>140.7</v>
      </c>
    </row>
    <row r="685">
      <c r="A685" s="46" t="s">
        <v>17</v>
      </c>
      <c r="B685" s="46" t="s">
        <v>15</v>
      </c>
      <c r="C685" s="48">
        <v>142.8</v>
      </c>
      <c r="D685" s="49"/>
      <c r="E685" s="48">
        <v>142.8</v>
      </c>
    </row>
    <row r="686">
      <c r="A686" s="46" t="s">
        <v>17</v>
      </c>
      <c r="B686" s="46" t="s">
        <v>15</v>
      </c>
      <c r="C686" s="48">
        <v>112.5</v>
      </c>
      <c r="D686" s="49"/>
      <c r="E686" s="48">
        <v>112.5</v>
      </c>
    </row>
    <row r="687">
      <c r="A687" s="46" t="s">
        <v>17</v>
      </c>
      <c r="B687" s="46" t="s">
        <v>15</v>
      </c>
      <c r="C687" s="48">
        <v>142.8</v>
      </c>
      <c r="D687" s="49"/>
      <c r="E687" s="48">
        <v>142.8</v>
      </c>
    </row>
    <row r="688">
      <c r="A688" s="46" t="s">
        <v>17</v>
      </c>
      <c r="B688" s="46" t="s">
        <v>14</v>
      </c>
      <c r="C688" s="48">
        <v>129.6</v>
      </c>
      <c r="D688" s="48">
        <v>120.3</v>
      </c>
      <c r="E688" s="48">
        <v>127.4</v>
      </c>
    </row>
    <row r="689">
      <c r="A689" s="46" t="s">
        <v>17</v>
      </c>
      <c r="B689" s="46" t="s">
        <v>14</v>
      </c>
      <c r="C689" s="48">
        <v>132.8</v>
      </c>
      <c r="D689" s="48">
        <v>114.3</v>
      </c>
      <c r="E689" s="48">
        <v>125.4</v>
      </c>
    </row>
    <row r="690">
      <c r="A690" s="46" t="s">
        <v>17</v>
      </c>
      <c r="B690" s="46" t="s">
        <v>15</v>
      </c>
      <c r="C690" s="48">
        <v>110.0</v>
      </c>
      <c r="D690" s="49"/>
      <c r="E690" s="48">
        <v>110.0</v>
      </c>
    </row>
    <row r="691">
      <c r="A691" s="46" t="s">
        <v>17</v>
      </c>
      <c r="B691" s="46" t="s">
        <v>14</v>
      </c>
      <c r="C691" s="48">
        <v>119.2</v>
      </c>
      <c r="D691" s="48">
        <v>108.3</v>
      </c>
      <c r="E691" s="48">
        <v>110.4</v>
      </c>
    </row>
    <row r="692">
      <c r="A692" s="46" t="s">
        <v>17</v>
      </c>
      <c r="B692" s="46" t="s">
        <v>15</v>
      </c>
      <c r="C692" s="48">
        <v>128.7</v>
      </c>
      <c r="D692" s="49"/>
      <c r="E692" s="48">
        <v>128.7</v>
      </c>
    </row>
    <row r="693">
      <c r="A693" s="46" t="s">
        <v>17</v>
      </c>
      <c r="B693" s="46" t="s">
        <v>15</v>
      </c>
      <c r="C693" s="48">
        <v>122.7</v>
      </c>
      <c r="D693" s="49"/>
      <c r="E693" s="48">
        <v>122.7</v>
      </c>
    </row>
    <row r="694">
      <c r="A694" s="46" t="s">
        <v>17</v>
      </c>
      <c r="B694" s="46" t="s">
        <v>15</v>
      </c>
      <c r="C694" s="48">
        <v>137.9</v>
      </c>
      <c r="D694" s="49"/>
      <c r="E694" s="48">
        <v>137.9</v>
      </c>
    </row>
    <row r="695">
      <c r="A695" s="46" t="s">
        <v>17</v>
      </c>
      <c r="B695" s="46" t="s">
        <v>15</v>
      </c>
      <c r="C695" s="48">
        <v>109.1</v>
      </c>
      <c r="D695" s="49"/>
      <c r="E695" s="48">
        <v>109.1</v>
      </c>
    </row>
    <row r="696">
      <c r="A696" s="46" t="s">
        <v>17</v>
      </c>
      <c r="B696" s="46" t="s">
        <v>15</v>
      </c>
      <c r="C696" s="48">
        <v>112.3</v>
      </c>
      <c r="D696" s="49"/>
      <c r="E696" s="48">
        <v>112.3</v>
      </c>
    </row>
    <row r="697">
      <c r="A697" s="46" t="s">
        <v>17</v>
      </c>
      <c r="B697" s="46" t="s">
        <v>15</v>
      </c>
      <c r="C697" s="48">
        <v>126.8</v>
      </c>
      <c r="D697" s="49"/>
      <c r="E697" s="48">
        <v>126.8</v>
      </c>
    </row>
    <row r="698">
      <c r="A698" s="46" t="s">
        <v>17</v>
      </c>
      <c r="B698" s="46" t="s">
        <v>15</v>
      </c>
      <c r="C698" s="48">
        <v>134.9</v>
      </c>
      <c r="D698" s="49"/>
      <c r="E698" s="48">
        <v>134.9</v>
      </c>
    </row>
    <row r="699">
      <c r="A699" s="46" t="s">
        <v>17</v>
      </c>
      <c r="B699" s="46" t="s">
        <v>13</v>
      </c>
      <c r="C699" s="49"/>
      <c r="D699" s="48">
        <v>113.3</v>
      </c>
      <c r="E699" s="48">
        <v>113.3</v>
      </c>
    </row>
    <row r="700">
      <c r="A700" s="46" t="s">
        <v>17</v>
      </c>
      <c r="B700" s="46" t="s">
        <v>14</v>
      </c>
      <c r="C700" s="48">
        <v>149.7</v>
      </c>
      <c r="D700" s="48">
        <v>118.3</v>
      </c>
      <c r="E700" s="48">
        <v>148.8</v>
      </c>
    </row>
    <row r="701">
      <c r="A701" s="46" t="s">
        <v>17</v>
      </c>
      <c r="B701" s="46" t="s">
        <v>14</v>
      </c>
      <c r="C701" s="48">
        <v>122.2</v>
      </c>
      <c r="D701" s="48">
        <v>110.6</v>
      </c>
      <c r="E701" s="48">
        <v>111.8</v>
      </c>
    </row>
    <row r="702">
      <c r="A702" s="46" t="s">
        <v>17</v>
      </c>
      <c r="B702" s="46" t="s">
        <v>15</v>
      </c>
      <c r="C702" s="48">
        <v>150.9</v>
      </c>
      <c r="D702" s="49"/>
      <c r="E702" s="48">
        <v>150.9</v>
      </c>
    </row>
    <row r="703">
      <c r="A703" s="46" t="s">
        <v>17</v>
      </c>
      <c r="B703" s="46" t="s">
        <v>15</v>
      </c>
      <c r="C703" s="48">
        <v>117.1</v>
      </c>
      <c r="D703" s="49"/>
      <c r="E703" s="48">
        <v>117.1</v>
      </c>
    </row>
    <row r="704">
      <c r="A704" s="46" t="s">
        <v>17</v>
      </c>
      <c r="B704" s="46" t="s">
        <v>15</v>
      </c>
      <c r="C704" s="48">
        <v>127.1</v>
      </c>
      <c r="D704" s="49"/>
      <c r="E704" s="48">
        <v>127.1</v>
      </c>
    </row>
    <row r="705">
      <c r="A705" s="46" t="s">
        <v>17</v>
      </c>
      <c r="B705" s="46" t="s">
        <v>13</v>
      </c>
      <c r="C705" s="49"/>
      <c r="D705" s="48">
        <v>103.6</v>
      </c>
      <c r="E705" s="48">
        <v>103.6</v>
      </c>
    </row>
    <row r="706">
      <c r="A706" s="46" t="s">
        <v>17</v>
      </c>
      <c r="B706" s="46" t="s">
        <v>13</v>
      </c>
      <c r="C706" s="49"/>
      <c r="D706" s="48">
        <v>87.1</v>
      </c>
      <c r="E706" s="48">
        <v>87.1</v>
      </c>
    </row>
    <row r="707">
      <c r="A707" s="46" t="s">
        <v>17</v>
      </c>
      <c r="B707" s="46" t="s">
        <v>15</v>
      </c>
      <c r="C707" s="48">
        <v>127.8</v>
      </c>
      <c r="D707" s="49"/>
      <c r="E707" s="48">
        <v>127.8</v>
      </c>
    </row>
    <row r="708">
      <c r="A708" s="46" t="s">
        <v>17</v>
      </c>
      <c r="B708" s="46" t="s">
        <v>15</v>
      </c>
      <c r="C708" s="48">
        <v>129.1</v>
      </c>
      <c r="D708" s="49"/>
      <c r="E708" s="48">
        <v>129.1</v>
      </c>
    </row>
    <row r="709">
      <c r="A709" s="46" t="s">
        <v>17</v>
      </c>
      <c r="B709" s="46" t="s">
        <v>15</v>
      </c>
      <c r="C709" s="48">
        <v>123.4</v>
      </c>
      <c r="D709" s="49"/>
      <c r="E709" s="48">
        <v>123.4</v>
      </c>
    </row>
    <row r="710">
      <c r="A710" s="46" t="s">
        <v>17</v>
      </c>
      <c r="B710" s="46" t="s">
        <v>13</v>
      </c>
      <c r="C710" s="49"/>
      <c r="D710" s="48">
        <v>100.6</v>
      </c>
      <c r="E710" s="48">
        <v>100.6</v>
      </c>
    </row>
    <row r="711">
      <c r="A711" s="46" t="s">
        <v>17</v>
      </c>
      <c r="B711" s="46" t="s">
        <v>15</v>
      </c>
      <c r="C711" s="48">
        <v>118.7</v>
      </c>
      <c r="D711" s="49"/>
      <c r="E711" s="48">
        <v>118.7</v>
      </c>
    </row>
    <row r="712">
      <c r="A712" s="46" t="s">
        <v>17</v>
      </c>
      <c r="B712" s="46" t="s">
        <v>14</v>
      </c>
      <c r="C712" s="48">
        <v>122.1</v>
      </c>
      <c r="D712" s="48">
        <v>111.9</v>
      </c>
      <c r="E712" s="48">
        <v>117.6</v>
      </c>
    </row>
    <row r="713">
      <c r="A713" s="46" t="s">
        <v>17</v>
      </c>
      <c r="B713" s="46" t="s">
        <v>14</v>
      </c>
      <c r="C713" s="48">
        <v>111.1</v>
      </c>
      <c r="D713" s="48">
        <v>98.0</v>
      </c>
      <c r="E713" s="48">
        <v>105.0</v>
      </c>
    </row>
    <row r="714">
      <c r="A714" s="46" t="s">
        <v>17</v>
      </c>
      <c r="B714" s="46" t="s">
        <v>14</v>
      </c>
      <c r="C714" s="48">
        <v>114.8</v>
      </c>
      <c r="D714" s="48">
        <v>90.9</v>
      </c>
      <c r="E714" s="48">
        <v>108.0</v>
      </c>
    </row>
    <row r="715">
      <c r="A715" s="46" t="s">
        <v>17</v>
      </c>
      <c r="B715" s="46" t="s">
        <v>14</v>
      </c>
      <c r="C715" s="48">
        <v>110.0</v>
      </c>
      <c r="D715" s="48">
        <v>94.1</v>
      </c>
      <c r="E715" s="48">
        <v>106.7</v>
      </c>
    </row>
    <row r="716">
      <c r="A716" s="46" t="s">
        <v>17</v>
      </c>
      <c r="B716" s="46" t="s">
        <v>13</v>
      </c>
      <c r="C716" s="49"/>
      <c r="D716" s="48">
        <v>102.8</v>
      </c>
      <c r="E716" s="48">
        <v>102.8</v>
      </c>
    </row>
    <row r="717">
      <c r="A717" s="46" t="s">
        <v>17</v>
      </c>
      <c r="B717" s="46" t="s">
        <v>15</v>
      </c>
      <c r="C717" s="48">
        <v>137.9</v>
      </c>
      <c r="D717" s="49"/>
      <c r="E717" s="48">
        <v>137.9</v>
      </c>
    </row>
    <row r="718">
      <c r="A718" s="46" t="s">
        <v>17</v>
      </c>
      <c r="B718" s="46" t="s">
        <v>15</v>
      </c>
      <c r="C718" s="48">
        <v>109.5</v>
      </c>
      <c r="D718" s="49"/>
      <c r="E718" s="48">
        <v>109.5</v>
      </c>
    </row>
    <row r="719">
      <c r="A719" s="46" t="s">
        <v>17</v>
      </c>
      <c r="B719" s="46" t="s">
        <v>15</v>
      </c>
      <c r="C719" s="48">
        <v>133.8</v>
      </c>
      <c r="D719" s="49"/>
      <c r="E719" s="48">
        <v>133.8</v>
      </c>
    </row>
    <row r="720">
      <c r="A720" s="46" t="s">
        <v>17</v>
      </c>
      <c r="B720" s="46" t="s">
        <v>13</v>
      </c>
      <c r="C720" s="49"/>
      <c r="D720" s="48">
        <v>83.9</v>
      </c>
      <c r="E720" s="48">
        <v>83.9</v>
      </c>
    </row>
    <row r="721">
      <c r="A721" s="46" t="s">
        <v>17</v>
      </c>
      <c r="B721" s="46" t="s">
        <v>15</v>
      </c>
      <c r="C721" s="48">
        <v>133.2</v>
      </c>
      <c r="D721" s="49"/>
      <c r="E721" s="48">
        <v>133.2</v>
      </c>
    </row>
    <row r="722">
      <c r="A722" s="46" t="s">
        <v>17</v>
      </c>
      <c r="B722" s="46" t="s">
        <v>14</v>
      </c>
      <c r="C722" s="48">
        <v>129.1</v>
      </c>
      <c r="D722" s="48">
        <v>128.3</v>
      </c>
      <c r="E722" s="48">
        <v>128.7</v>
      </c>
    </row>
    <row r="723">
      <c r="A723" s="46" t="s">
        <v>17</v>
      </c>
      <c r="B723" s="46" t="s">
        <v>15</v>
      </c>
      <c r="C723" s="48">
        <v>151.2</v>
      </c>
      <c r="D723" s="49"/>
      <c r="E723" s="48">
        <v>151.2</v>
      </c>
    </row>
    <row r="724">
      <c r="A724" s="46" t="s">
        <v>17</v>
      </c>
      <c r="B724" s="46" t="s">
        <v>15</v>
      </c>
      <c r="C724" s="48">
        <v>151.3</v>
      </c>
      <c r="D724" s="49"/>
      <c r="E724" s="48">
        <v>151.3</v>
      </c>
    </row>
    <row r="725">
      <c r="A725" s="46" t="s">
        <v>17</v>
      </c>
      <c r="B725" s="46" t="s">
        <v>15</v>
      </c>
      <c r="C725" s="48">
        <v>148.1</v>
      </c>
      <c r="D725" s="49"/>
      <c r="E725" s="48">
        <v>148.1</v>
      </c>
    </row>
    <row r="726">
      <c r="A726" s="46" t="s">
        <v>17</v>
      </c>
      <c r="B726" s="46" t="s">
        <v>15</v>
      </c>
      <c r="C726" s="48">
        <v>139.0</v>
      </c>
      <c r="D726" s="49"/>
      <c r="E726" s="48">
        <v>139.0</v>
      </c>
    </row>
    <row r="727">
      <c r="A727" s="46" t="s">
        <v>17</v>
      </c>
      <c r="B727" s="46" t="s">
        <v>15</v>
      </c>
      <c r="C727" s="48">
        <v>123.9</v>
      </c>
      <c r="D727" s="49"/>
      <c r="E727" s="48">
        <v>123.9</v>
      </c>
    </row>
    <row r="728">
      <c r="A728" s="46" t="s">
        <v>17</v>
      </c>
      <c r="B728" s="46" t="s">
        <v>13</v>
      </c>
      <c r="C728" s="49"/>
      <c r="D728" s="48">
        <v>103.0</v>
      </c>
      <c r="E728" s="48">
        <v>103.0</v>
      </c>
    </row>
    <row r="729">
      <c r="A729" s="46" t="s">
        <v>17</v>
      </c>
      <c r="B729" s="46" t="s">
        <v>14</v>
      </c>
      <c r="C729" s="48">
        <v>117.7</v>
      </c>
      <c r="D729" s="48">
        <v>107.8</v>
      </c>
      <c r="E729" s="48">
        <v>114.8</v>
      </c>
    </row>
    <row r="730">
      <c r="A730" s="46" t="s">
        <v>17</v>
      </c>
      <c r="B730" s="46" t="s">
        <v>14</v>
      </c>
      <c r="C730" s="48">
        <v>105.9</v>
      </c>
      <c r="D730" s="48">
        <v>99.8</v>
      </c>
      <c r="E730" s="48">
        <v>104.7</v>
      </c>
    </row>
    <row r="731">
      <c r="A731" s="46" t="s">
        <v>17</v>
      </c>
      <c r="B731" s="46" t="s">
        <v>13</v>
      </c>
      <c r="C731" s="49"/>
      <c r="D731" s="48">
        <v>107.7</v>
      </c>
      <c r="E731" s="48">
        <v>107.7</v>
      </c>
    </row>
    <row r="732">
      <c r="A732" s="46" t="s">
        <v>17</v>
      </c>
      <c r="B732" s="46" t="s">
        <v>14</v>
      </c>
      <c r="C732" s="48">
        <v>110.3</v>
      </c>
      <c r="D732" s="48">
        <v>106.3</v>
      </c>
      <c r="E732" s="48">
        <v>109.7</v>
      </c>
    </row>
    <row r="733">
      <c r="A733" s="46" t="s">
        <v>17</v>
      </c>
      <c r="B733" s="46" t="s">
        <v>15</v>
      </c>
      <c r="C733" s="48">
        <v>132.7</v>
      </c>
      <c r="D733" s="49"/>
      <c r="E733" s="48">
        <v>132.7</v>
      </c>
    </row>
    <row r="734">
      <c r="A734" s="46" t="s">
        <v>17</v>
      </c>
      <c r="B734" s="46" t="s">
        <v>13</v>
      </c>
      <c r="C734" s="49"/>
      <c r="D734" s="48">
        <v>125.9</v>
      </c>
      <c r="E734" s="48">
        <v>125.9</v>
      </c>
    </row>
    <row r="735">
      <c r="A735" s="46" t="s">
        <v>17</v>
      </c>
      <c r="B735" s="46" t="s">
        <v>15</v>
      </c>
      <c r="C735" s="48">
        <v>121.5</v>
      </c>
      <c r="D735" s="49"/>
      <c r="E735" s="48">
        <v>121.5</v>
      </c>
    </row>
    <row r="736">
      <c r="A736" s="46" t="s">
        <v>17</v>
      </c>
      <c r="B736" s="46" t="s">
        <v>13</v>
      </c>
      <c r="C736" s="49"/>
      <c r="D736" s="48">
        <v>127.4</v>
      </c>
      <c r="E736" s="48">
        <v>127.4</v>
      </c>
    </row>
    <row r="737">
      <c r="A737" s="46" t="s">
        <v>17</v>
      </c>
      <c r="B737" s="46" t="s">
        <v>14</v>
      </c>
      <c r="C737" s="48">
        <v>127.4</v>
      </c>
      <c r="D737" s="48">
        <v>111.3</v>
      </c>
      <c r="E737" s="48">
        <v>119.2</v>
      </c>
    </row>
    <row r="738">
      <c r="A738" s="46" t="s">
        <v>17</v>
      </c>
      <c r="B738" s="46" t="s">
        <v>15</v>
      </c>
      <c r="C738" s="48">
        <v>128.2</v>
      </c>
      <c r="D738" s="49"/>
      <c r="E738" s="48">
        <v>128.2</v>
      </c>
    </row>
    <row r="739">
      <c r="A739" s="46" t="s">
        <v>17</v>
      </c>
      <c r="B739" s="46" t="s">
        <v>15</v>
      </c>
      <c r="C739" s="48">
        <v>117.3</v>
      </c>
      <c r="D739" s="49"/>
      <c r="E739" s="48">
        <v>117.3</v>
      </c>
    </row>
    <row r="740">
      <c r="A740" s="46" t="s">
        <v>17</v>
      </c>
      <c r="B740" s="46" t="s">
        <v>15</v>
      </c>
      <c r="C740" s="48">
        <v>97.1</v>
      </c>
      <c r="D740" s="49"/>
      <c r="E740" s="48">
        <v>97.1</v>
      </c>
    </row>
    <row r="741">
      <c r="A741" s="46" t="s">
        <v>17</v>
      </c>
      <c r="B741" s="46" t="s">
        <v>13</v>
      </c>
      <c r="C741" s="49"/>
      <c r="D741" s="48">
        <v>76.5</v>
      </c>
      <c r="E741" s="48">
        <v>76.5</v>
      </c>
    </row>
    <row r="742">
      <c r="A742" s="46" t="s">
        <v>17</v>
      </c>
      <c r="B742" s="46" t="s">
        <v>14</v>
      </c>
      <c r="C742" s="48">
        <v>109.4</v>
      </c>
      <c r="D742" s="48">
        <v>98.6</v>
      </c>
      <c r="E742" s="48">
        <v>107.7</v>
      </c>
    </row>
    <row r="743">
      <c r="A743" s="46" t="s">
        <v>17</v>
      </c>
      <c r="B743" s="46" t="s">
        <v>14</v>
      </c>
      <c r="C743" s="48">
        <v>78.6</v>
      </c>
      <c r="D743" s="48">
        <v>73.8</v>
      </c>
      <c r="E743" s="48">
        <v>74.8</v>
      </c>
    </row>
    <row r="744">
      <c r="A744" s="46" t="s">
        <v>17</v>
      </c>
      <c r="B744" s="46" t="s">
        <v>13</v>
      </c>
      <c r="C744" s="49"/>
      <c r="D744" s="48">
        <v>67.8</v>
      </c>
      <c r="E744" s="48">
        <v>67.8</v>
      </c>
    </row>
    <row r="745">
      <c r="A745" s="46" t="s">
        <v>17</v>
      </c>
      <c r="B745" s="46" t="s">
        <v>13</v>
      </c>
      <c r="C745" s="49"/>
      <c r="D745" s="48">
        <v>61.3</v>
      </c>
      <c r="E745" s="48">
        <v>61.3</v>
      </c>
    </row>
    <row r="746">
      <c r="A746" s="46" t="s">
        <v>17</v>
      </c>
      <c r="B746" s="46" t="s">
        <v>15</v>
      </c>
      <c r="C746" s="48">
        <v>111.8</v>
      </c>
      <c r="D746" s="49"/>
      <c r="E746" s="48">
        <v>111.8</v>
      </c>
    </row>
    <row r="747">
      <c r="A747" s="46" t="s">
        <v>17</v>
      </c>
      <c r="B747" s="46" t="s">
        <v>13</v>
      </c>
      <c r="C747" s="49"/>
      <c r="D747" s="48">
        <v>98.2</v>
      </c>
      <c r="E747" s="48">
        <v>98.2</v>
      </c>
    </row>
    <row r="748">
      <c r="A748" s="46" t="s">
        <v>17</v>
      </c>
      <c r="B748" s="46" t="s">
        <v>13</v>
      </c>
      <c r="C748" s="49"/>
      <c r="D748" s="48">
        <v>103.3</v>
      </c>
      <c r="E748" s="48">
        <v>103.3</v>
      </c>
    </row>
    <row r="749">
      <c r="A749" s="46" t="s">
        <v>17</v>
      </c>
      <c r="B749" s="46" t="s">
        <v>13</v>
      </c>
      <c r="C749" s="49"/>
      <c r="D749" s="48">
        <v>84.8</v>
      </c>
      <c r="E749" s="48">
        <v>84.8</v>
      </c>
    </row>
    <row r="750">
      <c r="A750" s="46" t="s">
        <v>17</v>
      </c>
      <c r="B750" s="46" t="s">
        <v>15</v>
      </c>
      <c r="C750" s="48">
        <v>116.0</v>
      </c>
      <c r="D750" s="49"/>
      <c r="E750" s="48">
        <v>116.0</v>
      </c>
    </row>
    <row r="751">
      <c r="A751" s="46" t="s">
        <v>17</v>
      </c>
      <c r="B751" s="46" t="s">
        <v>15</v>
      </c>
      <c r="C751" s="48">
        <v>95.0</v>
      </c>
      <c r="D751" s="49"/>
      <c r="E751" s="48">
        <v>95.0</v>
      </c>
    </row>
    <row r="752">
      <c r="A752" s="46" t="s">
        <v>17</v>
      </c>
      <c r="B752" s="46" t="s">
        <v>15</v>
      </c>
      <c r="C752" s="48">
        <v>121.8</v>
      </c>
      <c r="D752" s="49"/>
      <c r="E752" s="48">
        <v>121.8</v>
      </c>
    </row>
    <row r="753">
      <c r="A753" s="46" t="s">
        <v>17</v>
      </c>
      <c r="B753" s="46" t="s">
        <v>13</v>
      </c>
      <c r="C753" s="49"/>
      <c r="D753" s="48">
        <v>80.0</v>
      </c>
      <c r="E753" s="48">
        <v>80.0</v>
      </c>
    </row>
    <row r="754">
      <c r="A754" s="46" t="s">
        <v>17</v>
      </c>
      <c r="B754" s="46" t="s">
        <v>15</v>
      </c>
      <c r="C754" s="48">
        <v>127.6</v>
      </c>
      <c r="D754" s="49"/>
      <c r="E754" s="48">
        <v>127.6</v>
      </c>
    </row>
    <row r="755">
      <c r="A755" s="46" t="s">
        <v>17</v>
      </c>
      <c r="B755" s="46" t="s">
        <v>14</v>
      </c>
      <c r="C755" s="48">
        <v>114.9</v>
      </c>
      <c r="D755" s="48">
        <v>93.1</v>
      </c>
      <c r="E755" s="48">
        <v>114.2</v>
      </c>
    </row>
    <row r="756">
      <c r="A756" s="46" t="s">
        <v>17</v>
      </c>
      <c r="B756" s="46" t="s">
        <v>15</v>
      </c>
      <c r="C756" s="48">
        <v>134.5</v>
      </c>
      <c r="D756" s="49"/>
      <c r="E756" s="48">
        <v>134.5</v>
      </c>
    </row>
    <row r="757">
      <c r="A757" s="46" t="s">
        <v>17</v>
      </c>
      <c r="B757" s="46" t="s">
        <v>13</v>
      </c>
      <c r="C757" s="49"/>
      <c r="D757" s="48">
        <v>88.8</v>
      </c>
      <c r="E757" s="48">
        <v>88.8</v>
      </c>
    </row>
    <row r="758">
      <c r="A758" s="46" t="s">
        <v>17</v>
      </c>
      <c r="B758" s="46" t="s">
        <v>15</v>
      </c>
      <c r="C758" s="48">
        <v>125.6</v>
      </c>
      <c r="D758" s="49"/>
      <c r="E758" s="48">
        <v>125.6</v>
      </c>
    </row>
    <row r="759">
      <c r="A759" s="46" t="s">
        <v>17</v>
      </c>
      <c r="B759" s="46" t="s">
        <v>15</v>
      </c>
      <c r="C759" s="48">
        <v>126.3</v>
      </c>
      <c r="D759" s="49"/>
      <c r="E759" s="48">
        <v>126.3</v>
      </c>
    </row>
    <row r="760">
      <c r="A760" s="46" t="s">
        <v>17</v>
      </c>
      <c r="B760" s="46" t="s">
        <v>13</v>
      </c>
      <c r="C760" s="49"/>
      <c r="D760" s="48">
        <v>99.7</v>
      </c>
      <c r="E760" s="48">
        <v>99.7</v>
      </c>
    </row>
    <row r="761">
      <c r="A761" s="46" t="s">
        <v>17</v>
      </c>
      <c r="B761" s="46" t="s">
        <v>15</v>
      </c>
      <c r="C761" s="48">
        <v>102.2</v>
      </c>
      <c r="D761" s="49"/>
      <c r="E761" s="48">
        <v>102.2</v>
      </c>
    </row>
    <row r="762">
      <c r="A762" s="46" t="s">
        <v>17</v>
      </c>
      <c r="B762" s="46" t="s">
        <v>13</v>
      </c>
      <c r="C762" s="49"/>
      <c r="D762" s="48">
        <v>91.4</v>
      </c>
      <c r="E762" s="48">
        <v>91.4</v>
      </c>
    </row>
    <row r="763">
      <c r="A763" s="46" t="s">
        <v>17</v>
      </c>
      <c r="B763" s="46" t="s">
        <v>15</v>
      </c>
      <c r="C763" s="48">
        <v>119.1</v>
      </c>
      <c r="D763" s="49"/>
      <c r="E763" s="48">
        <v>119.1</v>
      </c>
    </row>
    <row r="764">
      <c r="A764" s="46" t="s">
        <v>17</v>
      </c>
      <c r="B764" s="46" t="s">
        <v>15</v>
      </c>
      <c r="C764" s="48">
        <v>126.7</v>
      </c>
      <c r="D764" s="49"/>
      <c r="E764" s="48">
        <v>126.7</v>
      </c>
    </row>
    <row r="765">
      <c r="A765" s="46" t="s">
        <v>17</v>
      </c>
      <c r="B765" s="46" t="s">
        <v>15</v>
      </c>
      <c r="C765" s="48">
        <v>118.0</v>
      </c>
      <c r="D765" s="49"/>
      <c r="E765" s="48">
        <v>118.0</v>
      </c>
    </row>
    <row r="766">
      <c r="A766" s="46" t="s">
        <v>17</v>
      </c>
      <c r="B766" s="46" t="s">
        <v>15</v>
      </c>
      <c r="C766" s="48">
        <v>124.2</v>
      </c>
      <c r="D766" s="49"/>
      <c r="E766" s="48">
        <v>124.2</v>
      </c>
    </row>
    <row r="767">
      <c r="A767" s="46" t="s">
        <v>17</v>
      </c>
      <c r="B767" s="46" t="s">
        <v>15</v>
      </c>
      <c r="C767" s="48">
        <v>101.2</v>
      </c>
      <c r="D767" s="49"/>
      <c r="E767" s="48">
        <v>101.2</v>
      </c>
    </row>
    <row r="768">
      <c r="A768" s="46" t="s">
        <v>17</v>
      </c>
      <c r="B768" s="46" t="s">
        <v>14</v>
      </c>
      <c r="C768" s="48">
        <v>103.0</v>
      </c>
      <c r="D768" s="48">
        <v>95.3</v>
      </c>
      <c r="E768" s="48">
        <v>100.4</v>
      </c>
    </row>
    <row r="769">
      <c r="A769" s="46" t="s">
        <v>17</v>
      </c>
      <c r="B769" s="46" t="s">
        <v>13</v>
      </c>
      <c r="C769" s="49"/>
      <c r="D769" s="48">
        <v>67.0</v>
      </c>
      <c r="E769" s="48">
        <v>67.0</v>
      </c>
    </row>
    <row r="770">
      <c r="A770" s="46" t="s">
        <v>17</v>
      </c>
      <c r="B770" s="46" t="s">
        <v>14</v>
      </c>
      <c r="C770" s="48">
        <v>96.3</v>
      </c>
      <c r="D770" s="48">
        <v>87.6</v>
      </c>
      <c r="E770" s="48">
        <v>90.3</v>
      </c>
    </row>
    <row r="771">
      <c r="A771" s="46" t="s">
        <v>17</v>
      </c>
      <c r="B771" s="46" t="s">
        <v>15</v>
      </c>
      <c r="C771" s="48">
        <v>141.8</v>
      </c>
      <c r="D771" s="49"/>
      <c r="E771" s="48">
        <v>141.8</v>
      </c>
    </row>
    <row r="772">
      <c r="A772" s="46" t="s">
        <v>17</v>
      </c>
      <c r="B772" s="46" t="s">
        <v>14</v>
      </c>
      <c r="C772" s="48">
        <v>109.6</v>
      </c>
      <c r="D772" s="48">
        <v>110.2</v>
      </c>
      <c r="E772" s="48">
        <v>109.7</v>
      </c>
    </row>
    <row r="773">
      <c r="A773" s="46" t="s">
        <v>17</v>
      </c>
      <c r="B773" s="46" t="s">
        <v>13</v>
      </c>
      <c r="C773" s="49"/>
      <c r="D773" s="48">
        <v>104.3</v>
      </c>
      <c r="E773" s="48">
        <v>104.3</v>
      </c>
    </row>
    <row r="774">
      <c r="A774" s="46" t="s">
        <v>17</v>
      </c>
      <c r="B774" s="46" t="s">
        <v>15</v>
      </c>
      <c r="C774" s="48">
        <v>135.0</v>
      </c>
      <c r="D774" s="49"/>
      <c r="E774" s="48">
        <v>135.0</v>
      </c>
    </row>
    <row r="775">
      <c r="A775" s="46" t="s">
        <v>17</v>
      </c>
      <c r="B775" s="46" t="s">
        <v>15</v>
      </c>
      <c r="C775" s="48">
        <v>126.3</v>
      </c>
      <c r="D775" s="49"/>
      <c r="E775" s="48">
        <v>126.3</v>
      </c>
    </row>
    <row r="776">
      <c r="A776" s="46" t="s">
        <v>17</v>
      </c>
      <c r="B776" s="46" t="s">
        <v>14</v>
      </c>
      <c r="C776" s="48">
        <v>112.0</v>
      </c>
      <c r="D776" s="48">
        <v>110.6</v>
      </c>
      <c r="E776" s="48">
        <v>111.3</v>
      </c>
    </row>
    <row r="777">
      <c r="A777" s="46" t="s">
        <v>17</v>
      </c>
      <c r="B777" s="46" t="s">
        <v>14</v>
      </c>
      <c r="C777" s="48">
        <v>108.9</v>
      </c>
      <c r="D777" s="48">
        <v>93.9</v>
      </c>
      <c r="E777" s="48">
        <v>101.7</v>
      </c>
    </row>
    <row r="778">
      <c r="A778" s="46" t="s">
        <v>17</v>
      </c>
      <c r="B778" s="46" t="s">
        <v>15</v>
      </c>
      <c r="C778" s="48">
        <v>117.5</v>
      </c>
      <c r="D778" s="49"/>
      <c r="E778" s="48">
        <v>117.5</v>
      </c>
    </row>
    <row r="779">
      <c r="A779" s="46" t="s">
        <v>17</v>
      </c>
      <c r="B779" s="46" t="s">
        <v>15</v>
      </c>
      <c r="C779" s="48">
        <v>120.0</v>
      </c>
      <c r="D779" s="49"/>
      <c r="E779" s="48">
        <v>120.0</v>
      </c>
    </row>
    <row r="780">
      <c r="A780" s="46" t="s">
        <v>17</v>
      </c>
      <c r="B780" s="46" t="s">
        <v>15</v>
      </c>
      <c r="C780" s="48">
        <v>91.7</v>
      </c>
      <c r="D780" s="49"/>
      <c r="E780" s="48">
        <v>91.7</v>
      </c>
    </row>
    <row r="781">
      <c r="A781" s="46" t="s">
        <v>17</v>
      </c>
      <c r="B781" s="46" t="s">
        <v>14</v>
      </c>
      <c r="C781" s="48">
        <v>109.2</v>
      </c>
      <c r="D781" s="48">
        <v>84.2</v>
      </c>
      <c r="E781" s="48">
        <v>89.3</v>
      </c>
    </row>
    <row r="782">
      <c r="A782" s="46" t="s">
        <v>17</v>
      </c>
      <c r="B782" s="46" t="s">
        <v>14</v>
      </c>
      <c r="C782" s="48">
        <v>103.3</v>
      </c>
      <c r="D782" s="48">
        <v>86.3</v>
      </c>
      <c r="E782" s="48">
        <v>87.8</v>
      </c>
    </row>
    <row r="783">
      <c r="A783" s="46" t="s">
        <v>17</v>
      </c>
      <c r="B783" s="46" t="s">
        <v>13</v>
      </c>
      <c r="C783" s="49"/>
      <c r="D783" s="48">
        <v>86.9</v>
      </c>
      <c r="E783" s="48">
        <v>86.9</v>
      </c>
    </row>
    <row r="784">
      <c r="A784" s="46" t="s">
        <v>17</v>
      </c>
      <c r="B784" s="46" t="s">
        <v>15</v>
      </c>
      <c r="C784" s="48">
        <v>125.6</v>
      </c>
      <c r="D784" s="49"/>
      <c r="E784" s="48">
        <v>125.6</v>
      </c>
    </row>
    <row r="785">
      <c r="A785" s="46" t="s">
        <v>17</v>
      </c>
      <c r="B785" s="46" t="s">
        <v>13</v>
      </c>
      <c r="C785" s="49"/>
      <c r="D785" s="48">
        <v>100.0</v>
      </c>
      <c r="E785" s="48">
        <v>100.0</v>
      </c>
    </row>
    <row r="786">
      <c r="A786" s="46" t="s">
        <v>17</v>
      </c>
      <c r="B786" s="46" t="s">
        <v>15</v>
      </c>
      <c r="C786" s="48">
        <v>111.8</v>
      </c>
      <c r="D786" s="49"/>
      <c r="E786" s="48">
        <v>111.8</v>
      </c>
    </row>
    <row r="787">
      <c r="A787" s="46" t="s">
        <v>17</v>
      </c>
      <c r="B787" s="46" t="s">
        <v>15</v>
      </c>
      <c r="C787" s="48">
        <v>124.1</v>
      </c>
      <c r="D787" s="49"/>
      <c r="E787" s="48">
        <v>124.1</v>
      </c>
    </row>
    <row r="788">
      <c r="A788" s="46" t="s">
        <v>17</v>
      </c>
      <c r="B788" s="46" t="s">
        <v>13</v>
      </c>
      <c r="C788" s="49"/>
      <c r="D788" s="48">
        <v>93.0</v>
      </c>
      <c r="E788" s="48">
        <v>93.0</v>
      </c>
    </row>
    <row r="789">
      <c r="A789" s="46" t="s">
        <v>17</v>
      </c>
      <c r="B789" s="46" t="s">
        <v>13</v>
      </c>
      <c r="C789" s="49"/>
      <c r="D789" s="48">
        <v>98.4</v>
      </c>
      <c r="E789" s="48">
        <v>98.4</v>
      </c>
    </row>
    <row r="790">
      <c r="A790" s="46" t="s">
        <v>17</v>
      </c>
      <c r="B790" s="46" t="s">
        <v>15</v>
      </c>
      <c r="C790" s="48">
        <v>134.4</v>
      </c>
      <c r="D790" s="49"/>
      <c r="E790" s="48">
        <v>134.4</v>
      </c>
    </row>
    <row r="791">
      <c r="A791" s="46" t="s">
        <v>17</v>
      </c>
      <c r="B791" s="46" t="s">
        <v>15</v>
      </c>
      <c r="C791" s="48">
        <v>127.1</v>
      </c>
      <c r="D791" s="49"/>
      <c r="E791" s="48">
        <v>127.1</v>
      </c>
    </row>
    <row r="792">
      <c r="A792" s="46" t="s">
        <v>17</v>
      </c>
      <c r="B792" s="46" t="s">
        <v>15</v>
      </c>
      <c r="C792" s="48">
        <v>110.2</v>
      </c>
      <c r="D792" s="49"/>
      <c r="E792" s="48">
        <v>110.2</v>
      </c>
    </row>
    <row r="793">
      <c r="A793" s="46" t="s">
        <v>17</v>
      </c>
      <c r="B793" s="46" t="s">
        <v>15</v>
      </c>
      <c r="C793" s="48">
        <v>106.9</v>
      </c>
      <c r="D793" s="49"/>
      <c r="E793" s="48">
        <v>106.9</v>
      </c>
    </row>
    <row r="794">
      <c r="A794" s="46" t="s">
        <v>17</v>
      </c>
      <c r="B794" s="46" t="s">
        <v>15</v>
      </c>
      <c r="C794" s="48">
        <v>114.5</v>
      </c>
      <c r="D794" s="49"/>
      <c r="E794" s="48">
        <v>114.5</v>
      </c>
    </row>
    <row r="795">
      <c r="A795" s="46" t="s">
        <v>17</v>
      </c>
      <c r="B795" s="46" t="s">
        <v>13</v>
      </c>
      <c r="C795" s="49"/>
      <c r="D795" s="48">
        <v>93.3</v>
      </c>
      <c r="E795" s="48">
        <v>93.3</v>
      </c>
    </row>
    <row r="796">
      <c r="A796" s="46" t="s">
        <v>17</v>
      </c>
      <c r="B796" s="46" t="s">
        <v>15</v>
      </c>
      <c r="C796" s="48">
        <v>129.0</v>
      </c>
      <c r="D796" s="49"/>
      <c r="E796" s="48">
        <v>129.0</v>
      </c>
    </row>
    <row r="797">
      <c r="A797" s="46" t="s">
        <v>17</v>
      </c>
      <c r="B797" s="46" t="s">
        <v>13</v>
      </c>
      <c r="C797" s="49"/>
      <c r="D797" s="48">
        <v>99.5</v>
      </c>
      <c r="E797" s="48">
        <v>99.5</v>
      </c>
    </row>
    <row r="798">
      <c r="A798" s="46" t="s">
        <v>17</v>
      </c>
      <c r="B798" s="46" t="s">
        <v>13</v>
      </c>
      <c r="C798" s="49"/>
      <c r="D798" s="48">
        <v>104.3</v>
      </c>
      <c r="E798" s="48">
        <v>104.3</v>
      </c>
    </row>
    <row r="799">
      <c r="A799" s="46" t="s">
        <v>17</v>
      </c>
      <c r="B799" s="46" t="s">
        <v>13</v>
      </c>
      <c r="C799" s="49"/>
      <c r="D799" s="48">
        <v>90.8</v>
      </c>
      <c r="E799" s="48">
        <v>90.8</v>
      </c>
    </row>
    <row r="800">
      <c r="A800" s="46" t="s">
        <v>17</v>
      </c>
      <c r="B800" s="46" t="s">
        <v>15</v>
      </c>
      <c r="C800" s="48">
        <v>137.3</v>
      </c>
      <c r="D800" s="49"/>
      <c r="E800" s="48">
        <v>137.3</v>
      </c>
    </row>
    <row r="801">
      <c r="A801" s="46" t="s">
        <v>17</v>
      </c>
      <c r="B801" s="46" t="s">
        <v>15</v>
      </c>
      <c r="C801" s="48">
        <v>125.4</v>
      </c>
      <c r="D801" s="49"/>
      <c r="E801" s="48">
        <v>125.4</v>
      </c>
    </row>
    <row r="802">
      <c r="A802" s="46" t="s">
        <v>17</v>
      </c>
      <c r="B802" s="46" t="s">
        <v>13</v>
      </c>
      <c r="C802" s="49"/>
      <c r="D802" s="48">
        <v>98.6</v>
      </c>
      <c r="E802" s="48">
        <v>98.6</v>
      </c>
    </row>
    <row r="803">
      <c r="A803" s="46" t="s">
        <v>17</v>
      </c>
      <c r="B803" s="46" t="s">
        <v>13</v>
      </c>
      <c r="C803" s="49"/>
      <c r="D803" s="48">
        <v>120.8</v>
      </c>
      <c r="E803" s="48">
        <v>120.8</v>
      </c>
    </row>
    <row r="804">
      <c r="A804" s="46" t="s">
        <v>17</v>
      </c>
      <c r="B804" s="46" t="s">
        <v>13</v>
      </c>
      <c r="C804" s="49"/>
      <c r="D804" s="48">
        <v>110.9</v>
      </c>
      <c r="E804" s="48">
        <v>110.9</v>
      </c>
    </row>
    <row r="805">
      <c r="A805" s="46" t="s">
        <v>17</v>
      </c>
      <c r="B805" s="46" t="s">
        <v>15</v>
      </c>
      <c r="C805" s="48">
        <v>120.8</v>
      </c>
      <c r="D805" s="49"/>
      <c r="E805" s="48">
        <v>120.8</v>
      </c>
    </row>
    <row r="806">
      <c r="A806" s="46" t="s">
        <v>17</v>
      </c>
      <c r="B806" s="46" t="s">
        <v>15</v>
      </c>
      <c r="C806" s="48">
        <v>128.9</v>
      </c>
      <c r="D806" s="49"/>
      <c r="E806" s="48">
        <v>128.9</v>
      </c>
    </row>
    <row r="807">
      <c r="A807" s="46" t="s">
        <v>17</v>
      </c>
      <c r="B807" s="46" t="s">
        <v>15</v>
      </c>
      <c r="C807" s="48">
        <v>131.4</v>
      </c>
      <c r="D807" s="49"/>
      <c r="E807" s="48">
        <v>131.4</v>
      </c>
    </row>
    <row r="808">
      <c r="A808" s="46" t="s">
        <v>17</v>
      </c>
      <c r="B808" s="46" t="s">
        <v>15</v>
      </c>
      <c r="C808" s="48">
        <v>126.0</v>
      </c>
      <c r="D808" s="49"/>
      <c r="E808" s="48">
        <v>126.0</v>
      </c>
    </row>
    <row r="809">
      <c r="A809" s="46" t="s">
        <v>17</v>
      </c>
      <c r="B809" s="46" t="s">
        <v>13</v>
      </c>
      <c r="C809" s="49"/>
      <c r="D809" s="48">
        <v>108.9</v>
      </c>
      <c r="E809" s="48">
        <v>108.9</v>
      </c>
    </row>
    <row r="810">
      <c r="A810" s="46" t="s">
        <v>17</v>
      </c>
      <c r="B810" s="46" t="s">
        <v>13</v>
      </c>
      <c r="C810" s="49"/>
      <c r="D810" s="48">
        <v>107.5</v>
      </c>
      <c r="E810" s="48">
        <v>107.5</v>
      </c>
    </row>
    <row r="811">
      <c r="A811" s="46" t="s">
        <v>17</v>
      </c>
      <c r="B811" s="46" t="s">
        <v>15</v>
      </c>
      <c r="C811" s="48">
        <v>123.4</v>
      </c>
      <c r="D811" s="49"/>
      <c r="E811" s="48">
        <v>123.4</v>
      </c>
    </row>
    <row r="812">
      <c r="A812" s="46" t="s">
        <v>17</v>
      </c>
      <c r="B812" s="46" t="s">
        <v>15</v>
      </c>
      <c r="C812" s="48">
        <v>126.1</v>
      </c>
      <c r="D812" s="49"/>
      <c r="E812" s="48">
        <v>126.1</v>
      </c>
    </row>
    <row r="813">
      <c r="A813" s="46" t="s">
        <v>17</v>
      </c>
      <c r="B813" s="46" t="s">
        <v>14</v>
      </c>
      <c r="C813" s="48">
        <v>127.5</v>
      </c>
      <c r="D813" s="48">
        <v>114.9</v>
      </c>
      <c r="E813" s="48">
        <v>123.8</v>
      </c>
    </row>
    <row r="814">
      <c r="A814" s="46" t="s">
        <v>17</v>
      </c>
      <c r="B814" s="46" t="s">
        <v>14</v>
      </c>
      <c r="C814" s="48">
        <v>111.6</v>
      </c>
      <c r="D814" s="48">
        <v>88.5</v>
      </c>
      <c r="E814" s="48">
        <v>103.9</v>
      </c>
    </row>
    <row r="815">
      <c r="A815" s="46" t="s">
        <v>17</v>
      </c>
      <c r="B815" s="46" t="s">
        <v>14</v>
      </c>
      <c r="C815" s="48">
        <v>140.2</v>
      </c>
      <c r="D815" s="48">
        <v>86.3</v>
      </c>
      <c r="E815" s="48">
        <v>136.6</v>
      </c>
    </row>
    <row r="816">
      <c r="A816" s="46" t="s">
        <v>17</v>
      </c>
      <c r="B816" s="46" t="s">
        <v>14</v>
      </c>
      <c r="C816" s="48">
        <v>121.2</v>
      </c>
      <c r="D816" s="48">
        <v>89.8</v>
      </c>
      <c r="E816" s="48">
        <v>108.2</v>
      </c>
    </row>
    <row r="817">
      <c r="A817" s="46" t="s">
        <v>17</v>
      </c>
      <c r="B817" s="46" t="s">
        <v>15</v>
      </c>
      <c r="C817" s="48">
        <v>135.5</v>
      </c>
      <c r="D817" s="49"/>
      <c r="E817" s="48">
        <v>135.5</v>
      </c>
    </row>
    <row r="818">
      <c r="A818" s="46" t="s">
        <v>17</v>
      </c>
      <c r="B818" s="46" t="s">
        <v>15</v>
      </c>
      <c r="C818" s="48">
        <v>134.7</v>
      </c>
      <c r="D818" s="49"/>
      <c r="E818" s="48">
        <v>134.7</v>
      </c>
    </row>
    <row r="819">
      <c r="A819" s="46" t="s">
        <v>17</v>
      </c>
      <c r="B819" s="46" t="s">
        <v>15</v>
      </c>
      <c r="C819" s="48">
        <v>131.1</v>
      </c>
      <c r="D819" s="49"/>
      <c r="E819" s="48">
        <v>131.1</v>
      </c>
    </row>
    <row r="820">
      <c r="A820" s="46" t="s">
        <v>17</v>
      </c>
      <c r="B820" s="46" t="s">
        <v>13</v>
      </c>
      <c r="C820" s="49"/>
      <c r="D820" s="48">
        <v>102.0</v>
      </c>
      <c r="E820" s="48">
        <v>102.0</v>
      </c>
    </row>
    <row r="821">
      <c r="A821" s="46" t="s">
        <v>17</v>
      </c>
      <c r="B821" s="46" t="s">
        <v>13</v>
      </c>
      <c r="C821" s="49"/>
      <c r="D821" s="48">
        <v>95.4</v>
      </c>
      <c r="E821" s="48">
        <v>95.4</v>
      </c>
    </row>
    <row r="822">
      <c r="A822" s="46" t="s">
        <v>17</v>
      </c>
      <c r="B822" s="46" t="s">
        <v>13</v>
      </c>
      <c r="C822" s="49"/>
      <c r="D822" s="48">
        <v>88.8</v>
      </c>
      <c r="E822" s="48">
        <v>88.8</v>
      </c>
    </row>
    <row r="823">
      <c r="A823" s="46" t="s">
        <v>17</v>
      </c>
      <c r="B823" s="46" t="s">
        <v>14</v>
      </c>
      <c r="C823" s="48">
        <v>131.6</v>
      </c>
      <c r="D823" s="48">
        <v>99.8</v>
      </c>
      <c r="E823" s="48">
        <v>128.5</v>
      </c>
    </row>
    <row r="824">
      <c r="A824" s="46" t="s">
        <v>17</v>
      </c>
      <c r="B824" s="46" t="s">
        <v>15</v>
      </c>
      <c r="C824" s="48">
        <v>115.0</v>
      </c>
      <c r="D824" s="49"/>
      <c r="E824" s="48">
        <v>115.0</v>
      </c>
    </row>
    <row r="825">
      <c r="A825" s="46" t="s">
        <v>17</v>
      </c>
      <c r="B825" s="46" t="s">
        <v>14</v>
      </c>
      <c r="C825" s="48">
        <v>106.5</v>
      </c>
      <c r="D825" s="48">
        <v>89.7</v>
      </c>
      <c r="E825" s="48">
        <v>98.8</v>
      </c>
    </row>
    <row r="826">
      <c r="A826" s="46" t="s">
        <v>17</v>
      </c>
      <c r="B826" s="46" t="s">
        <v>15</v>
      </c>
      <c r="C826" s="48">
        <v>114.2</v>
      </c>
      <c r="D826" s="49"/>
      <c r="E826" s="48">
        <v>114.2</v>
      </c>
    </row>
    <row r="827">
      <c r="A827" s="46" t="s">
        <v>17</v>
      </c>
      <c r="B827" s="46" t="s">
        <v>13</v>
      </c>
      <c r="C827" s="49"/>
      <c r="D827" s="48">
        <v>104.4</v>
      </c>
      <c r="E827" s="48">
        <v>104.4</v>
      </c>
    </row>
    <row r="828">
      <c r="A828" s="46" t="s">
        <v>17</v>
      </c>
      <c r="B828" s="46" t="s">
        <v>13</v>
      </c>
      <c r="C828" s="49"/>
      <c r="D828" s="48">
        <v>76.1</v>
      </c>
      <c r="E828" s="48">
        <v>76.1</v>
      </c>
    </row>
    <row r="829">
      <c r="A829" s="46" t="s">
        <v>17</v>
      </c>
      <c r="B829" s="46" t="s">
        <v>13</v>
      </c>
      <c r="C829" s="49"/>
      <c r="D829" s="48">
        <v>82.7</v>
      </c>
      <c r="E829" s="48">
        <v>82.7</v>
      </c>
    </row>
    <row r="830">
      <c r="A830" s="46" t="s">
        <v>17</v>
      </c>
      <c r="B830" s="46" t="s">
        <v>15</v>
      </c>
      <c r="C830" s="48">
        <v>105.2</v>
      </c>
      <c r="D830" s="49"/>
      <c r="E830" s="48">
        <v>105.2</v>
      </c>
    </row>
    <row r="831">
      <c r="A831" s="46" t="s">
        <v>17</v>
      </c>
      <c r="B831" s="46" t="s">
        <v>15</v>
      </c>
      <c r="C831" s="48">
        <v>122.6</v>
      </c>
      <c r="D831" s="49"/>
      <c r="E831" s="48">
        <v>122.6</v>
      </c>
    </row>
    <row r="832">
      <c r="A832" s="46" t="s">
        <v>17</v>
      </c>
      <c r="B832" s="46" t="s">
        <v>15</v>
      </c>
      <c r="C832" s="48">
        <v>109.5</v>
      </c>
      <c r="D832" s="49"/>
      <c r="E832" s="48">
        <v>109.5</v>
      </c>
    </row>
    <row r="833">
      <c r="A833" s="46" t="s">
        <v>17</v>
      </c>
      <c r="B833" s="46" t="s">
        <v>15</v>
      </c>
      <c r="C833" s="48">
        <v>114.2</v>
      </c>
      <c r="D833" s="49"/>
      <c r="E833" s="48">
        <v>114.2</v>
      </c>
    </row>
    <row r="834">
      <c r="A834" s="46" t="s">
        <v>17</v>
      </c>
      <c r="B834" s="46" t="s">
        <v>15</v>
      </c>
      <c r="C834" s="48">
        <v>117.3</v>
      </c>
      <c r="D834" s="49"/>
      <c r="E834" s="48">
        <v>117.3</v>
      </c>
    </row>
    <row r="835">
      <c r="A835" s="46" t="s">
        <v>17</v>
      </c>
      <c r="B835" s="46" t="s">
        <v>15</v>
      </c>
      <c r="C835" s="48">
        <v>113.1</v>
      </c>
      <c r="D835" s="49"/>
      <c r="E835" s="48">
        <v>113.1</v>
      </c>
    </row>
    <row r="836">
      <c r="A836" s="46" t="s">
        <v>17</v>
      </c>
      <c r="B836" s="46" t="s">
        <v>15</v>
      </c>
      <c r="C836" s="48">
        <v>142.1</v>
      </c>
      <c r="D836" s="49"/>
      <c r="E836" s="48">
        <v>142.1</v>
      </c>
    </row>
    <row r="837">
      <c r="A837" s="46" t="s">
        <v>17</v>
      </c>
      <c r="B837" s="46" t="s">
        <v>15</v>
      </c>
      <c r="C837" s="48">
        <v>143.5</v>
      </c>
      <c r="D837" s="49"/>
      <c r="E837" s="48">
        <v>143.5</v>
      </c>
    </row>
    <row r="838">
      <c r="A838" s="46" t="s">
        <v>17</v>
      </c>
      <c r="B838" s="46" t="s">
        <v>13</v>
      </c>
      <c r="C838" s="49"/>
      <c r="D838" s="48">
        <v>105.9</v>
      </c>
      <c r="E838" s="48">
        <v>105.9</v>
      </c>
    </row>
    <row r="839">
      <c r="A839" s="46" t="s">
        <v>17</v>
      </c>
      <c r="B839" s="46" t="s">
        <v>13</v>
      </c>
      <c r="C839" s="49"/>
      <c r="D839" s="48">
        <v>105.7</v>
      </c>
      <c r="E839" s="48">
        <v>105.7</v>
      </c>
    </row>
    <row r="840">
      <c r="A840" s="46" t="s">
        <v>17</v>
      </c>
      <c r="B840" s="46" t="s">
        <v>15</v>
      </c>
      <c r="C840" s="48">
        <v>142.5</v>
      </c>
      <c r="D840" s="49"/>
      <c r="E840" s="48">
        <v>142.5</v>
      </c>
    </row>
    <row r="841">
      <c r="A841" s="46" t="s">
        <v>17</v>
      </c>
      <c r="B841" s="46" t="s">
        <v>15</v>
      </c>
      <c r="C841" s="48">
        <v>122.6</v>
      </c>
      <c r="D841" s="49"/>
      <c r="E841" s="48">
        <v>122.6</v>
      </c>
    </row>
    <row r="842">
      <c r="A842" s="46" t="s">
        <v>17</v>
      </c>
      <c r="B842" s="46" t="s">
        <v>15</v>
      </c>
      <c r="C842" s="48">
        <v>135.4</v>
      </c>
      <c r="D842" s="49"/>
      <c r="E842" s="48">
        <v>135.4</v>
      </c>
    </row>
    <row r="843">
      <c r="A843" s="46" t="s">
        <v>17</v>
      </c>
      <c r="B843" s="46" t="s">
        <v>14</v>
      </c>
      <c r="C843" s="48">
        <v>118.0</v>
      </c>
      <c r="D843" s="48">
        <v>86.6</v>
      </c>
      <c r="E843" s="48">
        <v>98.9</v>
      </c>
    </row>
    <row r="844">
      <c r="A844" s="46" t="s">
        <v>17</v>
      </c>
      <c r="B844" s="46" t="s">
        <v>13</v>
      </c>
      <c r="C844" s="49"/>
      <c r="D844" s="48">
        <v>94.5</v>
      </c>
      <c r="E844" s="48">
        <v>94.5</v>
      </c>
    </row>
    <row r="845">
      <c r="A845" s="46" t="s">
        <v>17</v>
      </c>
      <c r="B845" s="46" t="s">
        <v>15</v>
      </c>
      <c r="C845" s="48">
        <v>119.2</v>
      </c>
      <c r="D845" s="49"/>
      <c r="E845" s="48">
        <v>119.2</v>
      </c>
    </row>
    <row r="846">
      <c r="A846" s="46" t="s">
        <v>17</v>
      </c>
      <c r="B846" s="46" t="s">
        <v>15</v>
      </c>
      <c r="C846" s="48">
        <v>96.8</v>
      </c>
      <c r="D846" s="49"/>
      <c r="E846" s="48">
        <v>96.8</v>
      </c>
    </row>
    <row r="847">
      <c r="A847" s="46" t="s">
        <v>17</v>
      </c>
      <c r="B847" s="46" t="s">
        <v>13</v>
      </c>
      <c r="C847" s="49"/>
      <c r="D847" s="48">
        <v>106.5</v>
      </c>
      <c r="E847" s="48">
        <v>106.5</v>
      </c>
    </row>
    <row r="848">
      <c r="A848" s="46" t="s">
        <v>17</v>
      </c>
      <c r="B848" s="46" t="s">
        <v>15</v>
      </c>
      <c r="C848" s="48">
        <v>110.5</v>
      </c>
      <c r="D848" s="49"/>
      <c r="E848" s="48">
        <v>110.5</v>
      </c>
    </row>
    <row r="849">
      <c r="A849" s="46" t="s">
        <v>17</v>
      </c>
      <c r="B849" s="46" t="s">
        <v>15</v>
      </c>
      <c r="C849" s="48">
        <v>111.9</v>
      </c>
      <c r="D849" s="49"/>
      <c r="E849" s="48">
        <v>111.9</v>
      </c>
    </row>
    <row r="850">
      <c r="A850" s="46" t="s">
        <v>17</v>
      </c>
      <c r="B850" s="46" t="s">
        <v>15</v>
      </c>
      <c r="C850" s="48">
        <v>103.6</v>
      </c>
      <c r="D850" s="49"/>
      <c r="E850" s="48">
        <v>103.6</v>
      </c>
    </row>
    <row r="851">
      <c r="A851" s="46" t="s">
        <v>17</v>
      </c>
      <c r="B851" s="46" t="s">
        <v>15</v>
      </c>
      <c r="C851" s="48">
        <v>134.3</v>
      </c>
      <c r="D851" s="49"/>
      <c r="E851" s="48">
        <v>134.3</v>
      </c>
    </row>
    <row r="852">
      <c r="A852" s="46" t="s">
        <v>17</v>
      </c>
      <c r="B852" s="46" t="s">
        <v>13</v>
      </c>
      <c r="C852" s="49"/>
      <c r="D852" s="48">
        <v>96.0</v>
      </c>
      <c r="E852" s="48">
        <v>96.0</v>
      </c>
    </row>
    <row r="853">
      <c r="A853" s="46" t="s">
        <v>17</v>
      </c>
      <c r="B853" s="46" t="s">
        <v>15</v>
      </c>
      <c r="C853" s="48">
        <v>124.4</v>
      </c>
      <c r="D853" s="49"/>
      <c r="E853" s="48">
        <v>124.4</v>
      </c>
    </row>
    <row r="854">
      <c r="A854" s="46" t="s">
        <v>17</v>
      </c>
      <c r="B854" s="46" t="s">
        <v>14</v>
      </c>
      <c r="C854" s="48">
        <v>120.1</v>
      </c>
      <c r="D854" s="48">
        <v>101.3</v>
      </c>
      <c r="E854" s="48">
        <v>110.6</v>
      </c>
    </row>
    <row r="855">
      <c r="A855" s="46" t="s">
        <v>17</v>
      </c>
      <c r="B855" s="46" t="s">
        <v>14</v>
      </c>
      <c r="C855" s="48">
        <v>124.1</v>
      </c>
      <c r="D855" s="48">
        <v>108.2</v>
      </c>
      <c r="E855" s="48">
        <v>114.0</v>
      </c>
    </row>
    <row r="856">
      <c r="A856" s="46" t="s">
        <v>17</v>
      </c>
      <c r="B856" s="46" t="s">
        <v>14</v>
      </c>
      <c r="C856" s="48">
        <v>107.0</v>
      </c>
      <c r="D856" s="48">
        <v>100.7</v>
      </c>
      <c r="E856" s="48">
        <v>104.9</v>
      </c>
    </row>
    <row r="857">
      <c r="A857" s="46" t="s">
        <v>17</v>
      </c>
      <c r="B857" s="46" t="s">
        <v>15</v>
      </c>
      <c r="C857" s="48">
        <v>107.7</v>
      </c>
      <c r="D857" s="49"/>
      <c r="E857" s="48">
        <v>107.7</v>
      </c>
    </row>
    <row r="858">
      <c r="A858" s="46" t="s">
        <v>17</v>
      </c>
      <c r="B858" s="46" t="s">
        <v>15</v>
      </c>
      <c r="C858" s="48">
        <v>117.8</v>
      </c>
      <c r="D858" s="49"/>
      <c r="E858" s="48">
        <v>117.8</v>
      </c>
    </row>
    <row r="859">
      <c r="A859" s="46" t="s">
        <v>17</v>
      </c>
      <c r="B859" s="46" t="s">
        <v>15</v>
      </c>
      <c r="C859" s="48">
        <v>124.6</v>
      </c>
      <c r="D859" s="49"/>
      <c r="E859" s="48">
        <v>124.6</v>
      </c>
    </row>
    <row r="860">
      <c r="A860" s="46" t="s">
        <v>17</v>
      </c>
      <c r="B860" s="46" t="s">
        <v>13</v>
      </c>
      <c r="C860" s="49"/>
      <c r="D860" s="48">
        <v>70.5</v>
      </c>
      <c r="E860" s="48">
        <v>70.5</v>
      </c>
    </row>
    <row r="861">
      <c r="A861" s="46" t="s">
        <v>17</v>
      </c>
      <c r="B861" s="46" t="s">
        <v>15</v>
      </c>
      <c r="C861" s="48">
        <v>79.0</v>
      </c>
      <c r="D861" s="49"/>
      <c r="E861" s="48">
        <v>79.0</v>
      </c>
    </row>
    <row r="862">
      <c r="A862" s="46" t="s">
        <v>17</v>
      </c>
      <c r="B862" s="46" t="s">
        <v>15</v>
      </c>
      <c r="C862" s="48">
        <v>141.7</v>
      </c>
      <c r="D862" s="49"/>
      <c r="E862" s="48">
        <v>141.7</v>
      </c>
    </row>
    <row r="863">
      <c r="A863" s="46" t="s">
        <v>17</v>
      </c>
      <c r="B863" s="46" t="s">
        <v>15</v>
      </c>
      <c r="C863" s="48">
        <v>142.1</v>
      </c>
      <c r="D863" s="49"/>
      <c r="E863" s="48">
        <v>142.1</v>
      </c>
    </row>
    <row r="864">
      <c r="A864" s="46" t="s">
        <v>17</v>
      </c>
      <c r="B864" s="46" t="s">
        <v>14</v>
      </c>
      <c r="C864" s="48">
        <v>79.6</v>
      </c>
      <c r="D864" s="48">
        <v>74.1</v>
      </c>
      <c r="E864" s="48">
        <v>76.8</v>
      </c>
    </row>
    <row r="865">
      <c r="A865" s="46" t="s">
        <v>17</v>
      </c>
      <c r="B865" s="46" t="s">
        <v>14</v>
      </c>
      <c r="C865" s="48">
        <v>98.2</v>
      </c>
      <c r="D865" s="48">
        <v>89.5</v>
      </c>
      <c r="E865" s="48">
        <v>92.4</v>
      </c>
    </row>
    <row r="866">
      <c r="A866" s="46" t="s">
        <v>17</v>
      </c>
      <c r="B866" s="46" t="s">
        <v>14</v>
      </c>
      <c r="C866" s="48">
        <v>120.6</v>
      </c>
      <c r="D866" s="48">
        <v>93.6</v>
      </c>
      <c r="E866" s="48">
        <v>109.0</v>
      </c>
    </row>
    <row r="867">
      <c r="A867" s="46" t="s">
        <v>17</v>
      </c>
      <c r="B867" s="46" t="s">
        <v>13</v>
      </c>
      <c r="C867" s="49"/>
      <c r="D867" s="48">
        <v>93.4</v>
      </c>
      <c r="E867" s="48">
        <v>93.4</v>
      </c>
    </row>
    <row r="868">
      <c r="A868" s="46" t="s">
        <v>17</v>
      </c>
      <c r="B868" s="46" t="s">
        <v>13</v>
      </c>
      <c r="C868" s="49"/>
      <c r="D868" s="48">
        <v>76.5</v>
      </c>
      <c r="E868" s="48">
        <v>76.5</v>
      </c>
    </row>
    <row r="869">
      <c r="A869" s="46" t="s">
        <v>17</v>
      </c>
      <c r="B869" s="46" t="s">
        <v>15</v>
      </c>
      <c r="C869" s="48">
        <v>128.8</v>
      </c>
      <c r="D869" s="49"/>
      <c r="E869" s="48">
        <v>128.8</v>
      </c>
    </row>
    <row r="870">
      <c r="A870" s="46" t="s">
        <v>17</v>
      </c>
      <c r="B870" s="46" t="s">
        <v>15</v>
      </c>
      <c r="C870" s="48">
        <v>125.5</v>
      </c>
      <c r="D870" s="49"/>
      <c r="E870" s="48">
        <v>125.5</v>
      </c>
    </row>
    <row r="871">
      <c r="A871" s="46" t="s">
        <v>17</v>
      </c>
      <c r="B871" s="46" t="s">
        <v>13</v>
      </c>
      <c r="C871" s="49"/>
      <c r="D871" s="48">
        <v>99.5</v>
      </c>
      <c r="E871" s="48">
        <v>99.5</v>
      </c>
    </row>
    <row r="872">
      <c r="A872" s="46" t="s">
        <v>17</v>
      </c>
      <c r="B872" s="46" t="s">
        <v>15</v>
      </c>
      <c r="C872" s="48">
        <v>121.8</v>
      </c>
      <c r="D872" s="49"/>
      <c r="E872" s="48">
        <v>121.8</v>
      </c>
    </row>
    <row r="873">
      <c r="A873" s="46" t="s">
        <v>17</v>
      </c>
      <c r="B873" s="46" t="s">
        <v>13</v>
      </c>
      <c r="C873" s="49"/>
      <c r="D873" s="48">
        <v>98.0</v>
      </c>
      <c r="E873" s="48">
        <v>98.0</v>
      </c>
    </row>
    <row r="874">
      <c r="A874" s="46" t="s">
        <v>17</v>
      </c>
      <c r="B874" s="46" t="s">
        <v>15</v>
      </c>
      <c r="C874" s="48">
        <v>115.5</v>
      </c>
      <c r="D874" s="49"/>
      <c r="E874" s="48">
        <v>115.5</v>
      </c>
    </row>
    <row r="875">
      <c r="A875" s="46" t="s">
        <v>17</v>
      </c>
      <c r="B875" s="46" t="s">
        <v>15</v>
      </c>
      <c r="C875" s="48">
        <v>103.0</v>
      </c>
      <c r="D875" s="49"/>
      <c r="E875" s="48">
        <v>103.0</v>
      </c>
    </row>
    <row r="876">
      <c r="A876" s="46" t="s">
        <v>17</v>
      </c>
      <c r="B876" s="46" t="s">
        <v>15</v>
      </c>
      <c r="C876" s="48">
        <v>122.9</v>
      </c>
      <c r="D876" s="49"/>
      <c r="E876" s="48">
        <v>122.9</v>
      </c>
    </row>
    <row r="877">
      <c r="A877" s="46" t="s">
        <v>17</v>
      </c>
      <c r="B877" s="46" t="s">
        <v>14</v>
      </c>
      <c r="C877" s="48">
        <v>95.0</v>
      </c>
      <c r="D877" s="48">
        <v>78.6</v>
      </c>
      <c r="E877" s="48">
        <v>80.8</v>
      </c>
    </row>
    <row r="878">
      <c r="A878" s="46" t="s">
        <v>17</v>
      </c>
      <c r="B878" s="46" t="s">
        <v>13</v>
      </c>
      <c r="C878" s="49"/>
      <c r="D878" s="48">
        <v>87.8</v>
      </c>
      <c r="E878" s="48">
        <v>87.8</v>
      </c>
    </row>
    <row r="879">
      <c r="A879" s="46" t="s">
        <v>17</v>
      </c>
      <c r="B879" s="46" t="s">
        <v>13</v>
      </c>
      <c r="C879" s="49"/>
      <c r="D879" s="48">
        <v>92.3</v>
      </c>
      <c r="E879" s="48">
        <v>92.3</v>
      </c>
    </row>
    <row r="880">
      <c r="A880" s="46" t="s">
        <v>17</v>
      </c>
      <c r="B880" s="46" t="s">
        <v>14</v>
      </c>
      <c r="C880" s="48">
        <v>109.9</v>
      </c>
      <c r="D880" s="48">
        <v>92.5</v>
      </c>
      <c r="E880" s="48">
        <v>104.1</v>
      </c>
    </row>
    <row r="881">
      <c r="A881" s="46" t="s">
        <v>17</v>
      </c>
      <c r="B881" s="46" t="s">
        <v>15</v>
      </c>
      <c r="C881" s="48">
        <v>112.7</v>
      </c>
      <c r="D881" s="49"/>
      <c r="E881" s="48">
        <v>112.7</v>
      </c>
    </row>
    <row r="882">
      <c r="A882" s="46" t="s">
        <v>17</v>
      </c>
      <c r="B882" s="46" t="s">
        <v>15</v>
      </c>
      <c r="C882" s="48">
        <v>132.7</v>
      </c>
      <c r="D882" s="49"/>
      <c r="E882" s="48">
        <v>132.7</v>
      </c>
    </row>
    <row r="883">
      <c r="A883" s="46" t="s">
        <v>17</v>
      </c>
      <c r="B883" s="46" t="s">
        <v>13</v>
      </c>
      <c r="C883" s="49"/>
      <c r="D883" s="48">
        <v>92.1</v>
      </c>
      <c r="E883" s="48">
        <v>92.1</v>
      </c>
    </row>
    <row r="884">
      <c r="A884" s="46" t="s">
        <v>17</v>
      </c>
      <c r="B884" s="46" t="s">
        <v>13</v>
      </c>
      <c r="C884" s="49"/>
      <c r="D884" s="48">
        <v>89.0</v>
      </c>
      <c r="E884" s="48">
        <v>89.0</v>
      </c>
    </row>
    <row r="885">
      <c r="A885" s="46" t="s">
        <v>17</v>
      </c>
      <c r="B885" s="46" t="s">
        <v>14</v>
      </c>
      <c r="C885" s="48">
        <v>112.3</v>
      </c>
      <c r="D885" s="48">
        <v>97.8</v>
      </c>
      <c r="E885" s="48">
        <v>108.3</v>
      </c>
    </row>
    <row r="886">
      <c r="A886" s="46" t="s">
        <v>17</v>
      </c>
      <c r="B886" s="46" t="s">
        <v>15</v>
      </c>
      <c r="C886" s="48">
        <v>124.6</v>
      </c>
      <c r="D886" s="49"/>
      <c r="E886" s="48">
        <v>124.6</v>
      </c>
    </row>
    <row r="887">
      <c r="A887" s="46" t="s">
        <v>17</v>
      </c>
      <c r="B887" s="46" t="s">
        <v>15</v>
      </c>
      <c r="C887" s="48">
        <v>121.5</v>
      </c>
      <c r="D887" s="49"/>
      <c r="E887" s="48">
        <v>121.5</v>
      </c>
    </row>
    <row r="888">
      <c r="A888" s="46" t="s">
        <v>17</v>
      </c>
      <c r="B888" s="46" t="s">
        <v>15</v>
      </c>
      <c r="C888" s="48">
        <v>123.9</v>
      </c>
      <c r="D888" s="49"/>
      <c r="E888" s="48">
        <v>123.9</v>
      </c>
    </row>
    <row r="889">
      <c r="A889" s="46" t="s">
        <v>17</v>
      </c>
      <c r="B889" s="46" t="s">
        <v>15</v>
      </c>
      <c r="C889" s="48">
        <v>120.0</v>
      </c>
      <c r="D889" s="49"/>
      <c r="E889" s="48">
        <v>120.0</v>
      </c>
    </row>
    <row r="890">
      <c r="A890" s="46" t="s">
        <v>17</v>
      </c>
      <c r="B890" s="46" t="s">
        <v>13</v>
      </c>
      <c r="C890" s="49"/>
      <c r="D890" s="48">
        <v>88.8</v>
      </c>
      <c r="E890" s="48">
        <v>88.8</v>
      </c>
    </row>
    <row r="891">
      <c r="A891" s="46" t="s">
        <v>17</v>
      </c>
      <c r="B891" s="46" t="s">
        <v>13</v>
      </c>
      <c r="C891" s="49"/>
      <c r="D891" s="48">
        <v>87.1</v>
      </c>
      <c r="E891" s="48">
        <v>87.1</v>
      </c>
    </row>
    <row r="892">
      <c r="A892" s="46" t="s">
        <v>17</v>
      </c>
      <c r="B892" s="46" t="s">
        <v>15</v>
      </c>
      <c r="C892" s="48">
        <v>127.3</v>
      </c>
      <c r="D892" s="49"/>
      <c r="E892" s="48">
        <v>127.3</v>
      </c>
    </row>
    <row r="893">
      <c r="A893" s="46" t="s">
        <v>17</v>
      </c>
      <c r="B893" s="46" t="s">
        <v>15</v>
      </c>
      <c r="C893" s="48">
        <v>113.8</v>
      </c>
      <c r="D893" s="49"/>
      <c r="E893" s="48">
        <v>113.8</v>
      </c>
    </row>
    <row r="894">
      <c r="A894" s="46" t="s">
        <v>17</v>
      </c>
      <c r="B894" s="46" t="s">
        <v>15</v>
      </c>
      <c r="C894" s="48">
        <v>145.3</v>
      </c>
      <c r="D894" s="49"/>
      <c r="E894" s="48">
        <v>145.3</v>
      </c>
    </row>
    <row r="895">
      <c r="A895" s="46" t="s">
        <v>17</v>
      </c>
      <c r="B895" s="46" t="s">
        <v>15</v>
      </c>
      <c r="C895" s="48">
        <v>135.5</v>
      </c>
      <c r="D895" s="49"/>
      <c r="E895" s="48">
        <v>135.5</v>
      </c>
    </row>
    <row r="896">
      <c r="A896" s="46" t="s">
        <v>17</v>
      </c>
      <c r="B896" s="46" t="s">
        <v>15</v>
      </c>
      <c r="C896" s="48">
        <v>125.6</v>
      </c>
      <c r="D896" s="49"/>
      <c r="E896" s="48">
        <v>125.6</v>
      </c>
    </row>
    <row r="897">
      <c r="A897" s="46" t="s">
        <v>17</v>
      </c>
      <c r="B897" s="46" t="s">
        <v>15</v>
      </c>
      <c r="C897" s="48">
        <v>132.3</v>
      </c>
      <c r="D897" s="49"/>
      <c r="E897" s="48">
        <v>132.3</v>
      </c>
    </row>
    <row r="898">
      <c r="A898" s="46" t="s">
        <v>17</v>
      </c>
      <c r="B898" s="46" t="s">
        <v>15</v>
      </c>
      <c r="C898" s="48">
        <v>118.5</v>
      </c>
      <c r="D898" s="49"/>
      <c r="E898" s="48">
        <v>118.5</v>
      </c>
    </row>
    <row r="899">
      <c r="A899" s="46" t="s">
        <v>17</v>
      </c>
      <c r="B899" s="46" t="s">
        <v>13</v>
      </c>
      <c r="C899" s="49"/>
      <c r="D899" s="48">
        <v>111.1</v>
      </c>
      <c r="E899" s="48">
        <v>111.1</v>
      </c>
    </row>
    <row r="900">
      <c r="A900" s="46" t="s">
        <v>17</v>
      </c>
      <c r="B900" s="46" t="s">
        <v>15</v>
      </c>
      <c r="C900" s="48">
        <v>121.8</v>
      </c>
      <c r="D900" s="49"/>
      <c r="E900" s="48">
        <v>121.8</v>
      </c>
    </row>
    <row r="901">
      <c r="A901" s="46" t="s">
        <v>17</v>
      </c>
      <c r="B901" s="46" t="s">
        <v>13</v>
      </c>
      <c r="C901" s="49"/>
      <c r="D901" s="48">
        <v>93.0</v>
      </c>
      <c r="E901" s="48">
        <v>93.0</v>
      </c>
    </row>
    <row r="902">
      <c r="A902" s="46" t="s">
        <v>17</v>
      </c>
      <c r="B902" s="46" t="s">
        <v>13</v>
      </c>
      <c r="C902" s="49"/>
      <c r="D902" s="48">
        <v>97.5</v>
      </c>
      <c r="E902" s="48">
        <v>97.5</v>
      </c>
    </row>
    <row r="903">
      <c r="A903" s="46" t="s">
        <v>17</v>
      </c>
      <c r="B903" s="46" t="s">
        <v>14</v>
      </c>
      <c r="C903" s="48">
        <v>118.7</v>
      </c>
      <c r="D903" s="48">
        <v>91.1</v>
      </c>
      <c r="E903" s="48">
        <v>102.3</v>
      </c>
    </row>
    <row r="904">
      <c r="A904" s="46" t="s">
        <v>17</v>
      </c>
      <c r="B904" s="46" t="s">
        <v>14</v>
      </c>
      <c r="C904" s="48">
        <v>106.1</v>
      </c>
      <c r="D904" s="48">
        <v>97.9</v>
      </c>
      <c r="E904" s="48">
        <v>98.4</v>
      </c>
    </row>
    <row r="905">
      <c r="A905" s="46" t="s">
        <v>17</v>
      </c>
      <c r="B905" s="46" t="s">
        <v>15</v>
      </c>
      <c r="C905" s="48">
        <v>110.7</v>
      </c>
      <c r="D905" s="49"/>
      <c r="E905" s="48">
        <v>110.7</v>
      </c>
    </row>
    <row r="906">
      <c r="A906" s="46" t="s">
        <v>17</v>
      </c>
      <c r="B906" s="46" t="s">
        <v>15</v>
      </c>
      <c r="C906" s="48">
        <v>105.3</v>
      </c>
      <c r="D906" s="49"/>
      <c r="E906" s="48">
        <v>105.3</v>
      </c>
    </row>
    <row r="907">
      <c r="A907" s="46" t="s">
        <v>17</v>
      </c>
      <c r="B907" s="46" t="s">
        <v>15</v>
      </c>
      <c r="C907" s="48">
        <v>133.0</v>
      </c>
      <c r="D907" s="49"/>
      <c r="E907" s="48">
        <v>133.0</v>
      </c>
    </row>
    <row r="908">
      <c r="A908" s="46" t="s">
        <v>17</v>
      </c>
      <c r="B908" s="46" t="s">
        <v>13</v>
      </c>
      <c r="C908" s="49"/>
      <c r="D908" s="48">
        <v>86.3</v>
      </c>
      <c r="E908" s="48">
        <v>86.3</v>
      </c>
    </row>
    <row r="909">
      <c r="A909" s="46" t="s">
        <v>17</v>
      </c>
      <c r="B909" s="46" t="s">
        <v>15</v>
      </c>
      <c r="C909" s="48">
        <v>104.8</v>
      </c>
      <c r="D909" s="49"/>
      <c r="E909" s="48">
        <v>104.8</v>
      </c>
    </row>
    <row r="910">
      <c r="A910" s="46" t="s">
        <v>17</v>
      </c>
      <c r="B910" s="46" t="s">
        <v>15</v>
      </c>
      <c r="C910" s="48">
        <v>125.5</v>
      </c>
      <c r="D910" s="49"/>
      <c r="E910" s="48">
        <v>125.5</v>
      </c>
    </row>
    <row r="911">
      <c r="A911" s="46" t="s">
        <v>17</v>
      </c>
      <c r="B911" s="46" t="s">
        <v>15</v>
      </c>
      <c r="C911" s="48">
        <v>114.8</v>
      </c>
      <c r="D911" s="49"/>
      <c r="E911" s="48">
        <v>114.8</v>
      </c>
    </row>
    <row r="912">
      <c r="A912" s="46" t="s">
        <v>17</v>
      </c>
      <c r="B912" s="46" t="s">
        <v>14</v>
      </c>
      <c r="C912" s="48">
        <v>113.8</v>
      </c>
      <c r="D912" s="48">
        <v>86.7</v>
      </c>
      <c r="E912" s="48">
        <v>101.2</v>
      </c>
    </row>
    <row r="913">
      <c r="A913" s="46" t="s">
        <v>17</v>
      </c>
      <c r="B913" s="46" t="s">
        <v>13</v>
      </c>
      <c r="C913" s="49"/>
      <c r="D913" s="48">
        <v>97.2</v>
      </c>
      <c r="E913" s="48">
        <v>97.2</v>
      </c>
    </row>
    <row r="914">
      <c r="A914" s="46" t="s">
        <v>17</v>
      </c>
      <c r="B914" s="46" t="s">
        <v>13</v>
      </c>
      <c r="C914" s="49"/>
      <c r="D914" s="48">
        <v>92.2</v>
      </c>
      <c r="E914" s="48">
        <v>92.2</v>
      </c>
    </row>
    <row r="915">
      <c r="A915" s="46" t="s">
        <v>17</v>
      </c>
      <c r="B915" s="46" t="s">
        <v>14</v>
      </c>
      <c r="C915" s="48">
        <v>115.9</v>
      </c>
      <c r="D915" s="48">
        <v>103.9</v>
      </c>
      <c r="E915" s="48">
        <v>113.2</v>
      </c>
    </row>
    <row r="916">
      <c r="A916" s="46" t="s">
        <v>17</v>
      </c>
      <c r="B916" s="46" t="s">
        <v>15</v>
      </c>
      <c r="C916" s="48">
        <v>153.0</v>
      </c>
      <c r="D916" s="49"/>
      <c r="E916" s="48">
        <v>153.0</v>
      </c>
    </row>
    <row r="917">
      <c r="A917" s="46" t="s">
        <v>17</v>
      </c>
      <c r="B917" s="46" t="s">
        <v>15</v>
      </c>
      <c r="C917" s="48">
        <v>145.2</v>
      </c>
      <c r="D917" s="49"/>
      <c r="E917" s="48">
        <v>145.2</v>
      </c>
    </row>
    <row r="918">
      <c r="A918" s="46" t="s">
        <v>17</v>
      </c>
      <c r="B918" s="46" t="s">
        <v>15</v>
      </c>
      <c r="C918" s="48">
        <v>151.9</v>
      </c>
      <c r="D918" s="49"/>
      <c r="E918" s="48">
        <v>151.9</v>
      </c>
    </row>
    <row r="919">
      <c r="A919" s="46" t="s">
        <v>17</v>
      </c>
      <c r="B919" s="46" t="s">
        <v>15</v>
      </c>
      <c r="C919" s="48">
        <v>139.8</v>
      </c>
      <c r="D919" s="49"/>
      <c r="E919" s="48">
        <v>139.8</v>
      </c>
    </row>
    <row r="920">
      <c r="A920" s="46" t="s">
        <v>17</v>
      </c>
      <c r="B920" s="46" t="s">
        <v>14</v>
      </c>
      <c r="C920" s="48">
        <v>122.5</v>
      </c>
      <c r="D920" s="48">
        <v>106.6</v>
      </c>
      <c r="E920" s="48">
        <v>118.3</v>
      </c>
    </row>
    <row r="921">
      <c r="A921" s="46" t="s">
        <v>17</v>
      </c>
      <c r="B921" s="46" t="s">
        <v>15</v>
      </c>
      <c r="C921" s="48">
        <v>148.6</v>
      </c>
      <c r="D921" s="49"/>
      <c r="E921" s="48">
        <v>148.6</v>
      </c>
    </row>
    <row r="922">
      <c r="A922" s="46" t="s">
        <v>17</v>
      </c>
      <c r="B922" s="46" t="s">
        <v>15</v>
      </c>
      <c r="C922" s="48">
        <v>139.0</v>
      </c>
      <c r="D922" s="49"/>
      <c r="E922" s="48">
        <v>139.0</v>
      </c>
    </row>
    <row r="923">
      <c r="A923" s="46" t="s">
        <v>17</v>
      </c>
      <c r="B923" s="46" t="s">
        <v>15</v>
      </c>
      <c r="C923" s="48">
        <v>113.4</v>
      </c>
      <c r="D923" s="49"/>
      <c r="E923" s="48">
        <v>113.4</v>
      </c>
    </row>
    <row r="924">
      <c r="A924" s="46" t="s">
        <v>17</v>
      </c>
      <c r="B924" s="46" t="s">
        <v>15</v>
      </c>
      <c r="C924" s="48">
        <v>128.4</v>
      </c>
      <c r="D924" s="49"/>
      <c r="E924" s="48">
        <v>128.4</v>
      </c>
    </row>
    <row r="925">
      <c r="A925" s="46" t="s">
        <v>17</v>
      </c>
      <c r="B925" s="46" t="s">
        <v>14</v>
      </c>
      <c r="C925" s="48">
        <v>97.1</v>
      </c>
      <c r="D925" s="48">
        <v>92.8</v>
      </c>
      <c r="E925" s="48">
        <v>93.5</v>
      </c>
    </row>
    <row r="926">
      <c r="A926" s="46" t="s">
        <v>17</v>
      </c>
      <c r="B926" s="46" t="s">
        <v>15</v>
      </c>
      <c r="C926" s="48">
        <v>129.4</v>
      </c>
      <c r="D926" s="49"/>
      <c r="E926" s="48">
        <v>129.4</v>
      </c>
    </row>
    <row r="927">
      <c r="A927" s="46" t="s">
        <v>17</v>
      </c>
      <c r="B927" s="46" t="s">
        <v>15</v>
      </c>
      <c r="C927" s="48">
        <v>139.0</v>
      </c>
      <c r="D927" s="49"/>
      <c r="E927" s="48">
        <v>139.0</v>
      </c>
    </row>
    <row r="928">
      <c r="A928" s="46" t="s">
        <v>17</v>
      </c>
      <c r="B928" s="46" t="s">
        <v>15</v>
      </c>
      <c r="C928" s="48">
        <v>131.2</v>
      </c>
      <c r="D928" s="49"/>
      <c r="E928" s="48">
        <v>131.2</v>
      </c>
    </row>
    <row r="929">
      <c r="A929" s="46" t="s">
        <v>17</v>
      </c>
      <c r="B929" s="46" t="s">
        <v>14</v>
      </c>
      <c r="C929" s="48">
        <v>129.2</v>
      </c>
      <c r="D929" s="48">
        <v>114.5</v>
      </c>
      <c r="E929" s="48">
        <v>127.1</v>
      </c>
    </row>
    <row r="930">
      <c r="A930" s="46" t="s">
        <v>17</v>
      </c>
      <c r="B930" s="46" t="s">
        <v>15</v>
      </c>
      <c r="C930" s="48">
        <v>122.1</v>
      </c>
      <c r="D930" s="49"/>
      <c r="E930" s="48">
        <v>122.1</v>
      </c>
    </row>
    <row r="931">
      <c r="A931" s="46" t="s">
        <v>17</v>
      </c>
      <c r="B931" s="46" t="s">
        <v>14</v>
      </c>
      <c r="C931" s="48">
        <v>135.9</v>
      </c>
      <c r="D931" s="48">
        <v>113.4</v>
      </c>
      <c r="E931" s="48">
        <v>129.4</v>
      </c>
    </row>
    <row r="932">
      <c r="A932" s="46" t="s">
        <v>17</v>
      </c>
      <c r="B932" s="46" t="s">
        <v>15</v>
      </c>
      <c r="C932" s="48">
        <v>128.1</v>
      </c>
      <c r="D932" s="49"/>
      <c r="E932" s="48">
        <v>128.1</v>
      </c>
    </row>
    <row r="933">
      <c r="A933" s="46" t="s">
        <v>17</v>
      </c>
      <c r="B933" s="46" t="s">
        <v>13</v>
      </c>
      <c r="C933" s="49"/>
      <c r="D933" s="48">
        <v>127.9</v>
      </c>
      <c r="E933" s="48">
        <v>127.9</v>
      </c>
    </row>
    <row r="934">
      <c r="A934" s="46" t="s">
        <v>17</v>
      </c>
      <c r="B934" s="46" t="s">
        <v>15</v>
      </c>
      <c r="C934" s="48">
        <v>145.7</v>
      </c>
      <c r="D934" s="49"/>
      <c r="E934" s="48">
        <v>145.7</v>
      </c>
    </row>
    <row r="935">
      <c r="A935" s="46" t="s">
        <v>17</v>
      </c>
      <c r="B935" s="46" t="s">
        <v>15</v>
      </c>
      <c r="C935" s="48">
        <v>148.9</v>
      </c>
      <c r="D935" s="49"/>
      <c r="E935" s="48">
        <v>148.9</v>
      </c>
    </row>
    <row r="936">
      <c r="A936" s="46" t="s">
        <v>17</v>
      </c>
      <c r="B936" s="46" t="s">
        <v>15</v>
      </c>
      <c r="C936" s="48">
        <v>140.2</v>
      </c>
      <c r="D936" s="49"/>
      <c r="E936" s="48">
        <v>140.2</v>
      </c>
    </row>
    <row r="937">
      <c r="A937" s="46" t="s">
        <v>17</v>
      </c>
      <c r="B937" s="46" t="s">
        <v>15</v>
      </c>
      <c r="C937" s="48">
        <v>126.3</v>
      </c>
      <c r="D937" s="49"/>
      <c r="E937" s="48">
        <v>126.3</v>
      </c>
    </row>
    <row r="938">
      <c r="A938" s="46" t="s">
        <v>17</v>
      </c>
      <c r="B938" s="46" t="s">
        <v>15</v>
      </c>
      <c r="C938" s="48">
        <v>118.4</v>
      </c>
      <c r="D938" s="49"/>
      <c r="E938" s="48">
        <v>118.4</v>
      </c>
    </row>
    <row r="939">
      <c r="A939" s="46" t="s">
        <v>17</v>
      </c>
      <c r="B939" s="46" t="s">
        <v>15</v>
      </c>
      <c r="C939" s="48">
        <v>109.0</v>
      </c>
      <c r="D939" s="49"/>
      <c r="E939" s="48">
        <v>109.0</v>
      </c>
    </row>
    <row r="940">
      <c r="A940" s="46" t="s">
        <v>17</v>
      </c>
      <c r="B940" s="46" t="s">
        <v>13</v>
      </c>
      <c r="C940" s="49"/>
      <c r="D940" s="48">
        <v>95.8</v>
      </c>
      <c r="E940" s="48">
        <v>95.8</v>
      </c>
    </row>
    <row r="941">
      <c r="A941" s="46" t="s">
        <v>17</v>
      </c>
      <c r="B941" s="46" t="s">
        <v>13</v>
      </c>
      <c r="C941" s="49"/>
      <c r="D941" s="48">
        <v>79.4</v>
      </c>
      <c r="E941" s="48">
        <v>79.4</v>
      </c>
    </row>
    <row r="942">
      <c r="A942" s="46" t="s">
        <v>17</v>
      </c>
      <c r="B942" s="46" t="s">
        <v>13</v>
      </c>
      <c r="C942" s="49"/>
      <c r="D942" s="48">
        <v>78.7</v>
      </c>
      <c r="E942" s="48">
        <v>78.7</v>
      </c>
    </row>
    <row r="943">
      <c r="A943" s="46" t="s">
        <v>17</v>
      </c>
      <c r="B943" s="46" t="s">
        <v>15</v>
      </c>
      <c r="C943" s="48">
        <v>106.6</v>
      </c>
      <c r="D943" s="49"/>
      <c r="E943" s="48">
        <v>106.6</v>
      </c>
    </row>
    <row r="944">
      <c r="A944" s="46" t="s">
        <v>17</v>
      </c>
      <c r="B944" s="46" t="s">
        <v>15</v>
      </c>
      <c r="C944" s="48">
        <v>104.3</v>
      </c>
      <c r="D944" s="49"/>
      <c r="E944" s="48">
        <v>104.3</v>
      </c>
    </row>
    <row r="945">
      <c r="A945" s="46" t="s">
        <v>17</v>
      </c>
      <c r="B945" s="46" t="s">
        <v>13</v>
      </c>
      <c r="C945" s="49"/>
      <c r="D945" s="48">
        <v>93.4</v>
      </c>
      <c r="E945" s="48">
        <v>93.4</v>
      </c>
    </row>
    <row r="946">
      <c r="A946" s="46" t="s">
        <v>17</v>
      </c>
      <c r="B946" s="46" t="s">
        <v>13</v>
      </c>
      <c r="C946" s="49"/>
      <c r="D946" s="48">
        <v>94.7</v>
      </c>
      <c r="E946" s="48">
        <v>94.7</v>
      </c>
    </row>
    <row r="947">
      <c r="A947" s="46" t="s">
        <v>17</v>
      </c>
      <c r="B947" s="46" t="s">
        <v>13</v>
      </c>
      <c r="C947" s="49"/>
      <c r="D947" s="48">
        <v>90.8</v>
      </c>
      <c r="E947" s="48">
        <v>90.8</v>
      </c>
    </row>
    <row r="948">
      <c r="A948" s="46" t="s">
        <v>17</v>
      </c>
      <c r="B948" s="46" t="s">
        <v>15</v>
      </c>
      <c r="C948" s="48">
        <v>122.6</v>
      </c>
      <c r="D948" s="49"/>
      <c r="E948" s="48">
        <v>122.6</v>
      </c>
    </row>
    <row r="949">
      <c r="A949" s="46" t="s">
        <v>17</v>
      </c>
      <c r="B949" s="46" t="s">
        <v>14</v>
      </c>
      <c r="C949" s="48">
        <v>124.2</v>
      </c>
      <c r="D949" s="48">
        <v>102.3</v>
      </c>
      <c r="E949" s="48">
        <v>117.3</v>
      </c>
    </row>
    <row r="950">
      <c r="A950" s="46" t="s">
        <v>17</v>
      </c>
      <c r="B950" s="46" t="s">
        <v>15</v>
      </c>
      <c r="C950" s="48">
        <v>123.0</v>
      </c>
      <c r="D950" s="49"/>
      <c r="E950" s="48">
        <v>123.0</v>
      </c>
    </row>
    <row r="951">
      <c r="A951" s="46" t="s">
        <v>17</v>
      </c>
      <c r="B951" s="46" t="s">
        <v>15</v>
      </c>
      <c r="C951" s="48">
        <v>101.8</v>
      </c>
      <c r="D951" s="49"/>
      <c r="E951" s="48">
        <v>101.8</v>
      </c>
    </row>
    <row r="952">
      <c r="A952" s="46" t="s">
        <v>17</v>
      </c>
      <c r="B952" s="46" t="s">
        <v>15</v>
      </c>
      <c r="C952" s="48">
        <v>119.9</v>
      </c>
      <c r="D952" s="49"/>
      <c r="E952" s="48">
        <v>119.9</v>
      </c>
    </row>
    <row r="953">
      <c r="A953" s="46" t="s">
        <v>17</v>
      </c>
      <c r="B953" s="46" t="s">
        <v>15</v>
      </c>
      <c r="C953" s="48">
        <v>124.8</v>
      </c>
      <c r="D953" s="49"/>
      <c r="E953" s="48">
        <v>124.8</v>
      </c>
    </row>
    <row r="954">
      <c r="A954" s="46" t="s">
        <v>17</v>
      </c>
      <c r="B954" s="46" t="s">
        <v>15</v>
      </c>
      <c r="C954" s="48">
        <v>129.6</v>
      </c>
      <c r="D954" s="49"/>
      <c r="E954" s="48">
        <v>129.6</v>
      </c>
    </row>
    <row r="955">
      <c r="A955" s="46" t="s">
        <v>17</v>
      </c>
      <c r="B955" s="46" t="s">
        <v>15</v>
      </c>
      <c r="C955" s="48">
        <v>134.3</v>
      </c>
      <c r="D955" s="49"/>
      <c r="E955" s="48">
        <v>134.3</v>
      </c>
    </row>
    <row r="956">
      <c r="A956" s="46" t="s">
        <v>17</v>
      </c>
      <c r="B956" s="46" t="s">
        <v>13</v>
      </c>
      <c r="C956" s="49"/>
      <c r="D956" s="48">
        <v>99.5</v>
      </c>
      <c r="E956" s="48">
        <v>99.5</v>
      </c>
    </row>
    <row r="957">
      <c r="A957" s="46" t="s">
        <v>17</v>
      </c>
      <c r="B957" s="46" t="s">
        <v>15</v>
      </c>
      <c r="C957" s="48">
        <v>111.9</v>
      </c>
      <c r="D957" s="49"/>
      <c r="E957" s="48">
        <v>111.9</v>
      </c>
    </row>
    <row r="958">
      <c r="A958" s="46" t="s">
        <v>17</v>
      </c>
      <c r="B958" s="46" t="s">
        <v>15</v>
      </c>
      <c r="C958" s="48">
        <v>133.8</v>
      </c>
      <c r="D958" s="49"/>
      <c r="E958" s="48">
        <v>133.8</v>
      </c>
    </row>
    <row r="959">
      <c r="A959" s="46" t="s">
        <v>17</v>
      </c>
      <c r="B959" s="46" t="s">
        <v>15</v>
      </c>
      <c r="C959" s="48">
        <v>151.5</v>
      </c>
      <c r="D959" s="49"/>
      <c r="E959" s="48">
        <v>151.5</v>
      </c>
    </row>
    <row r="960">
      <c r="A960" s="46" t="s">
        <v>17</v>
      </c>
      <c r="B960" s="46" t="s">
        <v>15</v>
      </c>
      <c r="C960" s="48">
        <v>143.5</v>
      </c>
      <c r="D960" s="49"/>
      <c r="E960" s="48">
        <v>143.5</v>
      </c>
    </row>
    <row r="961">
      <c r="A961" s="46" t="s">
        <v>17</v>
      </c>
      <c r="B961" s="46" t="s">
        <v>15</v>
      </c>
      <c r="C961" s="48">
        <v>149.4</v>
      </c>
      <c r="D961" s="49"/>
      <c r="E961" s="48">
        <v>149.4</v>
      </c>
    </row>
    <row r="962">
      <c r="A962" s="46" t="s">
        <v>17</v>
      </c>
      <c r="B962" s="46" t="s">
        <v>13</v>
      </c>
      <c r="C962" s="49"/>
      <c r="D962" s="48">
        <v>93.4</v>
      </c>
      <c r="E962" s="48">
        <v>93.4</v>
      </c>
    </row>
    <row r="963">
      <c r="A963" s="46" t="s">
        <v>17</v>
      </c>
      <c r="B963" s="46" t="s">
        <v>15</v>
      </c>
      <c r="C963" s="48">
        <v>125.3</v>
      </c>
      <c r="D963" s="49"/>
      <c r="E963" s="48">
        <v>125.3</v>
      </c>
    </row>
    <row r="964">
      <c r="A964" s="46" t="s">
        <v>17</v>
      </c>
      <c r="B964" s="46" t="s">
        <v>15</v>
      </c>
      <c r="C964" s="48">
        <v>127.0</v>
      </c>
      <c r="D964" s="49"/>
      <c r="E964" s="48">
        <v>127.0</v>
      </c>
    </row>
    <row r="965">
      <c r="A965" s="46" t="s">
        <v>17</v>
      </c>
      <c r="B965" s="46" t="s">
        <v>15</v>
      </c>
      <c r="C965" s="48">
        <v>128.4</v>
      </c>
      <c r="D965" s="49"/>
      <c r="E965" s="48">
        <v>128.4</v>
      </c>
    </row>
    <row r="966">
      <c r="A966" s="46" t="s">
        <v>17</v>
      </c>
      <c r="B966" s="46" t="s">
        <v>15</v>
      </c>
      <c r="C966" s="48">
        <v>123.0</v>
      </c>
      <c r="D966" s="49"/>
      <c r="E966" s="48">
        <v>123.0</v>
      </c>
    </row>
    <row r="967">
      <c r="A967" s="46" t="s">
        <v>17</v>
      </c>
      <c r="B967" s="46" t="s">
        <v>15</v>
      </c>
      <c r="C967" s="48">
        <v>125.8</v>
      </c>
      <c r="D967" s="49"/>
      <c r="E967" s="48">
        <v>125.8</v>
      </c>
    </row>
    <row r="968">
      <c r="A968" s="46" t="s">
        <v>17</v>
      </c>
      <c r="B968" s="46" t="s">
        <v>15</v>
      </c>
      <c r="C968" s="48">
        <v>135.2</v>
      </c>
      <c r="D968" s="49"/>
      <c r="E968" s="48">
        <v>135.2</v>
      </c>
    </row>
    <row r="969">
      <c r="A969" s="46" t="s">
        <v>17</v>
      </c>
      <c r="B969" s="46" t="s">
        <v>13</v>
      </c>
      <c r="C969" s="49"/>
      <c r="D969" s="48">
        <v>124.8</v>
      </c>
      <c r="E969" s="48">
        <v>124.8</v>
      </c>
    </row>
    <row r="970">
      <c r="A970" s="46" t="s">
        <v>17</v>
      </c>
      <c r="B970" s="46" t="s">
        <v>15</v>
      </c>
      <c r="C970" s="48">
        <v>139.9</v>
      </c>
      <c r="D970" s="49"/>
      <c r="E970" s="48">
        <v>139.9</v>
      </c>
    </row>
    <row r="971">
      <c r="A971" s="46" t="s">
        <v>17</v>
      </c>
      <c r="B971" s="46" t="s">
        <v>15</v>
      </c>
      <c r="C971" s="48">
        <v>128.7</v>
      </c>
      <c r="D971" s="49"/>
      <c r="E971" s="48">
        <v>128.7</v>
      </c>
    </row>
    <row r="972">
      <c r="A972" s="46" t="s">
        <v>17</v>
      </c>
      <c r="B972" s="46" t="s">
        <v>15</v>
      </c>
      <c r="C972" s="48">
        <v>110.1</v>
      </c>
      <c r="D972" s="49"/>
      <c r="E972" s="48">
        <v>110.1</v>
      </c>
    </row>
    <row r="973">
      <c r="A973" s="46" t="s">
        <v>17</v>
      </c>
      <c r="B973" s="46" t="s">
        <v>15</v>
      </c>
      <c r="C973" s="48">
        <v>128.3</v>
      </c>
      <c r="D973" s="49"/>
      <c r="E973" s="48">
        <v>128.3</v>
      </c>
    </row>
    <row r="974">
      <c r="A974" s="46" t="s">
        <v>17</v>
      </c>
      <c r="B974" s="46" t="s">
        <v>15</v>
      </c>
      <c r="C974" s="48">
        <v>131.1</v>
      </c>
      <c r="D974" s="49"/>
      <c r="E974" s="48">
        <v>131.1</v>
      </c>
    </row>
    <row r="975">
      <c r="A975" s="46" t="s">
        <v>17</v>
      </c>
      <c r="B975" s="46" t="s">
        <v>15</v>
      </c>
      <c r="C975" s="48">
        <v>127.2</v>
      </c>
      <c r="D975" s="49"/>
      <c r="E975" s="48">
        <v>127.2</v>
      </c>
    </row>
    <row r="976">
      <c r="A976" s="46" t="s">
        <v>17</v>
      </c>
      <c r="B976" s="46" t="s">
        <v>14</v>
      </c>
      <c r="C976" s="48">
        <v>132.6</v>
      </c>
      <c r="D976" s="48">
        <v>92.9</v>
      </c>
      <c r="E976" s="48">
        <v>119.1</v>
      </c>
    </row>
    <row r="977">
      <c r="A977" s="46" t="s">
        <v>17</v>
      </c>
      <c r="B977" s="46" t="s">
        <v>13</v>
      </c>
      <c r="C977" s="49"/>
      <c r="D977" s="48">
        <v>98.6</v>
      </c>
      <c r="E977" s="48">
        <v>98.6</v>
      </c>
    </row>
    <row r="978">
      <c r="A978" s="46" t="s">
        <v>17</v>
      </c>
      <c r="B978" s="46" t="s">
        <v>15</v>
      </c>
      <c r="C978" s="48">
        <v>118.3</v>
      </c>
      <c r="D978" s="49"/>
      <c r="E978" s="48">
        <v>118.3</v>
      </c>
    </row>
    <row r="979">
      <c r="A979" s="46" t="s">
        <v>17</v>
      </c>
      <c r="B979" s="46" t="s">
        <v>13</v>
      </c>
      <c r="C979" s="49"/>
      <c r="D979" s="48">
        <v>91.7</v>
      </c>
      <c r="E979" s="48">
        <v>91.7</v>
      </c>
    </row>
    <row r="980">
      <c r="A980" s="46" t="s">
        <v>17</v>
      </c>
      <c r="B980" s="46" t="s">
        <v>15</v>
      </c>
      <c r="C980" s="48">
        <v>99.0</v>
      </c>
      <c r="D980" s="49"/>
      <c r="E980" s="48">
        <v>99.0</v>
      </c>
    </row>
    <row r="981">
      <c r="A981" s="46" t="s">
        <v>17</v>
      </c>
      <c r="B981" s="46" t="s">
        <v>15</v>
      </c>
      <c r="C981" s="48">
        <v>113.3</v>
      </c>
      <c r="D981" s="49"/>
      <c r="E981" s="48">
        <v>113.3</v>
      </c>
    </row>
    <row r="982">
      <c r="A982" s="46" t="s">
        <v>17</v>
      </c>
      <c r="B982" s="46" t="s">
        <v>13</v>
      </c>
      <c r="C982" s="49"/>
      <c r="D982" s="48">
        <v>102.2</v>
      </c>
      <c r="E982" s="48">
        <v>102.2</v>
      </c>
    </row>
    <row r="983">
      <c r="A983" s="46" t="s">
        <v>17</v>
      </c>
      <c r="B983" s="46" t="s">
        <v>15</v>
      </c>
      <c r="C983" s="48">
        <v>141.8</v>
      </c>
      <c r="D983" s="49"/>
      <c r="E983" s="48">
        <v>141.8</v>
      </c>
    </row>
    <row r="984">
      <c r="A984" s="46" t="s">
        <v>17</v>
      </c>
      <c r="B984" s="46" t="s">
        <v>15</v>
      </c>
      <c r="C984" s="48">
        <v>92.3</v>
      </c>
      <c r="D984" s="49"/>
      <c r="E984" s="48">
        <v>92.3</v>
      </c>
    </row>
    <row r="985">
      <c r="A985" s="46" t="s">
        <v>17</v>
      </c>
      <c r="B985" s="46" t="s">
        <v>15</v>
      </c>
      <c r="C985" s="48">
        <v>102.9</v>
      </c>
      <c r="D985" s="49"/>
      <c r="E985" s="48">
        <v>102.9</v>
      </c>
    </row>
    <row r="986">
      <c r="A986" s="46" t="s">
        <v>17</v>
      </c>
      <c r="B986" s="46" t="s">
        <v>15</v>
      </c>
      <c r="C986" s="48">
        <v>111.5</v>
      </c>
      <c r="D986" s="49"/>
      <c r="E986" s="48">
        <v>111.5</v>
      </c>
    </row>
    <row r="987">
      <c r="A987" s="46" t="s">
        <v>17</v>
      </c>
      <c r="B987" s="46" t="s">
        <v>13</v>
      </c>
      <c r="C987" s="49"/>
      <c r="D987" s="48">
        <v>95.5</v>
      </c>
      <c r="E987" s="48">
        <v>95.5</v>
      </c>
    </row>
    <row r="988">
      <c r="A988" s="46" t="s">
        <v>17</v>
      </c>
      <c r="B988" s="46" t="s">
        <v>14</v>
      </c>
      <c r="C988" s="48">
        <v>106.3</v>
      </c>
      <c r="D988" s="48">
        <v>90.8</v>
      </c>
      <c r="E988" s="48">
        <v>95.0</v>
      </c>
    </row>
    <row r="989">
      <c r="A989" s="46" t="s">
        <v>17</v>
      </c>
      <c r="B989" s="46" t="s">
        <v>15</v>
      </c>
      <c r="C989" s="48">
        <v>104.0</v>
      </c>
      <c r="D989" s="49"/>
      <c r="E989" s="48">
        <v>104.0</v>
      </c>
    </row>
    <row r="990">
      <c r="A990" s="46" t="s">
        <v>17</v>
      </c>
      <c r="B990" s="46" t="s">
        <v>15</v>
      </c>
      <c r="C990" s="48">
        <v>148.2</v>
      </c>
      <c r="D990" s="49"/>
      <c r="E990" s="48">
        <v>148.2</v>
      </c>
    </row>
    <row r="991">
      <c r="A991" s="46" t="s">
        <v>17</v>
      </c>
      <c r="B991" s="46" t="s">
        <v>15</v>
      </c>
      <c r="C991" s="48">
        <v>88.2</v>
      </c>
      <c r="D991" s="49"/>
      <c r="E991" s="48">
        <v>88.2</v>
      </c>
    </row>
    <row r="992">
      <c r="A992" s="46" t="s">
        <v>17</v>
      </c>
      <c r="B992" s="46" t="s">
        <v>15</v>
      </c>
      <c r="C992" s="48">
        <v>131.0</v>
      </c>
      <c r="D992" s="49"/>
      <c r="E992" s="48">
        <v>131.0</v>
      </c>
    </row>
    <row r="993">
      <c r="A993" s="46" t="s">
        <v>17</v>
      </c>
      <c r="B993" s="46" t="s">
        <v>14</v>
      </c>
      <c r="C993" s="48">
        <v>129.5</v>
      </c>
      <c r="D993" s="48">
        <v>107.1</v>
      </c>
      <c r="E993" s="48">
        <v>116.3</v>
      </c>
    </row>
    <row r="994">
      <c r="A994" s="46" t="s">
        <v>17</v>
      </c>
      <c r="B994" s="46" t="s">
        <v>13</v>
      </c>
      <c r="C994" s="49"/>
      <c r="D994" s="48">
        <v>71.2</v>
      </c>
      <c r="E994" s="48">
        <v>71.2</v>
      </c>
    </row>
    <row r="995">
      <c r="A995" s="46" t="s">
        <v>17</v>
      </c>
      <c r="B995" s="46" t="s">
        <v>13</v>
      </c>
      <c r="C995" s="49"/>
      <c r="D995" s="48">
        <v>91.0</v>
      </c>
      <c r="E995" s="48">
        <v>91.0</v>
      </c>
    </row>
    <row r="996">
      <c r="A996" s="46" t="s">
        <v>17</v>
      </c>
      <c r="B996" s="46" t="s">
        <v>15</v>
      </c>
      <c r="C996" s="48">
        <v>110.1</v>
      </c>
      <c r="D996" s="49"/>
      <c r="E996" s="48">
        <v>110.1</v>
      </c>
    </row>
    <row r="997">
      <c r="A997" s="46" t="s">
        <v>17</v>
      </c>
      <c r="B997" s="46" t="s">
        <v>13</v>
      </c>
      <c r="C997" s="49"/>
      <c r="D997" s="48">
        <v>73.8</v>
      </c>
      <c r="E997" s="48">
        <v>73.8</v>
      </c>
    </row>
    <row r="998">
      <c r="A998" s="46" t="s">
        <v>17</v>
      </c>
      <c r="B998" s="46" t="s">
        <v>13</v>
      </c>
      <c r="C998" s="49"/>
      <c r="D998" s="48">
        <v>85.2</v>
      </c>
      <c r="E998" s="48">
        <v>85.2</v>
      </c>
    </row>
    <row r="999">
      <c r="A999" s="46" t="s">
        <v>17</v>
      </c>
      <c r="B999" s="46" t="s">
        <v>15</v>
      </c>
      <c r="C999" s="48">
        <v>129.4</v>
      </c>
      <c r="D999" s="49"/>
      <c r="E999" s="48">
        <v>129.4</v>
      </c>
    </row>
    <row r="1000">
      <c r="A1000" s="46" t="s">
        <v>17</v>
      </c>
      <c r="B1000" s="46" t="s">
        <v>14</v>
      </c>
      <c r="C1000" s="48">
        <v>118.2</v>
      </c>
      <c r="D1000" s="48">
        <v>106.3</v>
      </c>
      <c r="E1000" s="48">
        <v>110.2</v>
      </c>
    </row>
    <row r="1001">
      <c r="A1001" s="46" t="s">
        <v>17</v>
      </c>
      <c r="B1001" s="46" t="s">
        <v>15</v>
      </c>
      <c r="C1001" s="48">
        <v>124.3</v>
      </c>
      <c r="D1001" s="49"/>
      <c r="E1001" s="48">
        <v>124.3</v>
      </c>
    </row>
    <row r="1002">
      <c r="A1002" s="46" t="s">
        <v>17</v>
      </c>
      <c r="B1002" s="46" t="s">
        <v>15</v>
      </c>
      <c r="C1002" s="48">
        <v>119.6</v>
      </c>
      <c r="D1002" s="49"/>
      <c r="E1002" s="48">
        <v>119.6</v>
      </c>
    </row>
    <row r="1003">
      <c r="A1003" s="46" t="s">
        <v>17</v>
      </c>
      <c r="B1003" s="46" t="s">
        <v>15</v>
      </c>
      <c r="C1003" s="48">
        <v>113.3</v>
      </c>
      <c r="D1003" s="49"/>
      <c r="E1003" s="48">
        <v>113.3</v>
      </c>
    </row>
    <row r="1004">
      <c r="A1004" s="46" t="s">
        <v>17</v>
      </c>
      <c r="B1004" s="46" t="s">
        <v>13</v>
      </c>
      <c r="C1004" s="49"/>
      <c r="D1004" s="48">
        <v>78.3</v>
      </c>
      <c r="E1004" s="48">
        <v>78.3</v>
      </c>
    </row>
    <row r="1005">
      <c r="A1005" s="46" t="s">
        <v>17</v>
      </c>
      <c r="B1005" s="46" t="s">
        <v>13</v>
      </c>
      <c r="C1005" s="49"/>
      <c r="D1005" s="48">
        <v>101.0</v>
      </c>
      <c r="E1005" s="48">
        <v>101.0</v>
      </c>
    </row>
    <row r="1006">
      <c r="A1006" s="46" t="s">
        <v>17</v>
      </c>
      <c r="B1006" s="46" t="s">
        <v>13</v>
      </c>
      <c r="C1006" s="49"/>
      <c r="D1006" s="48">
        <v>69.7</v>
      </c>
      <c r="E1006" s="48">
        <v>69.7</v>
      </c>
    </row>
    <row r="1007">
      <c r="A1007" s="46" t="s">
        <v>17</v>
      </c>
      <c r="B1007" s="46" t="s">
        <v>15</v>
      </c>
      <c r="C1007" s="48">
        <v>104.4</v>
      </c>
      <c r="D1007" s="49"/>
      <c r="E1007" s="48">
        <v>104.4</v>
      </c>
    </row>
    <row r="1008">
      <c r="A1008" s="46" t="s">
        <v>17</v>
      </c>
      <c r="B1008" s="46" t="s">
        <v>13</v>
      </c>
      <c r="C1008" s="49"/>
      <c r="D1008" s="48">
        <v>103.7</v>
      </c>
      <c r="E1008" s="48">
        <v>103.7</v>
      </c>
    </row>
    <row r="1009">
      <c r="A1009" s="46" t="s">
        <v>17</v>
      </c>
      <c r="B1009" s="46" t="s">
        <v>13</v>
      </c>
      <c r="C1009" s="49"/>
      <c r="D1009" s="48">
        <v>98.1</v>
      </c>
      <c r="E1009" s="48">
        <v>98.1</v>
      </c>
    </row>
    <row r="1010">
      <c r="A1010" s="46" t="s">
        <v>17</v>
      </c>
      <c r="B1010" s="46" t="s">
        <v>14</v>
      </c>
      <c r="C1010" s="48">
        <v>107.2</v>
      </c>
      <c r="D1010" s="48">
        <v>104.0</v>
      </c>
      <c r="E1010" s="48">
        <v>105.3</v>
      </c>
    </row>
    <row r="1011">
      <c r="A1011" s="46" t="s">
        <v>17</v>
      </c>
      <c r="B1011" s="46" t="s">
        <v>14</v>
      </c>
      <c r="C1011" s="48">
        <v>107.7</v>
      </c>
      <c r="D1011" s="48">
        <v>96.4</v>
      </c>
      <c r="E1011" s="48">
        <v>103.5</v>
      </c>
    </row>
    <row r="1012">
      <c r="A1012" s="46" t="s">
        <v>17</v>
      </c>
      <c r="B1012" s="46" t="s">
        <v>14</v>
      </c>
      <c r="C1012" s="48">
        <v>108.3</v>
      </c>
      <c r="D1012" s="48">
        <v>94.1</v>
      </c>
      <c r="E1012" s="48">
        <v>101.4</v>
      </c>
    </row>
    <row r="1013">
      <c r="A1013" s="46" t="s">
        <v>17</v>
      </c>
      <c r="B1013" s="46" t="s">
        <v>13</v>
      </c>
      <c r="C1013" s="49"/>
      <c r="D1013" s="48">
        <v>98.4</v>
      </c>
      <c r="E1013" s="48">
        <v>98.4</v>
      </c>
    </row>
    <row r="1014">
      <c r="A1014" s="46" t="s">
        <v>17</v>
      </c>
      <c r="B1014" s="46" t="s">
        <v>13</v>
      </c>
      <c r="C1014" s="49"/>
      <c r="D1014" s="48">
        <v>104.0</v>
      </c>
      <c r="E1014" s="48">
        <v>104.0</v>
      </c>
    </row>
    <row r="1015">
      <c r="A1015" s="46" t="s">
        <v>17</v>
      </c>
      <c r="B1015" s="46" t="s">
        <v>13</v>
      </c>
      <c r="C1015" s="49"/>
      <c r="D1015" s="48">
        <v>84.7</v>
      </c>
      <c r="E1015" s="48">
        <v>84.7</v>
      </c>
    </row>
    <row r="1016">
      <c r="A1016" s="46" t="s">
        <v>17</v>
      </c>
      <c r="B1016" s="46" t="s">
        <v>13</v>
      </c>
      <c r="C1016" s="49"/>
      <c r="D1016" s="48">
        <v>98.6</v>
      </c>
      <c r="E1016" s="48">
        <v>98.6</v>
      </c>
    </row>
    <row r="1017">
      <c r="A1017" s="46" t="s">
        <v>17</v>
      </c>
      <c r="B1017" s="46" t="s">
        <v>13</v>
      </c>
      <c r="C1017" s="49"/>
      <c r="D1017" s="48">
        <v>92.1</v>
      </c>
      <c r="E1017" s="48">
        <v>92.1</v>
      </c>
    </row>
    <row r="1018">
      <c r="A1018" s="46" t="s">
        <v>17</v>
      </c>
      <c r="B1018" s="46" t="s">
        <v>15</v>
      </c>
      <c r="C1018" s="48">
        <v>110.4</v>
      </c>
      <c r="D1018" s="49"/>
      <c r="E1018" s="48">
        <v>110.4</v>
      </c>
    </row>
    <row r="1019">
      <c r="A1019" s="46" t="s">
        <v>17</v>
      </c>
      <c r="B1019" s="46" t="s">
        <v>15</v>
      </c>
      <c r="C1019" s="48">
        <v>120.7</v>
      </c>
      <c r="D1019" s="49"/>
      <c r="E1019" s="48">
        <v>120.7</v>
      </c>
    </row>
    <row r="1020">
      <c r="A1020" s="46" t="s">
        <v>17</v>
      </c>
      <c r="B1020" s="46" t="s">
        <v>14</v>
      </c>
      <c r="C1020" s="48">
        <v>113.2</v>
      </c>
      <c r="D1020" s="48">
        <v>96.2</v>
      </c>
      <c r="E1020" s="48">
        <v>103.6</v>
      </c>
    </row>
    <row r="1021">
      <c r="A1021" s="46" t="s">
        <v>17</v>
      </c>
      <c r="B1021" s="46" t="s">
        <v>15</v>
      </c>
      <c r="C1021" s="48">
        <v>113.8</v>
      </c>
      <c r="D1021" s="49"/>
      <c r="E1021" s="48">
        <v>113.8</v>
      </c>
    </row>
    <row r="1022">
      <c r="A1022" s="46" t="s">
        <v>17</v>
      </c>
      <c r="B1022" s="46" t="s">
        <v>15</v>
      </c>
      <c r="C1022" s="48">
        <v>116.0</v>
      </c>
      <c r="D1022" s="49"/>
      <c r="E1022" s="48">
        <v>116.0</v>
      </c>
    </row>
    <row r="1023">
      <c r="A1023" s="46" t="s">
        <v>17</v>
      </c>
      <c r="B1023" s="46" t="s">
        <v>15</v>
      </c>
      <c r="C1023" s="48">
        <v>115.9</v>
      </c>
      <c r="D1023" s="49"/>
      <c r="E1023" s="48">
        <v>115.9</v>
      </c>
    </row>
    <row r="1024">
      <c r="A1024" s="46" t="s">
        <v>17</v>
      </c>
      <c r="B1024" s="46" t="s">
        <v>13</v>
      </c>
      <c r="C1024" s="49"/>
      <c r="D1024" s="48">
        <v>67.2</v>
      </c>
      <c r="E1024" s="48">
        <v>67.2</v>
      </c>
    </row>
    <row r="1025">
      <c r="A1025" s="46" t="s">
        <v>17</v>
      </c>
      <c r="B1025" s="46" t="s">
        <v>14</v>
      </c>
      <c r="C1025" s="48">
        <v>114.5</v>
      </c>
      <c r="D1025" s="48">
        <v>98.2</v>
      </c>
      <c r="E1025" s="48">
        <v>106.9</v>
      </c>
    </row>
    <row r="1026">
      <c r="A1026" s="46" t="s">
        <v>17</v>
      </c>
      <c r="B1026" s="46" t="s">
        <v>13</v>
      </c>
      <c r="C1026" s="49"/>
      <c r="D1026" s="48">
        <v>99.5</v>
      </c>
      <c r="E1026" s="48">
        <v>99.5</v>
      </c>
    </row>
    <row r="1027">
      <c r="A1027" s="46" t="s">
        <v>17</v>
      </c>
      <c r="B1027" s="46" t="s">
        <v>15</v>
      </c>
      <c r="C1027" s="48">
        <v>145.2</v>
      </c>
      <c r="D1027" s="49"/>
      <c r="E1027" s="48">
        <v>145.2</v>
      </c>
    </row>
    <row r="1028">
      <c r="A1028" s="46" t="s">
        <v>17</v>
      </c>
      <c r="B1028" s="46" t="s">
        <v>13</v>
      </c>
      <c r="C1028" s="49"/>
      <c r="D1028" s="48">
        <v>105.6</v>
      </c>
      <c r="E1028" s="48">
        <v>105.6</v>
      </c>
    </row>
    <row r="1029">
      <c r="A1029" s="46" t="s">
        <v>17</v>
      </c>
      <c r="B1029" s="46" t="s">
        <v>13</v>
      </c>
      <c r="C1029" s="49"/>
      <c r="D1029" s="48">
        <v>105.0</v>
      </c>
      <c r="E1029" s="48">
        <v>105.0</v>
      </c>
    </row>
    <row r="1030">
      <c r="A1030" s="46" t="s">
        <v>17</v>
      </c>
      <c r="B1030" s="46" t="s">
        <v>15</v>
      </c>
      <c r="C1030" s="48">
        <v>117.7</v>
      </c>
      <c r="D1030" s="49"/>
      <c r="E1030" s="48">
        <v>117.7</v>
      </c>
    </row>
    <row r="1031">
      <c r="A1031" s="46" t="s">
        <v>17</v>
      </c>
      <c r="B1031" s="46" t="s">
        <v>15</v>
      </c>
      <c r="C1031" s="48">
        <v>127.4</v>
      </c>
      <c r="D1031" s="49"/>
      <c r="E1031" s="48">
        <v>127.4</v>
      </c>
    </row>
    <row r="1032">
      <c r="A1032" s="46" t="s">
        <v>17</v>
      </c>
      <c r="B1032" s="46" t="s">
        <v>15</v>
      </c>
      <c r="C1032" s="48">
        <v>123.8</v>
      </c>
      <c r="D1032" s="49"/>
      <c r="E1032" s="48">
        <v>123.8</v>
      </c>
    </row>
    <row r="1033">
      <c r="A1033" s="46" t="s">
        <v>17</v>
      </c>
      <c r="B1033" s="46" t="s">
        <v>15</v>
      </c>
      <c r="C1033" s="48">
        <v>131.1</v>
      </c>
      <c r="D1033" s="49"/>
      <c r="E1033" s="48">
        <v>131.1</v>
      </c>
    </row>
    <row r="1034">
      <c r="A1034" s="46" t="s">
        <v>17</v>
      </c>
      <c r="B1034" s="46" t="s">
        <v>15</v>
      </c>
      <c r="C1034" s="48">
        <v>117.7</v>
      </c>
      <c r="D1034" s="49"/>
      <c r="E1034" s="48">
        <v>117.7</v>
      </c>
    </row>
    <row r="1035">
      <c r="A1035" s="46" t="s">
        <v>17</v>
      </c>
      <c r="B1035" s="46" t="s">
        <v>13</v>
      </c>
      <c r="C1035" s="49"/>
      <c r="D1035" s="48">
        <v>112.0</v>
      </c>
      <c r="E1035" s="48">
        <v>112.0</v>
      </c>
    </row>
    <row r="1036">
      <c r="A1036" s="46" t="s">
        <v>17</v>
      </c>
      <c r="B1036" s="46" t="s">
        <v>13</v>
      </c>
      <c r="C1036" s="49"/>
      <c r="D1036" s="48">
        <v>78.7</v>
      </c>
      <c r="E1036" s="48">
        <v>78.7</v>
      </c>
    </row>
    <row r="1037">
      <c r="A1037" s="46" t="s">
        <v>17</v>
      </c>
      <c r="B1037" s="46" t="s">
        <v>13</v>
      </c>
      <c r="C1037" s="49"/>
      <c r="D1037" s="48">
        <v>109.9</v>
      </c>
      <c r="E1037" s="48">
        <v>109.9</v>
      </c>
    </row>
    <row r="1038">
      <c r="A1038" s="46" t="s">
        <v>17</v>
      </c>
      <c r="B1038" s="46" t="s">
        <v>14</v>
      </c>
      <c r="C1038" s="48">
        <v>101.4</v>
      </c>
      <c r="D1038" s="48">
        <v>93.3</v>
      </c>
      <c r="E1038" s="48">
        <v>95.5</v>
      </c>
    </row>
    <row r="1039">
      <c r="A1039" s="46" t="s">
        <v>17</v>
      </c>
      <c r="B1039" s="46" t="s">
        <v>14</v>
      </c>
      <c r="C1039" s="48">
        <v>115.5</v>
      </c>
      <c r="D1039" s="48">
        <v>108.4</v>
      </c>
      <c r="E1039" s="48">
        <v>114.1</v>
      </c>
    </row>
    <row r="1040">
      <c r="A1040" s="46" t="s">
        <v>17</v>
      </c>
      <c r="B1040" s="46" t="s">
        <v>15</v>
      </c>
      <c r="C1040" s="48">
        <v>126.8</v>
      </c>
      <c r="D1040" s="49"/>
      <c r="E1040" s="48">
        <v>126.8</v>
      </c>
    </row>
    <row r="1041">
      <c r="A1041" s="46" t="s">
        <v>17</v>
      </c>
      <c r="B1041" s="46" t="s">
        <v>15</v>
      </c>
      <c r="C1041" s="48">
        <v>114.5</v>
      </c>
      <c r="D1041" s="49"/>
      <c r="E1041" s="48">
        <v>114.5</v>
      </c>
    </row>
    <row r="1042">
      <c r="A1042" s="46" t="s">
        <v>17</v>
      </c>
      <c r="B1042" s="46" t="s">
        <v>14</v>
      </c>
      <c r="C1042" s="48">
        <v>124.3</v>
      </c>
      <c r="D1042" s="48">
        <v>109.6</v>
      </c>
      <c r="E1042" s="48">
        <v>117.4</v>
      </c>
    </row>
    <row r="1043">
      <c r="A1043" s="46" t="s">
        <v>17</v>
      </c>
      <c r="B1043" s="46" t="s">
        <v>14</v>
      </c>
      <c r="C1043" s="48">
        <v>111.3</v>
      </c>
      <c r="D1043" s="48">
        <v>93.2</v>
      </c>
      <c r="E1043" s="48">
        <v>105.1</v>
      </c>
    </row>
    <row r="1044">
      <c r="A1044" s="46" t="s">
        <v>17</v>
      </c>
      <c r="B1044" s="46" t="s">
        <v>13</v>
      </c>
      <c r="C1044" s="49"/>
      <c r="D1044" s="48">
        <v>100.8</v>
      </c>
      <c r="E1044" s="48">
        <v>100.8</v>
      </c>
    </row>
    <row r="1045">
      <c r="A1045" s="46" t="s">
        <v>17</v>
      </c>
      <c r="B1045" s="46" t="s">
        <v>15</v>
      </c>
      <c r="C1045" s="48">
        <v>129.1</v>
      </c>
      <c r="D1045" s="49"/>
      <c r="E1045" s="48">
        <v>129.1</v>
      </c>
    </row>
    <row r="1046">
      <c r="A1046" s="46" t="s">
        <v>17</v>
      </c>
      <c r="B1046" s="46" t="s">
        <v>15</v>
      </c>
      <c r="C1046" s="48">
        <v>123.8</v>
      </c>
      <c r="D1046" s="49"/>
      <c r="E1046" s="48">
        <v>123.8</v>
      </c>
    </row>
    <row r="1047">
      <c r="A1047" s="46" t="s">
        <v>17</v>
      </c>
      <c r="B1047" s="46" t="s">
        <v>13</v>
      </c>
      <c r="C1047" s="49"/>
      <c r="D1047" s="48">
        <v>107.1</v>
      </c>
      <c r="E1047" s="48">
        <v>107.1</v>
      </c>
    </row>
    <row r="1048">
      <c r="A1048" s="46" t="s">
        <v>17</v>
      </c>
      <c r="B1048" s="46" t="s">
        <v>15</v>
      </c>
      <c r="C1048" s="48">
        <v>129.9</v>
      </c>
      <c r="D1048" s="49"/>
      <c r="E1048" s="48">
        <v>129.9</v>
      </c>
    </row>
    <row r="1049">
      <c r="A1049" s="46" t="s">
        <v>17</v>
      </c>
      <c r="B1049" s="46" t="s">
        <v>14</v>
      </c>
      <c r="C1049" s="48">
        <v>122.9</v>
      </c>
      <c r="D1049" s="48">
        <v>101.3</v>
      </c>
      <c r="E1049" s="48">
        <v>116.7</v>
      </c>
    </row>
    <row r="1050">
      <c r="A1050" s="46" t="s">
        <v>17</v>
      </c>
      <c r="B1050" s="46" t="s">
        <v>13</v>
      </c>
      <c r="C1050" s="49"/>
      <c r="D1050" s="48">
        <v>88.7</v>
      </c>
      <c r="E1050" s="48">
        <v>88.7</v>
      </c>
    </row>
    <row r="1051">
      <c r="A1051" s="46" t="s">
        <v>17</v>
      </c>
      <c r="B1051" s="46" t="s">
        <v>13</v>
      </c>
      <c r="C1051" s="49"/>
      <c r="D1051" s="48">
        <v>96.2</v>
      </c>
      <c r="E1051" s="48">
        <v>96.2</v>
      </c>
    </row>
    <row r="1052">
      <c r="A1052" s="46" t="s">
        <v>17</v>
      </c>
      <c r="B1052" s="46" t="s">
        <v>13</v>
      </c>
      <c r="C1052" s="49"/>
      <c r="D1052" s="48">
        <v>85.4</v>
      </c>
      <c r="E1052" s="48">
        <v>85.4</v>
      </c>
    </row>
    <row r="1053">
      <c r="A1053" s="46" t="s">
        <v>17</v>
      </c>
      <c r="B1053" s="46" t="s">
        <v>13</v>
      </c>
      <c r="C1053" s="49"/>
      <c r="D1053" s="48">
        <v>89.8</v>
      </c>
      <c r="E1053" s="48">
        <v>89.8</v>
      </c>
    </row>
    <row r="1054">
      <c r="A1054" s="46" t="s">
        <v>17</v>
      </c>
      <c r="B1054" s="46" t="s">
        <v>13</v>
      </c>
      <c r="C1054" s="49"/>
      <c r="D1054" s="48">
        <v>81.2</v>
      </c>
      <c r="E1054" s="48">
        <v>81.2</v>
      </c>
    </row>
    <row r="1055">
      <c r="A1055" s="46" t="s">
        <v>17</v>
      </c>
      <c r="B1055" s="46" t="s">
        <v>13</v>
      </c>
      <c r="C1055" s="49"/>
      <c r="D1055" s="48">
        <v>87.4</v>
      </c>
      <c r="E1055" s="48">
        <v>87.4</v>
      </c>
    </row>
    <row r="1056">
      <c r="A1056" s="46" t="s">
        <v>17</v>
      </c>
      <c r="B1056" s="46" t="s">
        <v>14</v>
      </c>
      <c r="C1056" s="48">
        <v>107.8</v>
      </c>
      <c r="D1056" s="48">
        <v>89.8</v>
      </c>
      <c r="E1056" s="48">
        <v>96.0</v>
      </c>
    </row>
    <row r="1057">
      <c r="A1057" s="46" t="s">
        <v>17</v>
      </c>
      <c r="B1057" s="46" t="s">
        <v>15</v>
      </c>
      <c r="C1057" s="48">
        <v>131.0</v>
      </c>
      <c r="D1057" s="49"/>
      <c r="E1057" s="48">
        <v>131.0</v>
      </c>
    </row>
    <row r="1058">
      <c r="A1058" s="46" t="s">
        <v>17</v>
      </c>
      <c r="B1058" s="46" t="s">
        <v>13</v>
      </c>
      <c r="C1058" s="49"/>
      <c r="D1058" s="48">
        <v>98.8</v>
      </c>
      <c r="E1058" s="48">
        <v>98.8</v>
      </c>
    </row>
    <row r="1059">
      <c r="A1059" s="46" t="s">
        <v>17</v>
      </c>
      <c r="B1059" s="46" t="s">
        <v>13</v>
      </c>
      <c r="C1059" s="49"/>
      <c r="D1059" s="48">
        <v>93.6</v>
      </c>
      <c r="E1059" s="48">
        <v>93.6</v>
      </c>
    </row>
    <row r="1060">
      <c r="A1060" s="46" t="s">
        <v>17</v>
      </c>
      <c r="B1060" s="46" t="s">
        <v>15</v>
      </c>
      <c r="C1060" s="48">
        <v>103.1</v>
      </c>
      <c r="D1060" s="49"/>
      <c r="E1060" s="48">
        <v>103.1</v>
      </c>
    </row>
    <row r="1061">
      <c r="A1061" s="46" t="s">
        <v>17</v>
      </c>
      <c r="B1061" s="46" t="s">
        <v>13</v>
      </c>
      <c r="C1061" s="49"/>
      <c r="D1061" s="48">
        <v>94.8</v>
      </c>
      <c r="E1061" s="48">
        <v>94.8</v>
      </c>
    </row>
    <row r="1062">
      <c r="A1062" s="46" t="s">
        <v>17</v>
      </c>
      <c r="B1062" s="46" t="s">
        <v>15</v>
      </c>
      <c r="C1062" s="48">
        <v>111.8</v>
      </c>
      <c r="D1062" s="49"/>
      <c r="E1062" s="48">
        <v>111.8</v>
      </c>
    </row>
    <row r="1063">
      <c r="A1063" s="46" t="s">
        <v>17</v>
      </c>
      <c r="B1063" s="46" t="s">
        <v>15</v>
      </c>
      <c r="C1063" s="48">
        <v>105.6</v>
      </c>
      <c r="D1063" s="49"/>
      <c r="E1063" s="48">
        <v>105.6</v>
      </c>
    </row>
    <row r="1064">
      <c r="A1064" s="46" t="s">
        <v>17</v>
      </c>
      <c r="B1064" s="46" t="s">
        <v>15</v>
      </c>
      <c r="C1064" s="48">
        <v>130.8</v>
      </c>
      <c r="D1064" s="49"/>
      <c r="E1064" s="48">
        <v>130.8</v>
      </c>
    </row>
    <row r="1065">
      <c r="A1065" s="46" t="s">
        <v>17</v>
      </c>
      <c r="B1065" s="46" t="s">
        <v>15</v>
      </c>
      <c r="C1065" s="48">
        <v>110.5</v>
      </c>
      <c r="D1065" s="49"/>
      <c r="E1065" s="48">
        <v>110.5</v>
      </c>
    </row>
    <row r="1066">
      <c r="A1066" s="46" t="s">
        <v>17</v>
      </c>
      <c r="B1066" s="46" t="s">
        <v>15</v>
      </c>
      <c r="C1066" s="48">
        <v>132.5</v>
      </c>
      <c r="D1066" s="49"/>
      <c r="E1066" s="48">
        <v>132.5</v>
      </c>
    </row>
    <row r="1067">
      <c r="A1067" s="46" t="s">
        <v>17</v>
      </c>
      <c r="B1067" s="46" t="s">
        <v>15</v>
      </c>
      <c r="C1067" s="48">
        <v>126.0</v>
      </c>
      <c r="D1067" s="49"/>
      <c r="E1067" s="48">
        <v>126.0</v>
      </c>
    </row>
    <row r="1068">
      <c r="A1068" s="46" t="s">
        <v>17</v>
      </c>
      <c r="B1068" s="46" t="s">
        <v>14</v>
      </c>
      <c r="C1068" s="48">
        <v>124.8</v>
      </c>
      <c r="D1068" s="48">
        <v>99.2</v>
      </c>
      <c r="E1068" s="48">
        <v>117.5</v>
      </c>
    </row>
    <row r="1069">
      <c r="A1069" s="46" t="s">
        <v>17</v>
      </c>
      <c r="B1069" s="46" t="s">
        <v>15</v>
      </c>
      <c r="C1069" s="48">
        <v>130.8</v>
      </c>
      <c r="D1069" s="49"/>
      <c r="E1069" s="48">
        <v>130.8</v>
      </c>
    </row>
    <row r="1070">
      <c r="A1070" s="46" t="s">
        <v>17</v>
      </c>
      <c r="B1070" s="46" t="s">
        <v>14</v>
      </c>
      <c r="C1070" s="48">
        <v>127.9</v>
      </c>
      <c r="D1070" s="48">
        <v>87.0</v>
      </c>
      <c r="E1070" s="48">
        <v>122.9</v>
      </c>
    </row>
    <row r="1071">
      <c r="A1071" s="46" t="s">
        <v>17</v>
      </c>
      <c r="B1071" s="46" t="s">
        <v>13</v>
      </c>
      <c r="C1071" s="49"/>
      <c r="D1071" s="48">
        <v>96.3</v>
      </c>
      <c r="E1071" s="48">
        <v>96.3</v>
      </c>
    </row>
    <row r="1072">
      <c r="A1072" s="46" t="s">
        <v>17</v>
      </c>
      <c r="B1072" s="46" t="s">
        <v>15</v>
      </c>
      <c r="C1072" s="48">
        <v>116.9</v>
      </c>
      <c r="D1072" s="49"/>
      <c r="E1072" s="48">
        <v>116.9</v>
      </c>
    </row>
    <row r="1073">
      <c r="A1073" s="46" t="s">
        <v>17</v>
      </c>
      <c r="B1073" s="46" t="s">
        <v>14</v>
      </c>
      <c r="C1073" s="48">
        <v>109.7</v>
      </c>
      <c r="D1073" s="48">
        <v>93.9</v>
      </c>
      <c r="E1073" s="48">
        <v>103.4</v>
      </c>
    </row>
    <row r="1074">
      <c r="A1074" s="46" t="s">
        <v>17</v>
      </c>
      <c r="B1074" s="46" t="s">
        <v>14</v>
      </c>
      <c r="C1074" s="48">
        <v>112.3</v>
      </c>
      <c r="D1074" s="48">
        <v>102.1</v>
      </c>
      <c r="E1074" s="48">
        <v>105.3</v>
      </c>
    </row>
    <row r="1075">
      <c r="A1075" s="46" t="s">
        <v>17</v>
      </c>
      <c r="B1075" s="46" t="s">
        <v>15</v>
      </c>
      <c r="C1075" s="48">
        <v>138.3</v>
      </c>
      <c r="D1075" s="49"/>
      <c r="E1075" s="48">
        <v>138.3</v>
      </c>
    </row>
    <row r="1076">
      <c r="A1076" s="46" t="s">
        <v>17</v>
      </c>
      <c r="B1076" s="46" t="s">
        <v>15</v>
      </c>
      <c r="C1076" s="48">
        <v>139.4</v>
      </c>
      <c r="D1076" s="49"/>
      <c r="E1076" s="48">
        <v>139.4</v>
      </c>
    </row>
    <row r="1077">
      <c r="A1077" s="46" t="s">
        <v>17</v>
      </c>
      <c r="B1077" s="46" t="s">
        <v>14</v>
      </c>
      <c r="C1077" s="48">
        <v>110.4</v>
      </c>
      <c r="D1077" s="48">
        <v>98.6</v>
      </c>
      <c r="E1077" s="48">
        <v>104.2</v>
      </c>
    </row>
    <row r="1078">
      <c r="A1078" s="46" t="s">
        <v>17</v>
      </c>
      <c r="B1078" s="46" t="s">
        <v>14</v>
      </c>
      <c r="C1078" s="48">
        <v>120.5</v>
      </c>
      <c r="D1078" s="48">
        <v>110.1</v>
      </c>
      <c r="E1078" s="48">
        <v>113.5</v>
      </c>
    </row>
    <row r="1079">
      <c r="A1079" s="46" t="s">
        <v>17</v>
      </c>
      <c r="B1079" s="46" t="s">
        <v>14</v>
      </c>
      <c r="C1079" s="48">
        <v>119.5</v>
      </c>
      <c r="D1079" s="48">
        <v>96.3</v>
      </c>
      <c r="E1079" s="48">
        <v>111.2</v>
      </c>
    </row>
    <row r="1080">
      <c r="A1080" s="46" t="s">
        <v>17</v>
      </c>
      <c r="B1080" s="46" t="s">
        <v>13</v>
      </c>
      <c r="C1080" s="49"/>
      <c r="D1080" s="48">
        <v>106.8</v>
      </c>
      <c r="E1080" s="48">
        <v>106.8</v>
      </c>
    </row>
    <row r="1081">
      <c r="A1081" s="46" t="s">
        <v>17</v>
      </c>
      <c r="B1081" s="46" t="s">
        <v>13</v>
      </c>
      <c r="C1081" s="49"/>
      <c r="D1081" s="48">
        <v>90.4</v>
      </c>
      <c r="E1081" s="48">
        <v>90.4</v>
      </c>
    </row>
    <row r="1082">
      <c r="A1082" s="46" t="s">
        <v>17</v>
      </c>
      <c r="B1082" s="46" t="s">
        <v>14</v>
      </c>
      <c r="C1082" s="48">
        <v>108.4</v>
      </c>
      <c r="D1082" s="48">
        <v>98.8</v>
      </c>
      <c r="E1082" s="48">
        <v>102.9</v>
      </c>
    </row>
    <row r="1083">
      <c r="A1083" s="46" t="s">
        <v>17</v>
      </c>
      <c r="B1083" s="46" t="s">
        <v>13</v>
      </c>
      <c r="C1083" s="49"/>
      <c r="D1083" s="48">
        <v>93.2</v>
      </c>
      <c r="E1083" s="48">
        <v>93.2</v>
      </c>
    </row>
    <row r="1084">
      <c r="A1084" s="46" t="s">
        <v>17</v>
      </c>
      <c r="B1084" s="46" t="s">
        <v>15</v>
      </c>
      <c r="C1084" s="48">
        <v>104.0</v>
      </c>
      <c r="D1084" s="49"/>
      <c r="E1084" s="48">
        <v>104.0</v>
      </c>
    </row>
    <row r="1085">
      <c r="A1085" s="46" t="s">
        <v>17</v>
      </c>
      <c r="B1085" s="46" t="s">
        <v>15</v>
      </c>
      <c r="C1085" s="48">
        <v>124.2</v>
      </c>
      <c r="D1085" s="49"/>
      <c r="E1085" s="48">
        <v>124.2</v>
      </c>
    </row>
    <row r="1086">
      <c r="A1086" s="46" t="s">
        <v>17</v>
      </c>
      <c r="B1086" s="46" t="s">
        <v>13</v>
      </c>
      <c r="C1086" s="49"/>
      <c r="D1086" s="48">
        <v>95.6</v>
      </c>
      <c r="E1086" s="48">
        <v>95.6</v>
      </c>
    </row>
    <row r="1087">
      <c r="A1087" s="46" t="s">
        <v>17</v>
      </c>
      <c r="B1087" s="46" t="s">
        <v>15</v>
      </c>
      <c r="C1087" s="48">
        <v>126.7</v>
      </c>
      <c r="D1087" s="49"/>
      <c r="E1087" s="48">
        <v>126.7</v>
      </c>
    </row>
    <row r="1088">
      <c r="A1088" s="46" t="s">
        <v>17</v>
      </c>
      <c r="B1088" s="46" t="s">
        <v>15</v>
      </c>
      <c r="C1088" s="48">
        <v>133.4</v>
      </c>
      <c r="D1088" s="49"/>
      <c r="E1088" s="48">
        <v>133.4</v>
      </c>
    </row>
    <row r="1089">
      <c r="A1089" s="46" t="s">
        <v>17</v>
      </c>
      <c r="B1089" s="46" t="s">
        <v>13</v>
      </c>
      <c r="C1089" s="49"/>
      <c r="D1089" s="48">
        <v>94.5</v>
      </c>
      <c r="E1089" s="48">
        <v>94.5</v>
      </c>
    </row>
    <row r="1090">
      <c r="A1090" s="46" t="s">
        <v>17</v>
      </c>
      <c r="B1090" s="46" t="s">
        <v>13</v>
      </c>
      <c r="C1090" s="49"/>
      <c r="D1090" s="48">
        <v>82.2</v>
      </c>
      <c r="E1090" s="48">
        <v>82.2</v>
      </c>
    </row>
    <row r="1091">
      <c r="A1091" s="46" t="s">
        <v>17</v>
      </c>
      <c r="B1091" s="46" t="s">
        <v>13</v>
      </c>
      <c r="C1091" s="49"/>
      <c r="D1091" s="48">
        <v>86.7</v>
      </c>
      <c r="E1091" s="48">
        <v>86.7</v>
      </c>
    </row>
    <row r="1092">
      <c r="A1092" s="46" t="s">
        <v>17</v>
      </c>
      <c r="B1092" s="46" t="s">
        <v>13</v>
      </c>
      <c r="C1092" s="49"/>
      <c r="D1092" s="48">
        <v>71.6</v>
      </c>
      <c r="E1092" s="48">
        <v>71.6</v>
      </c>
    </row>
    <row r="1093">
      <c r="A1093" s="46" t="s">
        <v>17</v>
      </c>
      <c r="B1093" s="46" t="s">
        <v>13</v>
      </c>
      <c r="C1093" s="49"/>
      <c r="D1093" s="48">
        <v>106.9</v>
      </c>
      <c r="E1093" s="48">
        <v>106.9</v>
      </c>
    </row>
    <row r="1094">
      <c r="A1094" s="46" t="s">
        <v>17</v>
      </c>
      <c r="B1094" s="46" t="s">
        <v>14</v>
      </c>
      <c r="C1094" s="48">
        <v>112.4</v>
      </c>
      <c r="D1094" s="48">
        <v>90.2</v>
      </c>
      <c r="E1094" s="48">
        <v>99.5</v>
      </c>
    </row>
    <row r="1095">
      <c r="A1095" s="46" t="s">
        <v>17</v>
      </c>
      <c r="B1095" s="46" t="s">
        <v>15</v>
      </c>
      <c r="C1095" s="48">
        <v>103.6</v>
      </c>
      <c r="D1095" s="49"/>
      <c r="E1095" s="48">
        <v>103.6</v>
      </c>
    </row>
    <row r="1096">
      <c r="A1096" s="46" t="s">
        <v>17</v>
      </c>
      <c r="B1096" s="46" t="s">
        <v>15</v>
      </c>
      <c r="C1096" s="48">
        <v>133.2</v>
      </c>
      <c r="D1096" s="49"/>
      <c r="E1096" s="48">
        <v>133.2</v>
      </c>
    </row>
    <row r="1097">
      <c r="A1097" s="46" t="s">
        <v>17</v>
      </c>
      <c r="B1097" s="46" t="s">
        <v>15</v>
      </c>
      <c r="C1097" s="48">
        <v>109.9</v>
      </c>
      <c r="D1097" s="49"/>
      <c r="E1097" s="48">
        <v>109.9</v>
      </c>
    </row>
    <row r="1098">
      <c r="A1098" s="46" t="s">
        <v>17</v>
      </c>
      <c r="B1098" s="46" t="s">
        <v>13</v>
      </c>
      <c r="C1098" s="49"/>
      <c r="D1098" s="48">
        <v>90.2</v>
      </c>
      <c r="E1098" s="48">
        <v>90.2</v>
      </c>
    </row>
    <row r="1099">
      <c r="A1099" s="46" t="s">
        <v>17</v>
      </c>
      <c r="B1099" s="46" t="s">
        <v>14</v>
      </c>
      <c r="C1099" s="48">
        <v>107.7</v>
      </c>
      <c r="D1099" s="48">
        <v>91.8</v>
      </c>
      <c r="E1099" s="48">
        <v>101.4</v>
      </c>
    </row>
    <row r="1100">
      <c r="A1100" s="46" t="s">
        <v>17</v>
      </c>
      <c r="B1100" s="46" t="s">
        <v>13</v>
      </c>
      <c r="C1100" s="49"/>
      <c r="D1100" s="48">
        <v>102.4</v>
      </c>
      <c r="E1100" s="48">
        <v>102.4</v>
      </c>
    </row>
    <row r="1101">
      <c r="A1101" s="46" t="s">
        <v>17</v>
      </c>
      <c r="B1101" s="46" t="s">
        <v>14</v>
      </c>
      <c r="C1101" s="48">
        <v>99.4</v>
      </c>
      <c r="D1101" s="48">
        <v>83.1</v>
      </c>
      <c r="E1101" s="48">
        <v>88.2</v>
      </c>
    </row>
    <row r="1102">
      <c r="A1102" s="46" t="s">
        <v>17</v>
      </c>
      <c r="B1102" s="46" t="s">
        <v>13</v>
      </c>
      <c r="C1102" s="49"/>
      <c r="D1102" s="48">
        <v>77.9</v>
      </c>
      <c r="E1102" s="48">
        <v>77.9</v>
      </c>
    </row>
    <row r="1103">
      <c r="A1103" s="46" t="s">
        <v>17</v>
      </c>
      <c r="B1103" s="46" t="s">
        <v>15</v>
      </c>
      <c r="C1103" s="48">
        <v>116.9</v>
      </c>
      <c r="D1103" s="49"/>
      <c r="E1103" s="48">
        <v>116.9</v>
      </c>
    </row>
    <row r="1104">
      <c r="A1104" s="46" t="s">
        <v>17</v>
      </c>
      <c r="B1104" s="46" t="s">
        <v>15</v>
      </c>
      <c r="C1104" s="48">
        <v>139.2</v>
      </c>
      <c r="D1104" s="49"/>
      <c r="E1104" s="48">
        <v>139.2</v>
      </c>
    </row>
    <row r="1105">
      <c r="A1105" s="46" t="s">
        <v>17</v>
      </c>
      <c r="B1105" s="46" t="s">
        <v>13</v>
      </c>
      <c r="C1105" s="49"/>
      <c r="D1105" s="48">
        <v>96.2</v>
      </c>
      <c r="E1105" s="48">
        <v>96.2</v>
      </c>
    </row>
    <row r="1106">
      <c r="A1106" s="46" t="s">
        <v>17</v>
      </c>
      <c r="B1106" s="46" t="s">
        <v>14</v>
      </c>
      <c r="C1106" s="48">
        <v>119.1</v>
      </c>
      <c r="D1106" s="48">
        <v>97.5</v>
      </c>
      <c r="E1106" s="48">
        <v>113.4</v>
      </c>
    </row>
    <row r="1107">
      <c r="A1107" s="46" t="s">
        <v>17</v>
      </c>
      <c r="B1107" s="46" t="s">
        <v>15</v>
      </c>
      <c r="C1107" s="48">
        <v>129.0</v>
      </c>
      <c r="D1107" s="49"/>
      <c r="E1107" s="48">
        <v>129.0</v>
      </c>
    </row>
    <row r="1108">
      <c r="A1108" s="46" t="s">
        <v>17</v>
      </c>
      <c r="B1108" s="46" t="s">
        <v>15</v>
      </c>
      <c r="C1108" s="48">
        <v>133.2</v>
      </c>
      <c r="D1108" s="49"/>
      <c r="E1108" s="48">
        <v>133.2</v>
      </c>
    </row>
    <row r="1109">
      <c r="A1109" s="46" t="s">
        <v>17</v>
      </c>
      <c r="B1109" s="46" t="s">
        <v>14</v>
      </c>
      <c r="C1109" s="48">
        <v>112.6</v>
      </c>
      <c r="D1109" s="48">
        <v>101.1</v>
      </c>
      <c r="E1109" s="48">
        <v>110.8</v>
      </c>
    </row>
    <row r="1110">
      <c r="A1110" s="46" t="s">
        <v>17</v>
      </c>
      <c r="B1110" s="46" t="s">
        <v>13</v>
      </c>
      <c r="C1110" s="49"/>
      <c r="D1110" s="48">
        <v>93.8</v>
      </c>
      <c r="E1110" s="48">
        <v>93.8</v>
      </c>
    </row>
    <row r="1111">
      <c r="A1111" s="46" t="s">
        <v>17</v>
      </c>
      <c r="B1111" s="46" t="s">
        <v>15</v>
      </c>
      <c r="C1111" s="48">
        <v>131.1</v>
      </c>
      <c r="D1111" s="49"/>
      <c r="E1111" s="48">
        <v>131.1</v>
      </c>
    </row>
    <row r="1112">
      <c r="A1112" s="46" t="s">
        <v>17</v>
      </c>
      <c r="B1112" s="46" t="s">
        <v>13</v>
      </c>
      <c r="C1112" s="49"/>
      <c r="D1112" s="48">
        <v>93.6</v>
      </c>
      <c r="E1112" s="48">
        <v>93.6</v>
      </c>
    </row>
    <row r="1113">
      <c r="A1113" s="46" t="s">
        <v>17</v>
      </c>
      <c r="B1113" s="46" t="s">
        <v>15</v>
      </c>
      <c r="C1113" s="48">
        <v>117.2</v>
      </c>
      <c r="D1113" s="49"/>
      <c r="E1113" s="48">
        <v>117.2</v>
      </c>
    </row>
    <row r="1114">
      <c r="A1114" s="46" t="s">
        <v>17</v>
      </c>
      <c r="B1114" s="46" t="s">
        <v>15</v>
      </c>
      <c r="C1114" s="48">
        <v>120.5</v>
      </c>
      <c r="D1114" s="49"/>
      <c r="E1114" s="48">
        <v>120.5</v>
      </c>
    </row>
    <row r="1115">
      <c r="A1115" s="46" t="s">
        <v>17</v>
      </c>
      <c r="B1115" s="46" t="s">
        <v>13</v>
      </c>
      <c r="C1115" s="49"/>
      <c r="D1115" s="48">
        <v>98.5</v>
      </c>
      <c r="E1115" s="48">
        <v>98.5</v>
      </c>
    </row>
    <row r="1116">
      <c r="A1116" s="46" t="s">
        <v>17</v>
      </c>
      <c r="B1116" s="46" t="s">
        <v>15</v>
      </c>
      <c r="C1116" s="48">
        <v>133.8</v>
      </c>
      <c r="D1116" s="49"/>
      <c r="E1116" s="48">
        <v>133.8</v>
      </c>
    </row>
    <row r="1117">
      <c r="A1117" s="46" t="s">
        <v>17</v>
      </c>
      <c r="B1117" s="46" t="s">
        <v>15</v>
      </c>
      <c r="C1117" s="48">
        <v>134.8</v>
      </c>
      <c r="D1117" s="49"/>
      <c r="E1117" s="48">
        <v>134.8</v>
      </c>
    </row>
    <row r="1118">
      <c r="A1118" s="46" t="s">
        <v>17</v>
      </c>
      <c r="B1118" s="46" t="s">
        <v>15</v>
      </c>
      <c r="C1118" s="48">
        <v>137.6</v>
      </c>
      <c r="D1118" s="49"/>
      <c r="E1118" s="48">
        <v>137.6</v>
      </c>
    </row>
    <row r="1119">
      <c r="A1119" s="46" t="s">
        <v>17</v>
      </c>
      <c r="B1119" s="46" t="s">
        <v>13</v>
      </c>
      <c r="C1119" s="49"/>
      <c r="D1119" s="48">
        <v>100.0</v>
      </c>
      <c r="E1119" s="48">
        <v>100.0</v>
      </c>
    </row>
    <row r="1120">
      <c r="A1120" s="46" t="s">
        <v>17</v>
      </c>
      <c r="B1120" s="46" t="s">
        <v>15</v>
      </c>
      <c r="C1120" s="48">
        <v>105.2</v>
      </c>
      <c r="D1120" s="49"/>
      <c r="E1120" s="48">
        <v>105.2</v>
      </c>
    </row>
    <row r="1121">
      <c r="A1121" s="46" t="s">
        <v>17</v>
      </c>
      <c r="B1121" s="46" t="s">
        <v>15</v>
      </c>
      <c r="C1121" s="48">
        <v>120.7</v>
      </c>
      <c r="D1121" s="49"/>
      <c r="E1121" s="48">
        <v>120.7</v>
      </c>
    </row>
    <row r="1122">
      <c r="A1122" s="46" t="s">
        <v>17</v>
      </c>
      <c r="B1122" s="46" t="s">
        <v>15</v>
      </c>
      <c r="C1122" s="48">
        <v>134.1</v>
      </c>
      <c r="D1122" s="49"/>
      <c r="E1122" s="48">
        <v>134.1</v>
      </c>
    </row>
    <row r="1123">
      <c r="A1123" s="46" t="s">
        <v>17</v>
      </c>
      <c r="B1123" s="46" t="s">
        <v>15</v>
      </c>
      <c r="C1123" s="48">
        <v>135.0</v>
      </c>
      <c r="D1123" s="49"/>
      <c r="E1123" s="48">
        <v>135.0</v>
      </c>
    </row>
    <row r="1124">
      <c r="A1124" s="46" t="s">
        <v>17</v>
      </c>
      <c r="B1124" s="46" t="s">
        <v>15</v>
      </c>
      <c r="C1124" s="48">
        <v>117.9</v>
      </c>
      <c r="D1124" s="49"/>
      <c r="E1124" s="48">
        <v>117.9</v>
      </c>
    </row>
    <row r="1125">
      <c r="A1125" s="46" t="s">
        <v>17</v>
      </c>
      <c r="B1125" s="46" t="s">
        <v>15</v>
      </c>
      <c r="C1125" s="48">
        <v>127.6</v>
      </c>
      <c r="D1125" s="49"/>
      <c r="E1125" s="48">
        <v>127.6</v>
      </c>
    </row>
    <row r="1126">
      <c r="A1126" s="46" t="s">
        <v>17</v>
      </c>
      <c r="B1126" s="46" t="s">
        <v>15</v>
      </c>
      <c r="C1126" s="48">
        <v>147.3</v>
      </c>
      <c r="D1126" s="49"/>
      <c r="E1126" s="48">
        <v>147.3</v>
      </c>
    </row>
    <row r="1127">
      <c r="A1127" s="46" t="s">
        <v>17</v>
      </c>
      <c r="B1127" s="46" t="s">
        <v>15</v>
      </c>
      <c r="C1127" s="48">
        <v>128.5</v>
      </c>
      <c r="D1127" s="49"/>
      <c r="E1127" s="48">
        <v>128.5</v>
      </c>
    </row>
    <row r="1128">
      <c r="A1128" s="46" t="s">
        <v>17</v>
      </c>
      <c r="B1128" s="46" t="s">
        <v>15</v>
      </c>
      <c r="C1128" s="48">
        <v>109.6</v>
      </c>
      <c r="D1128" s="49"/>
      <c r="E1128" s="48">
        <v>109.6</v>
      </c>
    </row>
    <row r="1129">
      <c r="A1129" s="46" t="s">
        <v>17</v>
      </c>
      <c r="B1129" s="46" t="s">
        <v>13</v>
      </c>
      <c r="C1129" s="49"/>
      <c r="D1129" s="48">
        <v>95.8</v>
      </c>
      <c r="E1129" s="48">
        <v>95.8</v>
      </c>
    </row>
    <row r="1130">
      <c r="A1130" s="46" t="s">
        <v>17</v>
      </c>
      <c r="B1130" s="46" t="s">
        <v>13</v>
      </c>
      <c r="C1130" s="49"/>
      <c r="D1130" s="48">
        <v>106.7</v>
      </c>
      <c r="E1130" s="48">
        <v>106.7</v>
      </c>
    </row>
    <row r="1131">
      <c r="A1131" s="46" t="s">
        <v>17</v>
      </c>
      <c r="B1131" s="46" t="s">
        <v>13</v>
      </c>
      <c r="C1131" s="49"/>
      <c r="D1131" s="48">
        <v>106.3</v>
      </c>
      <c r="E1131" s="48">
        <v>106.3</v>
      </c>
    </row>
    <row r="1132">
      <c r="A1132" s="46" t="s">
        <v>17</v>
      </c>
      <c r="B1132" s="46" t="s">
        <v>13</v>
      </c>
      <c r="C1132" s="49"/>
      <c r="D1132" s="48">
        <v>107.2</v>
      </c>
      <c r="E1132" s="48">
        <v>107.2</v>
      </c>
    </row>
    <row r="1133">
      <c r="A1133" s="46" t="s">
        <v>17</v>
      </c>
      <c r="B1133" s="46" t="s">
        <v>15</v>
      </c>
      <c r="C1133" s="48">
        <v>113.0</v>
      </c>
      <c r="D1133" s="49"/>
      <c r="E1133" s="48">
        <v>113.0</v>
      </c>
    </row>
    <row r="1134">
      <c r="A1134" s="46" t="s">
        <v>17</v>
      </c>
      <c r="B1134" s="46" t="s">
        <v>13</v>
      </c>
      <c r="C1134" s="49"/>
      <c r="D1134" s="48">
        <v>79.1</v>
      </c>
      <c r="E1134" s="48">
        <v>79.1</v>
      </c>
    </row>
    <row r="1135">
      <c r="A1135" s="46" t="s">
        <v>17</v>
      </c>
      <c r="B1135" s="46" t="s">
        <v>14</v>
      </c>
      <c r="C1135" s="48">
        <v>105.5</v>
      </c>
      <c r="D1135" s="48">
        <v>93.5</v>
      </c>
      <c r="E1135" s="48">
        <v>96.6</v>
      </c>
    </row>
    <row r="1136">
      <c r="A1136" s="46" t="s">
        <v>17</v>
      </c>
      <c r="B1136" s="46" t="s">
        <v>13</v>
      </c>
      <c r="C1136" s="49"/>
      <c r="D1136" s="48">
        <v>95.1</v>
      </c>
      <c r="E1136" s="48">
        <v>95.1</v>
      </c>
    </row>
    <row r="1137">
      <c r="A1137" s="46" t="s">
        <v>17</v>
      </c>
      <c r="B1137" s="46" t="s">
        <v>13</v>
      </c>
      <c r="C1137" s="49"/>
      <c r="D1137" s="48">
        <v>93.0</v>
      </c>
      <c r="E1137" s="48">
        <v>93.0</v>
      </c>
    </row>
    <row r="1138">
      <c r="A1138" s="46" t="s">
        <v>17</v>
      </c>
      <c r="B1138" s="46" t="s">
        <v>15</v>
      </c>
      <c r="C1138" s="48">
        <v>139.6</v>
      </c>
      <c r="D1138" s="49"/>
      <c r="E1138" s="48">
        <v>139.6</v>
      </c>
    </row>
    <row r="1139">
      <c r="A1139" s="46" t="s">
        <v>17</v>
      </c>
      <c r="B1139" s="46" t="s">
        <v>15</v>
      </c>
      <c r="C1139" s="48">
        <v>125.8</v>
      </c>
      <c r="D1139" s="49"/>
      <c r="E1139" s="48">
        <v>125.8</v>
      </c>
    </row>
    <row r="1140">
      <c r="A1140" s="46" t="s">
        <v>17</v>
      </c>
      <c r="B1140" s="46" t="s">
        <v>15</v>
      </c>
      <c r="C1140" s="48">
        <v>109.3</v>
      </c>
      <c r="D1140" s="49"/>
      <c r="E1140" s="48">
        <v>109.3</v>
      </c>
    </row>
    <row r="1141">
      <c r="A1141" s="46" t="s">
        <v>17</v>
      </c>
      <c r="B1141" s="46" t="s">
        <v>15</v>
      </c>
      <c r="C1141" s="48">
        <v>121.6</v>
      </c>
      <c r="D1141" s="49"/>
      <c r="E1141" s="48">
        <v>121.6</v>
      </c>
    </row>
    <row r="1142">
      <c r="A1142" s="46" t="s">
        <v>17</v>
      </c>
      <c r="B1142" s="46" t="s">
        <v>14</v>
      </c>
      <c r="C1142" s="48">
        <v>103.3</v>
      </c>
      <c r="D1142" s="48">
        <v>89.2</v>
      </c>
      <c r="E1142" s="48">
        <v>95.2</v>
      </c>
    </row>
    <row r="1143">
      <c r="A1143" s="46" t="s">
        <v>17</v>
      </c>
      <c r="B1143" s="46" t="s">
        <v>15</v>
      </c>
      <c r="C1143" s="48">
        <v>151.1</v>
      </c>
      <c r="D1143" s="49"/>
      <c r="E1143" s="48">
        <v>151.1</v>
      </c>
    </row>
    <row r="1144">
      <c r="A1144" s="46" t="s">
        <v>17</v>
      </c>
      <c r="B1144" s="46" t="s">
        <v>15</v>
      </c>
      <c r="C1144" s="48">
        <v>143.7</v>
      </c>
      <c r="D1144" s="49"/>
      <c r="E1144" s="48">
        <v>143.7</v>
      </c>
    </row>
    <row r="1145">
      <c r="A1145" s="46" t="s">
        <v>17</v>
      </c>
      <c r="B1145" s="46" t="s">
        <v>15</v>
      </c>
      <c r="C1145" s="48">
        <v>148.0</v>
      </c>
      <c r="D1145" s="49"/>
      <c r="E1145" s="48">
        <v>148.0</v>
      </c>
    </row>
    <row r="1146">
      <c r="A1146" s="46" t="s">
        <v>17</v>
      </c>
      <c r="B1146" s="46" t="s">
        <v>15</v>
      </c>
      <c r="C1146" s="48">
        <v>147.1</v>
      </c>
      <c r="D1146" s="49"/>
      <c r="E1146" s="48">
        <v>147.1</v>
      </c>
    </row>
    <row r="1147">
      <c r="A1147" s="46" t="s">
        <v>17</v>
      </c>
      <c r="B1147" s="46" t="s">
        <v>15</v>
      </c>
      <c r="C1147" s="48">
        <v>155.9</v>
      </c>
      <c r="D1147" s="49"/>
      <c r="E1147" s="48">
        <v>155.9</v>
      </c>
    </row>
    <row r="1148">
      <c r="A1148" s="46" t="s">
        <v>17</v>
      </c>
      <c r="B1148" s="46" t="s">
        <v>15</v>
      </c>
      <c r="C1148" s="48">
        <v>151.7</v>
      </c>
      <c r="D1148" s="49"/>
      <c r="E1148" s="48">
        <v>151.7</v>
      </c>
    </row>
    <row r="1149">
      <c r="A1149" s="46" t="s">
        <v>17</v>
      </c>
      <c r="B1149" s="46" t="s">
        <v>15</v>
      </c>
      <c r="C1149" s="48">
        <v>131.2</v>
      </c>
      <c r="D1149" s="49"/>
      <c r="E1149" s="48">
        <v>131.2</v>
      </c>
    </row>
    <row r="1150">
      <c r="A1150" s="46" t="s">
        <v>17</v>
      </c>
      <c r="B1150" s="46" t="s">
        <v>15</v>
      </c>
      <c r="C1150" s="48">
        <v>136.7</v>
      </c>
      <c r="D1150" s="49"/>
      <c r="E1150" s="48">
        <v>136.7</v>
      </c>
    </row>
    <row r="1151">
      <c r="A1151" s="46" t="s">
        <v>17</v>
      </c>
      <c r="B1151" s="46" t="s">
        <v>15</v>
      </c>
      <c r="C1151" s="48">
        <v>123.2</v>
      </c>
      <c r="D1151" s="49"/>
      <c r="E1151" s="48">
        <v>123.2</v>
      </c>
    </row>
    <row r="1152">
      <c r="A1152" s="46" t="s">
        <v>17</v>
      </c>
      <c r="B1152" s="46" t="s">
        <v>15</v>
      </c>
      <c r="C1152" s="48">
        <v>137.6</v>
      </c>
      <c r="D1152" s="49"/>
      <c r="E1152" s="48">
        <v>137.6</v>
      </c>
    </row>
    <row r="1153">
      <c r="A1153" s="46" t="s">
        <v>17</v>
      </c>
      <c r="B1153" s="46" t="s">
        <v>14</v>
      </c>
      <c r="C1153" s="48">
        <v>123.0</v>
      </c>
      <c r="D1153" s="48">
        <v>122.1</v>
      </c>
      <c r="E1153" s="48">
        <v>122.3</v>
      </c>
    </row>
    <row r="1154">
      <c r="A1154" s="46" t="s">
        <v>17</v>
      </c>
      <c r="B1154" s="46" t="s">
        <v>14</v>
      </c>
      <c r="C1154" s="48">
        <v>121.9</v>
      </c>
      <c r="D1154" s="48">
        <v>112.6</v>
      </c>
      <c r="E1154" s="48">
        <v>118.1</v>
      </c>
    </row>
    <row r="1155">
      <c r="A1155" s="46" t="s">
        <v>17</v>
      </c>
      <c r="B1155" s="46" t="s">
        <v>15</v>
      </c>
      <c r="C1155" s="48">
        <v>123.7</v>
      </c>
      <c r="D1155" s="49"/>
      <c r="E1155" s="48">
        <v>123.7</v>
      </c>
    </row>
    <row r="1156">
      <c r="A1156" s="46" t="s">
        <v>17</v>
      </c>
      <c r="B1156" s="46" t="s">
        <v>15</v>
      </c>
      <c r="C1156" s="48">
        <v>115.3</v>
      </c>
      <c r="D1156" s="49"/>
      <c r="E1156" s="48">
        <v>115.3</v>
      </c>
    </row>
    <row r="1157">
      <c r="A1157" s="46" t="s">
        <v>17</v>
      </c>
      <c r="B1157" s="46" t="s">
        <v>15</v>
      </c>
      <c r="C1157" s="48">
        <v>137.4</v>
      </c>
      <c r="D1157" s="49"/>
      <c r="E1157" s="48">
        <v>137.4</v>
      </c>
    </row>
    <row r="1158">
      <c r="A1158" s="46" t="s">
        <v>17</v>
      </c>
      <c r="B1158" s="46" t="s">
        <v>15</v>
      </c>
      <c r="C1158" s="48">
        <v>125.3</v>
      </c>
      <c r="D1158" s="49"/>
      <c r="E1158" s="48">
        <v>125.3</v>
      </c>
    </row>
    <row r="1159">
      <c r="A1159" s="46" t="s">
        <v>17</v>
      </c>
      <c r="B1159" s="46" t="s">
        <v>14</v>
      </c>
      <c r="C1159" s="48">
        <v>92.7</v>
      </c>
      <c r="D1159" s="48">
        <v>113.0</v>
      </c>
      <c r="E1159" s="48">
        <v>106.9</v>
      </c>
    </row>
    <row r="1160">
      <c r="A1160" s="46" t="s">
        <v>17</v>
      </c>
      <c r="B1160" s="46" t="s">
        <v>13</v>
      </c>
      <c r="C1160" s="49"/>
      <c r="D1160" s="48">
        <v>114.2</v>
      </c>
      <c r="E1160" s="48">
        <v>114.2</v>
      </c>
    </row>
    <row r="1161">
      <c r="A1161" s="46" t="s">
        <v>17</v>
      </c>
      <c r="B1161" s="46" t="s">
        <v>13</v>
      </c>
      <c r="C1161" s="49"/>
      <c r="D1161" s="48">
        <v>125.3</v>
      </c>
      <c r="E1161" s="48">
        <v>125.3</v>
      </c>
    </row>
    <row r="1162">
      <c r="A1162" s="46" t="s">
        <v>17</v>
      </c>
      <c r="B1162" s="46" t="s">
        <v>15</v>
      </c>
      <c r="C1162" s="48">
        <v>140.6</v>
      </c>
      <c r="D1162" s="49"/>
      <c r="E1162" s="48">
        <v>140.6</v>
      </c>
    </row>
    <row r="1163">
      <c r="A1163" s="46" t="s">
        <v>17</v>
      </c>
      <c r="B1163" s="46" t="s">
        <v>15</v>
      </c>
      <c r="C1163" s="48">
        <v>145.8</v>
      </c>
      <c r="D1163" s="49"/>
      <c r="E1163" s="48">
        <v>145.8</v>
      </c>
    </row>
    <row r="1164">
      <c r="A1164" s="46" t="s">
        <v>17</v>
      </c>
      <c r="B1164" s="46" t="s">
        <v>15</v>
      </c>
      <c r="C1164" s="48">
        <v>91.4</v>
      </c>
      <c r="D1164" s="49"/>
      <c r="E1164" s="48">
        <v>91.4</v>
      </c>
    </row>
    <row r="1165">
      <c r="A1165" s="46" t="s">
        <v>17</v>
      </c>
      <c r="B1165" s="46" t="s">
        <v>13</v>
      </c>
      <c r="C1165" s="49"/>
      <c r="D1165" s="48">
        <v>96.0</v>
      </c>
      <c r="E1165" s="48">
        <v>96.0</v>
      </c>
    </row>
    <row r="1166">
      <c r="A1166" s="46" t="s">
        <v>17</v>
      </c>
      <c r="B1166" s="46" t="s">
        <v>13</v>
      </c>
      <c r="C1166" s="49"/>
      <c r="D1166" s="48">
        <v>97.4</v>
      </c>
      <c r="E1166" s="48">
        <v>97.4</v>
      </c>
    </row>
    <row r="1167">
      <c r="A1167" s="46" t="s">
        <v>17</v>
      </c>
      <c r="B1167" s="46" t="s">
        <v>15</v>
      </c>
      <c r="C1167" s="48">
        <v>119.1</v>
      </c>
      <c r="D1167" s="49"/>
      <c r="E1167" s="48">
        <v>119.1</v>
      </c>
    </row>
    <row r="1168">
      <c r="A1168" s="46" t="s">
        <v>17</v>
      </c>
      <c r="B1168" s="46" t="s">
        <v>13</v>
      </c>
      <c r="C1168" s="49"/>
      <c r="D1168" s="48">
        <v>87.8</v>
      </c>
      <c r="E1168" s="48">
        <v>87.8</v>
      </c>
    </row>
    <row r="1169">
      <c r="A1169" s="46" t="s">
        <v>17</v>
      </c>
      <c r="B1169" s="46" t="s">
        <v>15</v>
      </c>
      <c r="C1169" s="48">
        <v>122.4</v>
      </c>
      <c r="D1169" s="49"/>
      <c r="E1169" s="48">
        <v>122.4</v>
      </c>
    </row>
    <row r="1170">
      <c r="A1170" s="46" t="s">
        <v>17</v>
      </c>
      <c r="B1170" s="46" t="s">
        <v>14</v>
      </c>
      <c r="C1170" s="48">
        <v>129.8</v>
      </c>
      <c r="D1170" s="48">
        <v>119.6</v>
      </c>
      <c r="E1170" s="48">
        <v>128.1</v>
      </c>
    </row>
    <row r="1171">
      <c r="A1171" s="46" t="s">
        <v>17</v>
      </c>
      <c r="B1171" s="46" t="s">
        <v>15</v>
      </c>
      <c r="C1171" s="48">
        <v>117.2</v>
      </c>
      <c r="D1171" s="49"/>
      <c r="E1171" s="48">
        <v>117.2</v>
      </c>
    </row>
    <row r="1172">
      <c r="A1172" s="46" t="s">
        <v>17</v>
      </c>
      <c r="B1172" s="46" t="s">
        <v>15</v>
      </c>
      <c r="C1172" s="48">
        <v>135.2</v>
      </c>
      <c r="D1172" s="49"/>
      <c r="E1172" s="48">
        <v>135.2</v>
      </c>
    </row>
    <row r="1173">
      <c r="A1173" s="46" t="s">
        <v>17</v>
      </c>
      <c r="B1173" s="46" t="s">
        <v>13</v>
      </c>
      <c r="C1173" s="49"/>
      <c r="D1173" s="48">
        <v>96.7</v>
      </c>
      <c r="E1173" s="48">
        <v>96.7</v>
      </c>
    </row>
    <row r="1174">
      <c r="A1174" s="46" t="s">
        <v>17</v>
      </c>
      <c r="B1174" s="46" t="s">
        <v>14</v>
      </c>
      <c r="C1174" s="48">
        <v>120.6</v>
      </c>
      <c r="D1174" s="48">
        <v>101.1</v>
      </c>
      <c r="E1174" s="48">
        <v>114.9</v>
      </c>
    </row>
    <row r="1175">
      <c r="A1175" s="46" t="s">
        <v>17</v>
      </c>
      <c r="B1175" s="46" t="s">
        <v>13</v>
      </c>
      <c r="C1175" s="49"/>
      <c r="D1175" s="48">
        <v>104.1</v>
      </c>
      <c r="E1175" s="48">
        <v>104.1</v>
      </c>
    </row>
    <row r="1176">
      <c r="A1176" s="46" t="s">
        <v>17</v>
      </c>
      <c r="B1176" s="46" t="s">
        <v>13</v>
      </c>
      <c r="C1176" s="49"/>
      <c r="D1176" s="48">
        <v>104.1</v>
      </c>
      <c r="E1176" s="48">
        <v>104.1</v>
      </c>
    </row>
    <row r="1177">
      <c r="A1177" s="46" t="s">
        <v>17</v>
      </c>
      <c r="B1177" s="46" t="s">
        <v>13</v>
      </c>
      <c r="C1177" s="49"/>
      <c r="D1177" s="48">
        <v>88.5</v>
      </c>
      <c r="E1177" s="48">
        <v>88.5</v>
      </c>
    </row>
    <row r="1178">
      <c r="A1178" s="46" t="s">
        <v>17</v>
      </c>
      <c r="B1178" s="46" t="s">
        <v>14</v>
      </c>
      <c r="C1178" s="48">
        <v>106.9</v>
      </c>
      <c r="D1178" s="48">
        <v>91.9</v>
      </c>
      <c r="E1178" s="48">
        <v>97.5</v>
      </c>
    </row>
    <row r="1179">
      <c r="A1179" s="46" t="s">
        <v>17</v>
      </c>
      <c r="B1179" s="46" t="s">
        <v>13</v>
      </c>
      <c r="C1179" s="49"/>
      <c r="D1179" s="48">
        <v>90.1</v>
      </c>
      <c r="E1179" s="48">
        <v>90.1</v>
      </c>
    </row>
    <row r="1180">
      <c r="A1180" s="46" t="s">
        <v>17</v>
      </c>
      <c r="B1180" s="46" t="s">
        <v>13</v>
      </c>
      <c r="C1180" s="49"/>
      <c r="D1180" s="48">
        <v>90.5</v>
      </c>
      <c r="E1180" s="48">
        <v>90.5</v>
      </c>
    </row>
    <row r="1181">
      <c r="A1181" s="46" t="s">
        <v>17</v>
      </c>
      <c r="B1181" s="46" t="s">
        <v>13</v>
      </c>
      <c r="C1181" s="49"/>
      <c r="D1181" s="48">
        <v>87.5</v>
      </c>
      <c r="E1181" s="48">
        <v>87.5</v>
      </c>
    </row>
    <row r="1182">
      <c r="A1182" s="46" t="s">
        <v>17</v>
      </c>
      <c r="B1182" s="46" t="s">
        <v>15</v>
      </c>
      <c r="C1182" s="48">
        <v>131.8</v>
      </c>
      <c r="D1182" s="49"/>
      <c r="E1182" s="48">
        <v>131.8</v>
      </c>
    </row>
    <row r="1183">
      <c r="A1183" s="46" t="s">
        <v>17</v>
      </c>
      <c r="B1183" s="46" t="s">
        <v>15</v>
      </c>
      <c r="C1183" s="48">
        <v>150.6</v>
      </c>
      <c r="D1183" s="49"/>
      <c r="E1183" s="48">
        <v>150.6</v>
      </c>
    </row>
    <row r="1184">
      <c r="A1184" s="46" t="s">
        <v>17</v>
      </c>
      <c r="B1184" s="46" t="s">
        <v>15</v>
      </c>
      <c r="C1184" s="48">
        <v>127.3</v>
      </c>
      <c r="D1184" s="49"/>
      <c r="E1184" s="48">
        <v>127.3</v>
      </c>
    </row>
    <row r="1185">
      <c r="A1185" s="46" t="s">
        <v>17</v>
      </c>
      <c r="B1185" s="46" t="s">
        <v>15</v>
      </c>
      <c r="C1185" s="48">
        <v>147.1</v>
      </c>
      <c r="D1185" s="49"/>
      <c r="E1185" s="48">
        <v>147.1</v>
      </c>
    </row>
    <row r="1186">
      <c r="A1186" s="46" t="s">
        <v>17</v>
      </c>
      <c r="B1186" s="46" t="s">
        <v>15</v>
      </c>
      <c r="C1186" s="48">
        <v>144.9</v>
      </c>
      <c r="D1186" s="49"/>
      <c r="E1186" s="48">
        <v>144.9</v>
      </c>
    </row>
    <row r="1187">
      <c r="A1187" s="46" t="s">
        <v>17</v>
      </c>
      <c r="B1187" s="46" t="s">
        <v>15</v>
      </c>
      <c r="C1187" s="48">
        <v>145.4</v>
      </c>
      <c r="D1187" s="49"/>
      <c r="E1187" s="48">
        <v>145.4</v>
      </c>
    </row>
    <row r="1188">
      <c r="A1188" s="46" t="s">
        <v>17</v>
      </c>
      <c r="B1188" s="46" t="s">
        <v>13</v>
      </c>
      <c r="C1188" s="49"/>
      <c r="D1188" s="48">
        <v>110.8</v>
      </c>
      <c r="E1188" s="48">
        <v>110.8</v>
      </c>
    </row>
    <row r="1189">
      <c r="A1189" s="46" t="s">
        <v>17</v>
      </c>
      <c r="B1189" s="46" t="s">
        <v>15</v>
      </c>
      <c r="C1189" s="48">
        <v>144.5</v>
      </c>
      <c r="D1189" s="49"/>
      <c r="E1189" s="48">
        <v>144.5</v>
      </c>
    </row>
    <row r="1190">
      <c r="A1190" s="46" t="s">
        <v>17</v>
      </c>
      <c r="B1190" s="46" t="s">
        <v>13</v>
      </c>
      <c r="C1190" s="49"/>
      <c r="D1190" s="48">
        <v>99.5</v>
      </c>
      <c r="E1190" s="48">
        <v>99.5</v>
      </c>
    </row>
    <row r="1191">
      <c r="A1191" s="46" t="s">
        <v>17</v>
      </c>
      <c r="B1191" s="46" t="s">
        <v>15</v>
      </c>
      <c r="C1191" s="48">
        <v>121.1</v>
      </c>
      <c r="D1191" s="49"/>
      <c r="E1191" s="48">
        <v>121.1</v>
      </c>
    </row>
    <row r="1192">
      <c r="A1192" s="46" t="s">
        <v>17</v>
      </c>
      <c r="B1192" s="46" t="s">
        <v>15</v>
      </c>
      <c r="C1192" s="48">
        <v>137.1</v>
      </c>
      <c r="D1192" s="49"/>
      <c r="E1192" s="48">
        <v>137.1</v>
      </c>
    </row>
    <row r="1193">
      <c r="A1193" s="46" t="s">
        <v>17</v>
      </c>
      <c r="B1193" s="46" t="s">
        <v>15</v>
      </c>
      <c r="C1193" s="48">
        <v>103.1</v>
      </c>
      <c r="D1193" s="49"/>
      <c r="E1193" s="48">
        <v>103.1</v>
      </c>
    </row>
    <row r="1194">
      <c r="A1194" s="46" t="s">
        <v>17</v>
      </c>
      <c r="B1194" s="46" t="s">
        <v>15</v>
      </c>
      <c r="C1194" s="48">
        <v>129.4</v>
      </c>
      <c r="D1194" s="49"/>
      <c r="E1194" s="48">
        <v>129.4</v>
      </c>
    </row>
    <row r="1195">
      <c r="A1195" s="46" t="s">
        <v>17</v>
      </c>
      <c r="B1195" s="46" t="s">
        <v>15</v>
      </c>
      <c r="C1195" s="48">
        <v>127.6</v>
      </c>
      <c r="D1195" s="49"/>
      <c r="E1195" s="48">
        <v>127.6</v>
      </c>
    </row>
    <row r="1196">
      <c r="A1196" s="46" t="s">
        <v>17</v>
      </c>
      <c r="B1196" s="46" t="s">
        <v>13</v>
      </c>
      <c r="C1196" s="49"/>
      <c r="D1196" s="48">
        <v>100.4</v>
      </c>
      <c r="E1196" s="48">
        <v>100.4</v>
      </c>
    </row>
    <row r="1197">
      <c r="A1197" s="46" t="s">
        <v>17</v>
      </c>
      <c r="B1197" s="46" t="s">
        <v>15</v>
      </c>
      <c r="C1197" s="48">
        <v>97.7</v>
      </c>
      <c r="D1197" s="49"/>
      <c r="E1197" s="48">
        <v>97.7</v>
      </c>
    </row>
    <row r="1198">
      <c r="A1198" s="46" t="s">
        <v>17</v>
      </c>
      <c r="B1198" s="46" t="s">
        <v>13</v>
      </c>
      <c r="C1198" s="49"/>
      <c r="D1198" s="48">
        <v>100.4</v>
      </c>
      <c r="E1198" s="48">
        <v>100.4</v>
      </c>
    </row>
    <row r="1199">
      <c r="A1199" s="46" t="s">
        <v>17</v>
      </c>
      <c r="B1199" s="46" t="s">
        <v>15</v>
      </c>
      <c r="C1199" s="48">
        <v>114.4</v>
      </c>
      <c r="D1199" s="49"/>
      <c r="E1199" s="48">
        <v>114.4</v>
      </c>
    </row>
    <row r="1200">
      <c r="A1200" s="46" t="s">
        <v>17</v>
      </c>
      <c r="B1200" s="46" t="s">
        <v>14</v>
      </c>
      <c r="C1200" s="48">
        <v>118.4</v>
      </c>
      <c r="D1200" s="48">
        <v>103.6</v>
      </c>
      <c r="E1200" s="48">
        <v>116.4</v>
      </c>
    </row>
    <row r="1201">
      <c r="A1201" s="46" t="s">
        <v>17</v>
      </c>
      <c r="B1201" s="46" t="s">
        <v>13</v>
      </c>
      <c r="C1201" s="49"/>
      <c r="D1201" s="48">
        <v>120.4</v>
      </c>
      <c r="E1201" s="48">
        <v>120.4</v>
      </c>
    </row>
    <row r="1202">
      <c r="A1202" s="46" t="s">
        <v>17</v>
      </c>
      <c r="B1202" s="46" t="s">
        <v>15</v>
      </c>
      <c r="C1202" s="48">
        <v>115.6</v>
      </c>
      <c r="D1202" s="49"/>
      <c r="E1202" s="48">
        <v>115.6</v>
      </c>
    </row>
    <row r="1203">
      <c r="A1203" s="46" t="s">
        <v>17</v>
      </c>
      <c r="B1203" s="46" t="s">
        <v>15</v>
      </c>
      <c r="C1203" s="48">
        <v>126.1</v>
      </c>
      <c r="D1203" s="49"/>
      <c r="E1203" s="48">
        <v>126.1</v>
      </c>
    </row>
    <row r="1204">
      <c r="A1204" s="46" t="s">
        <v>17</v>
      </c>
      <c r="B1204" s="46" t="s">
        <v>15</v>
      </c>
      <c r="C1204" s="48">
        <v>127.7</v>
      </c>
      <c r="D1204" s="49"/>
      <c r="E1204" s="48">
        <v>127.7</v>
      </c>
    </row>
    <row r="1205">
      <c r="A1205" s="46" t="s">
        <v>17</v>
      </c>
      <c r="B1205" s="46" t="s">
        <v>13</v>
      </c>
      <c r="C1205" s="49"/>
      <c r="D1205" s="48">
        <v>80.9</v>
      </c>
      <c r="E1205" s="48">
        <v>80.9</v>
      </c>
    </row>
    <row r="1206">
      <c r="A1206" s="46" t="s">
        <v>18</v>
      </c>
      <c r="B1206" s="46" t="s">
        <v>14</v>
      </c>
      <c r="C1206" s="48">
        <v>107.2</v>
      </c>
      <c r="D1206" s="48">
        <v>77.8</v>
      </c>
      <c r="E1206" s="48">
        <v>102.1</v>
      </c>
    </row>
    <row r="1207">
      <c r="A1207" s="46" t="s">
        <v>18</v>
      </c>
      <c r="B1207" s="46" t="s">
        <v>14</v>
      </c>
      <c r="C1207" s="48">
        <v>123.8</v>
      </c>
      <c r="D1207" s="48">
        <v>93.7</v>
      </c>
      <c r="E1207" s="48">
        <v>121.6</v>
      </c>
    </row>
    <row r="1208">
      <c r="A1208" s="46" t="s">
        <v>18</v>
      </c>
      <c r="B1208" s="46" t="s">
        <v>13</v>
      </c>
      <c r="C1208" s="49"/>
      <c r="D1208" s="48">
        <v>83.9</v>
      </c>
      <c r="E1208" s="48">
        <v>83.9</v>
      </c>
    </row>
    <row r="1209">
      <c r="A1209" s="46" t="s">
        <v>18</v>
      </c>
      <c r="B1209" s="46" t="s">
        <v>15</v>
      </c>
      <c r="C1209" s="48">
        <v>120.1</v>
      </c>
      <c r="D1209" s="49"/>
      <c r="E1209" s="48">
        <v>120.1</v>
      </c>
    </row>
    <row r="1210">
      <c r="A1210" s="46" t="s">
        <v>18</v>
      </c>
      <c r="B1210" s="46" t="s">
        <v>13</v>
      </c>
      <c r="C1210" s="49"/>
      <c r="D1210" s="48">
        <v>80.2</v>
      </c>
      <c r="E1210" s="48">
        <v>80.2</v>
      </c>
    </row>
    <row r="1211">
      <c r="A1211" s="46" t="s">
        <v>18</v>
      </c>
      <c r="B1211" s="46" t="s">
        <v>15</v>
      </c>
      <c r="C1211" s="48">
        <v>102.2</v>
      </c>
      <c r="D1211" s="49"/>
      <c r="E1211" s="48">
        <v>102.2</v>
      </c>
    </row>
    <row r="1212">
      <c r="A1212" s="46" t="s">
        <v>18</v>
      </c>
      <c r="B1212" s="46" t="s">
        <v>13</v>
      </c>
      <c r="C1212" s="49"/>
      <c r="D1212" s="48">
        <v>96.5</v>
      </c>
      <c r="E1212" s="48">
        <v>96.5</v>
      </c>
    </row>
    <row r="1213">
      <c r="A1213" s="46" t="s">
        <v>18</v>
      </c>
      <c r="B1213" s="46" t="s">
        <v>13</v>
      </c>
      <c r="C1213" s="49"/>
      <c r="D1213" s="48">
        <v>72.3</v>
      </c>
      <c r="E1213" s="48">
        <v>72.3</v>
      </c>
    </row>
    <row r="1214">
      <c r="A1214" s="46" t="s">
        <v>18</v>
      </c>
      <c r="B1214" s="46" t="s">
        <v>13</v>
      </c>
      <c r="C1214" s="49"/>
      <c r="D1214" s="48">
        <v>73.0</v>
      </c>
      <c r="E1214" s="48">
        <v>73.0</v>
      </c>
    </row>
    <row r="1215">
      <c r="A1215" s="46" t="s">
        <v>18</v>
      </c>
      <c r="B1215" s="46" t="s">
        <v>13</v>
      </c>
      <c r="C1215" s="49"/>
      <c r="D1215" s="48">
        <v>77.5</v>
      </c>
      <c r="E1215" s="48">
        <v>77.5</v>
      </c>
    </row>
    <row r="1216">
      <c r="A1216" s="46" t="s">
        <v>18</v>
      </c>
      <c r="B1216" s="46" t="s">
        <v>14</v>
      </c>
      <c r="C1216" s="48">
        <v>108.9</v>
      </c>
      <c r="D1216" s="48">
        <v>84.8</v>
      </c>
      <c r="E1216" s="48">
        <v>99.9</v>
      </c>
    </row>
    <row r="1217">
      <c r="A1217" s="46" t="s">
        <v>18</v>
      </c>
      <c r="B1217" s="46" t="s">
        <v>15</v>
      </c>
      <c r="C1217" s="48">
        <v>111.9</v>
      </c>
      <c r="D1217" s="49"/>
      <c r="E1217" s="48">
        <v>111.9</v>
      </c>
    </row>
    <row r="1218">
      <c r="A1218" s="46" t="s">
        <v>18</v>
      </c>
      <c r="B1218" s="46" t="s">
        <v>15</v>
      </c>
      <c r="C1218" s="48">
        <v>113.2</v>
      </c>
      <c r="D1218" s="49"/>
      <c r="E1218" s="48">
        <v>113.2</v>
      </c>
    </row>
    <row r="1219">
      <c r="A1219" s="46" t="s">
        <v>18</v>
      </c>
      <c r="B1219" s="46" t="s">
        <v>13</v>
      </c>
      <c r="C1219" s="49"/>
      <c r="D1219" s="48">
        <v>92.7</v>
      </c>
      <c r="E1219" s="48">
        <v>92.7</v>
      </c>
    </row>
    <row r="1220">
      <c r="A1220" s="46" t="s">
        <v>18</v>
      </c>
      <c r="B1220" s="46" t="s">
        <v>15</v>
      </c>
      <c r="C1220" s="48">
        <v>123.2</v>
      </c>
      <c r="D1220" s="49"/>
      <c r="E1220" s="48">
        <v>123.2</v>
      </c>
    </row>
    <row r="1221">
      <c r="A1221" s="46" t="s">
        <v>18</v>
      </c>
      <c r="B1221" s="46" t="s">
        <v>13</v>
      </c>
      <c r="C1221" s="49"/>
      <c r="D1221" s="48">
        <v>91.3</v>
      </c>
      <c r="E1221" s="48">
        <v>91.3</v>
      </c>
    </row>
    <row r="1222">
      <c r="A1222" s="46" t="s">
        <v>18</v>
      </c>
      <c r="B1222" s="46" t="s">
        <v>15</v>
      </c>
      <c r="C1222" s="48">
        <v>102.4</v>
      </c>
      <c r="D1222" s="49"/>
      <c r="E1222" s="48">
        <v>102.4</v>
      </c>
    </row>
    <row r="1223">
      <c r="A1223" s="46" t="s">
        <v>18</v>
      </c>
      <c r="B1223" s="46" t="s">
        <v>13</v>
      </c>
      <c r="C1223" s="49"/>
      <c r="D1223" s="48">
        <v>95.7</v>
      </c>
      <c r="E1223" s="48">
        <v>95.7</v>
      </c>
    </row>
    <row r="1224">
      <c r="A1224" s="46" t="s">
        <v>18</v>
      </c>
      <c r="B1224" s="46" t="s">
        <v>13</v>
      </c>
      <c r="C1224" s="49"/>
      <c r="D1224" s="48">
        <v>88.3</v>
      </c>
      <c r="E1224" s="48">
        <v>88.3</v>
      </c>
    </row>
    <row r="1225">
      <c r="A1225" s="46" t="s">
        <v>18</v>
      </c>
      <c r="B1225" s="46" t="s">
        <v>14</v>
      </c>
      <c r="C1225" s="48">
        <v>114.4</v>
      </c>
      <c r="D1225" s="48">
        <v>78.9</v>
      </c>
      <c r="E1225" s="48">
        <v>101.3</v>
      </c>
    </row>
    <row r="1226">
      <c r="A1226" s="46" t="s">
        <v>18</v>
      </c>
      <c r="B1226" s="46" t="s">
        <v>14</v>
      </c>
      <c r="C1226" s="48">
        <v>109.6</v>
      </c>
      <c r="D1226" s="48">
        <v>92.9</v>
      </c>
      <c r="E1226" s="48">
        <v>106.4</v>
      </c>
    </row>
    <row r="1227">
      <c r="A1227" s="46" t="s">
        <v>18</v>
      </c>
      <c r="B1227" s="46" t="s">
        <v>13</v>
      </c>
      <c r="C1227" s="49"/>
      <c r="D1227" s="48">
        <v>74.0</v>
      </c>
      <c r="E1227" s="48">
        <v>74.0</v>
      </c>
    </row>
    <row r="1228">
      <c r="A1228" s="46" t="s">
        <v>18</v>
      </c>
      <c r="B1228" s="46" t="s">
        <v>14</v>
      </c>
      <c r="C1228" s="48">
        <v>110.5</v>
      </c>
      <c r="D1228" s="48">
        <v>78.2</v>
      </c>
      <c r="E1228" s="48">
        <v>99.3</v>
      </c>
    </row>
    <row r="1229">
      <c r="A1229" s="46" t="s">
        <v>18</v>
      </c>
      <c r="B1229" s="46" t="s">
        <v>13</v>
      </c>
      <c r="C1229" s="49"/>
      <c r="D1229" s="48">
        <v>79.3</v>
      </c>
      <c r="E1229" s="48">
        <v>79.3</v>
      </c>
    </row>
    <row r="1230">
      <c r="A1230" s="46" t="s">
        <v>18</v>
      </c>
      <c r="B1230" s="46" t="s">
        <v>14</v>
      </c>
      <c r="C1230" s="48">
        <v>111.3</v>
      </c>
      <c r="D1230" s="48">
        <v>90.8</v>
      </c>
      <c r="E1230" s="48">
        <v>108.1</v>
      </c>
    </row>
    <row r="1231">
      <c r="A1231" s="46" t="s">
        <v>18</v>
      </c>
      <c r="B1231" s="46" t="s">
        <v>14</v>
      </c>
      <c r="C1231" s="48">
        <v>104.3</v>
      </c>
      <c r="D1231" s="48">
        <v>78.6</v>
      </c>
      <c r="E1231" s="48">
        <v>97.4</v>
      </c>
    </row>
    <row r="1232">
      <c r="A1232" s="46" t="s">
        <v>18</v>
      </c>
      <c r="B1232" s="46" t="s">
        <v>15</v>
      </c>
      <c r="C1232" s="48">
        <v>106.7</v>
      </c>
      <c r="D1232" s="49"/>
      <c r="E1232" s="48">
        <v>106.7</v>
      </c>
    </row>
    <row r="1233">
      <c r="A1233" s="46" t="s">
        <v>18</v>
      </c>
      <c r="B1233" s="46" t="s">
        <v>15</v>
      </c>
      <c r="C1233" s="48">
        <v>114.2</v>
      </c>
      <c r="D1233" s="49"/>
      <c r="E1233" s="48">
        <v>114.2</v>
      </c>
    </row>
    <row r="1234">
      <c r="A1234" s="46" t="s">
        <v>18</v>
      </c>
      <c r="B1234" s="46" t="s">
        <v>15</v>
      </c>
      <c r="C1234" s="48">
        <v>121.9</v>
      </c>
      <c r="D1234" s="49"/>
      <c r="E1234" s="48">
        <v>121.9</v>
      </c>
    </row>
    <row r="1235">
      <c r="A1235" s="46" t="s">
        <v>18</v>
      </c>
      <c r="B1235" s="46" t="s">
        <v>13</v>
      </c>
      <c r="C1235" s="49"/>
      <c r="D1235" s="48">
        <v>84.8</v>
      </c>
      <c r="E1235" s="48">
        <v>84.8</v>
      </c>
    </row>
    <row r="1236">
      <c r="A1236" s="46" t="s">
        <v>18</v>
      </c>
      <c r="B1236" s="46" t="s">
        <v>13</v>
      </c>
      <c r="C1236" s="49"/>
      <c r="D1236" s="48">
        <v>95.5</v>
      </c>
      <c r="E1236" s="48">
        <v>95.5</v>
      </c>
    </row>
    <row r="1237">
      <c r="A1237" s="46" t="s">
        <v>18</v>
      </c>
      <c r="B1237" s="46" t="s">
        <v>15</v>
      </c>
      <c r="C1237" s="48">
        <v>94.1</v>
      </c>
      <c r="D1237" s="49"/>
      <c r="E1237" s="48">
        <v>94.1</v>
      </c>
    </row>
    <row r="1238">
      <c r="A1238" s="46" t="s">
        <v>18</v>
      </c>
      <c r="B1238" s="46" t="s">
        <v>14</v>
      </c>
      <c r="C1238" s="48">
        <v>81.9</v>
      </c>
      <c r="D1238" s="48">
        <v>67.2</v>
      </c>
      <c r="E1238" s="48">
        <v>78.0</v>
      </c>
    </row>
    <row r="1239">
      <c r="A1239" s="46" t="s">
        <v>18</v>
      </c>
      <c r="B1239" s="46" t="s">
        <v>15</v>
      </c>
      <c r="C1239" s="48">
        <v>82.8</v>
      </c>
      <c r="D1239" s="49"/>
      <c r="E1239" s="48">
        <v>82.8</v>
      </c>
    </row>
    <row r="1240">
      <c r="A1240" s="46" t="s">
        <v>18</v>
      </c>
      <c r="B1240" s="46" t="s">
        <v>14</v>
      </c>
      <c r="C1240" s="48">
        <v>101.7</v>
      </c>
      <c r="D1240" s="48">
        <v>77.0</v>
      </c>
      <c r="E1240" s="48">
        <v>97.4</v>
      </c>
    </row>
    <row r="1241">
      <c r="A1241" s="46" t="s">
        <v>18</v>
      </c>
      <c r="B1241" s="46" t="s">
        <v>13</v>
      </c>
      <c r="C1241" s="49"/>
      <c r="D1241" s="48">
        <v>70.7</v>
      </c>
      <c r="E1241" s="48">
        <v>70.7</v>
      </c>
    </row>
    <row r="1242">
      <c r="A1242" s="46" t="s">
        <v>18</v>
      </c>
      <c r="B1242" s="46" t="s">
        <v>14</v>
      </c>
      <c r="C1242" s="48">
        <v>107.2</v>
      </c>
      <c r="D1242" s="48">
        <v>86.4</v>
      </c>
      <c r="E1242" s="48">
        <v>105.1</v>
      </c>
    </row>
    <row r="1243">
      <c r="A1243" s="46" t="s">
        <v>18</v>
      </c>
      <c r="B1243" s="46" t="s">
        <v>13</v>
      </c>
      <c r="C1243" s="49"/>
      <c r="D1243" s="48">
        <v>81.2</v>
      </c>
      <c r="E1243" s="48">
        <v>81.2</v>
      </c>
    </row>
    <row r="1244">
      <c r="A1244" s="46" t="s">
        <v>18</v>
      </c>
      <c r="B1244" s="46" t="s">
        <v>14</v>
      </c>
      <c r="C1244" s="48">
        <v>121.5</v>
      </c>
      <c r="D1244" s="48">
        <v>92.5</v>
      </c>
      <c r="E1244" s="48">
        <v>118.8</v>
      </c>
    </row>
    <row r="1245">
      <c r="A1245" s="46" t="s">
        <v>18</v>
      </c>
      <c r="B1245" s="46" t="s">
        <v>14</v>
      </c>
      <c r="C1245" s="48">
        <v>96.8</v>
      </c>
      <c r="D1245" s="48">
        <v>72.2</v>
      </c>
      <c r="E1245" s="48">
        <v>95.0</v>
      </c>
    </row>
    <row r="1246">
      <c r="A1246" s="46" t="s">
        <v>18</v>
      </c>
      <c r="B1246" s="46" t="s">
        <v>14</v>
      </c>
      <c r="C1246" s="48">
        <v>98.9</v>
      </c>
      <c r="D1246" s="48">
        <v>83.3</v>
      </c>
      <c r="E1246" s="48">
        <v>85.6</v>
      </c>
    </row>
    <row r="1247">
      <c r="A1247" s="46" t="s">
        <v>18</v>
      </c>
      <c r="B1247" s="46" t="s">
        <v>13</v>
      </c>
      <c r="C1247" s="49"/>
      <c r="D1247" s="48">
        <v>81.9</v>
      </c>
      <c r="E1247" s="48">
        <v>81.9</v>
      </c>
    </row>
    <row r="1248">
      <c r="A1248" s="46" t="s">
        <v>18</v>
      </c>
      <c r="B1248" s="46" t="s">
        <v>15</v>
      </c>
      <c r="C1248" s="48">
        <v>105.4</v>
      </c>
      <c r="D1248" s="49"/>
      <c r="E1248" s="48">
        <v>105.4</v>
      </c>
    </row>
    <row r="1249">
      <c r="A1249" s="46" t="s">
        <v>18</v>
      </c>
      <c r="B1249" s="46" t="s">
        <v>15</v>
      </c>
      <c r="C1249" s="48">
        <v>115.6</v>
      </c>
      <c r="D1249" s="49"/>
      <c r="E1249" s="48">
        <v>115.6</v>
      </c>
    </row>
    <row r="1250">
      <c r="A1250" s="46" t="s">
        <v>18</v>
      </c>
      <c r="B1250" s="46" t="s">
        <v>14</v>
      </c>
      <c r="C1250" s="48">
        <v>107.9</v>
      </c>
      <c r="D1250" s="48">
        <v>91.5</v>
      </c>
      <c r="E1250" s="48">
        <v>102.5</v>
      </c>
    </row>
    <row r="1251">
      <c r="A1251" s="46" t="s">
        <v>18</v>
      </c>
      <c r="B1251" s="46" t="s">
        <v>15</v>
      </c>
      <c r="C1251" s="48">
        <v>128.9</v>
      </c>
      <c r="D1251" s="49"/>
      <c r="E1251" s="48">
        <v>128.9</v>
      </c>
    </row>
    <row r="1252">
      <c r="A1252" s="46" t="s">
        <v>18</v>
      </c>
      <c r="B1252" s="46" t="s">
        <v>13</v>
      </c>
      <c r="C1252" s="49"/>
      <c r="D1252" s="48">
        <v>91.8</v>
      </c>
      <c r="E1252" s="48">
        <v>91.8</v>
      </c>
    </row>
    <row r="1253">
      <c r="A1253" s="46" t="s">
        <v>18</v>
      </c>
      <c r="B1253" s="46" t="s">
        <v>15</v>
      </c>
      <c r="C1253" s="48">
        <v>116.1</v>
      </c>
      <c r="D1253" s="49"/>
      <c r="E1253" s="48">
        <v>116.1</v>
      </c>
    </row>
    <row r="1254">
      <c r="A1254" s="46" t="s">
        <v>18</v>
      </c>
      <c r="B1254" s="46" t="s">
        <v>14</v>
      </c>
      <c r="C1254" s="48">
        <v>109.7</v>
      </c>
      <c r="D1254" s="48">
        <v>89.9</v>
      </c>
      <c r="E1254" s="48">
        <v>100.6</v>
      </c>
    </row>
    <row r="1255">
      <c r="A1255" s="46" t="s">
        <v>18</v>
      </c>
      <c r="B1255" s="46" t="s">
        <v>14</v>
      </c>
      <c r="C1255" s="48">
        <v>125.1</v>
      </c>
      <c r="D1255" s="48">
        <v>106.8</v>
      </c>
      <c r="E1255" s="48">
        <v>113.1</v>
      </c>
    </row>
    <row r="1256">
      <c r="A1256" s="46" t="s">
        <v>18</v>
      </c>
      <c r="B1256" s="46" t="s">
        <v>13</v>
      </c>
      <c r="C1256" s="49"/>
      <c r="D1256" s="48">
        <v>90.1</v>
      </c>
      <c r="E1256" s="48">
        <v>90.1</v>
      </c>
    </row>
    <row r="1257">
      <c r="A1257" s="46" t="s">
        <v>18</v>
      </c>
      <c r="B1257" s="46" t="s">
        <v>14</v>
      </c>
      <c r="C1257" s="48">
        <v>102.8</v>
      </c>
      <c r="D1257" s="48">
        <v>89.8</v>
      </c>
      <c r="E1257" s="48">
        <v>96.7</v>
      </c>
    </row>
    <row r="1258">
      <c r="A1258" s="46" t="s">
        <v>18</v>
      </c>
      <c r="B1258" s="46" t="s">
        <v>13</v>
      </c>
      <c r="C1258" s="49"/>
      <c r="D1258" s="48">
        <v>88.3</v>
      </c>
      <c r="E1258" s="48">
        <v>88.3</v>
      </c>
    </row>
    <row r="1259">
      <c r="A1259" s="46" t="s">
        <v>18</v>
      </c>
      <c r="B1259" s="46" t="s">
        <v>15</v>
      </c>
      <c r="C1259" s="48">
        <v>106.8</v>
      </c>
      <c r="D1259" s="49"/>
      <c r="E1259" s="48">
        <v>106.8</v>
      </c>
    </row>
    <row r="1260">
      <c r="A1260" s="46" t="s">
        <v>18</v>
      </c>
      <c r="B1260" s="46" t="s">
        <v>14</v>
      </c>
      <c r="C1260" s="48">
        <v>119.3</v>
      </c>
      <c r="D1260" s="48">
        <v>91.2</v>
      </c>
      <c r="E1260" s="48">
        <v>115.2</v>
      </c>
    </row>
    <row r="1261">
      <c r="A1261" s="46" t="s">
        <v>18</v>
      </c>
      <c r="B1261" s="46" t="s">
        <v>14</v>
      </c>
      <c r="C1261" s="48">
        <v>108.3</v>
      </c>
      <c r="D1261" s="48">
        <v>86.2</v>
      </c>
      <c r="E1261" s="48">
        <v>102.1</v>
      </c>
    </row>
    <row r="1262">
      <c r="A1262" s="46" t="s">
        <v>18</v>
      </c>
      <c r="B1262" s="46" t="s">
        <v>14</v>
      </c>
      <c r="C1262" s="48">
        <v>115.6</v>
      </c>
      <c r="D1262" s="48">
        <v>90.6</v>
      </c>
      <c r="E1262" s="48">
        <v>104.3</v>
      </c>
    </row>
    <row r="1263">
      <c r="A1263" s="46" t="s">
        <v>18</v>
      </c>
      <c r="B1263" s="46" t="s">
        <v>14</v>
      </c>
      <c r="C1263" s="48">
        <v>114.0</v>
      </c>
      <c r="D1263" s="48">
        <v>103.2</v>
      </c>
      <c r="E1263" s="48">
        <v>108.0</v>
      </c>
    </row>
    <row r="1264">
      <c r="A1264" s="46" t="s">
        <v>18</v>
      </c>
      <c r="B1264" s="46" t="s">
        <v>14</v>
      </c>
      <c r="C1264" s="48">
        <v>111.6</v>
      </c>
      <c r="D1264" s="48">
        <v>82.6</v>
      </c>
      <c r="E1264" s="48">
        <v>103.8</v>
      </c>
    </row>
    <row r="1265">
      <c r="A1265" s="46" t="s">
        <v>18</v>
      </c>
      <c r="B1265" s="46" t="s">
        <v>15</v>
      </c>
      <c r="C1265" s="48">
        <v>119.7</v>
      </c>
      <c r="D1265" s="49"/>
      <c r="E1265" s="48">
        <v>119.7</v>
      </c>
    </row>
    <row r="1266">
      <c r="A1266" s="46" t="s">
        <v>18</v>
      </c>
      <c r="B1266" s="46" t="s">
        <v>13</v>
      </c>
      <c r="C1266" s="49"/>
      <c r="D1266" s="48">
        <v>95.2</v>
      </c>
      <c r="E1266" s="48">
        <v>95.2</v>
      </c>
    </row>
    <row r="1267">
      <c r="A1267" s="46" t="s">
        <v>18</v>
      </c>
      <c r="B1267" s="46" t="s">
        <v>13</v>
      </c>
      <c r="C1267" s="49"/>
      <c r="D1267" s="48">
        <v>95.6</v>
      </c>
      <c r="E1267" s="48">
        <v>95.6</v>
      </c>
    </row>
    <row r="1268">
      <c r="A1268" s="46" t="s">
        <v>18</v>
      </c>
      <c r="B1268" s="46" t="s">
        <v>15</v>
      </c>
      <c r="C1268" s="48">
        <v>114.2</v>
      </c>
      <c r="D1268" s="49"/>
      <c r="E1268" s="48">
        <v>114.2</v>
      </c>
    </row>
    <row r="1269">
      <c r="A1269" s="46" t="s">
        <v>18</v>
      </c>
      <c r="B1269" s="46" t="s">
        <v>15</v>
      </c>
      <c r="C1269" s="48">
        <v>107.9</v>
      </c>
      <c r="D1269" s="49"/>
      <c r="E1269" s="48">
        <v>107.9</v>
      </c>
    </row>
    <row r="1270">
      <c r="A1270" s="46" t="s">
        <v>18</v>
      </c>
      <c r="B1270" s="46" t="s">
        <v>14</v>
      </c>
      <c r="C1270" s="48">
        <v>109.1</v>
      </c>
      <c r="D1270" s="48">
        <v>84.9</v>
      </c>
      <c r="E1270" s="48">
        <v>103.2</v>
      </c>
    </row>
    <row r="1271">
      <c r="A1271" s="46" t="s">
        <v>18</v>
      </c>
      <c r="B1271" s="46" t="s">
        <v>14</v>
      </c>
      <c r="C1271" s="48">
        <v>108.9</v>
      </c>
      <c r="D1271" s="48">
        <v>85.4</v>
      </c>
      <c r="E1271" s="48">
        <v>104.2</v>
      </c>
    </row>
    <row r="1272">
      <c r="A1272" s="46" t="s">
        <v>18</v>
      </c>
      <c r="B1272" s="46" t="s">
        <v>13</v>
      </c>
      <c r="C1272" s="49"/>
      <c r="D1272" s="48">
        <v>88.3</v>
      </c>
      <c r="E1272" s="48">
        <v>88.3</v>
      </c>
    </row>
    <row r="1273">
      <c r="A1273" s="46" t="s">
        <v>18</v>
      </c>
      <c r="B1273" s="46" t="s">
        <v>14</v>
      </c>
      <c r="C1273" s="48">
        <v>111.6</v>
      </c>
      <c r="D1273" s="48">
        <v>88.7</v>
      </c>
      <c r="E1273" s="48">
        <v>108.3</v>
      </c>
    </row>
    <row r="1274">
      <c r="A1274" s="46" t="s">
        <v>18</v>
      </c>
      <c r="B1274" s="46" t="s">
        <v>14</v>
      </c>
      <c r="C1274" s="48">
        <v>124.5</v>
      </c>
      <c r="D1274" s="48">
        <v>81.0</v>
      </c>
      <c r="E1274" s="48">
        <v>115.4</v>
      </c>
    </row>
    <row r="1275">
      <c r="A1275" s="46" t="s">
        <v>18</v>
      </c>
      <c r="B1275" s="46" t="s">
        <v>14</v>
      </c>
      <c r="C1275" s="48">
        <v>106.3</v>
      </c>
      <c r="D1275" s="48">
        <v>80.8</v>
      </c>
      <c r="E1275" s="48">
        <v>99.0</v>
      </c>
    </row>
    <row r="1276">
      <c r="A1276" s="46" t="s">
        <v>18</v>
      </c>
      <c r="B1276" s="46" t="s">
        <v>15</v>
      </c>
      <c r="C1276" s="48">
        <v>118.5</v>
      </c>
      <c r="D1276" s="49"/>
      <c r="E1276" s="48">
        <v>118.5</v>
      </c>
    </row>
    <row r="1277">
      <c r="A1277" s="46" t="s">
        <v>18</v>
      </c>
      <c r="B1277" s="46" t="s">
        <v>14</v>
      </c>
      <c r="C1277" s="48">
        <v>100.5</v>
      </c>
      <c r="D1277" s="48">
        <v>88.0</v>
      </c>
      <c r="E1277" s="48">
        <v>95.3</v>
      </c>
    </row>
    <row r="1278">
      <c r="A1278" s="46" t="s">
        <v>18</v>
      </c>
      <c r="B1278" s="46" t="s">
        <v>15</v>
      </c>
      <c r="C1278" s="48">
        <v>104.8</v>
      </c>
      <c r="D1278" s="49"/>
      <c r="E1278" s="48">
        <v>104.8</v>
      </c>
    </row>
    <row r="1279">
      <c r="A1279" s="46" t="s">
        <v>18</v>
      </c>
      <c r="B1279" s="46" t="s">
        <v>14</v>
      </c>
      <c r="C1279" s="48">
        <v>111.1</v>
      </c>
      <c r="D1279" s="48">
        <v>81.8</v>
      </c>
      <c r="E1279" s="48">
        <v>107.2</v>
      </c>
    </row>
    <row r="1280">
      <c r="A1280" s="46" t="s">
        <v>18</v>
      </c>
      <c r="B1280" s="46" t="s">
        <v>13</v>
      </c>
      <c r="C1280" s="49"/>
      <c r="D1280" s="48">
        <v>86.3</v>
      </c>
      <c r="E1280" s="48">
        <v>86.3</v>
      </c>
    </row>
    <row r="1281">
      <c r="A1281" s="46" t="s">
        <v>18</v>
      </c>
      <c r="B1281" s="46" t="s">
        <v>14</v>
      </c>
      <c r="C1281" s="48">
        <v>99.3</v>
      </c>
      <c r="D1281" s="48">
        <v>85.6</v>
      </c>
      <c r="E1281" s="48">
        <v>86.9</v>
      </c>
    </row>
    <row r="1282">
      <c r="A1282" s="46" t="s">
        <v>18</v>
      </c>
      <c r="B1282" s="46" t="s">
        <v>15</v>
      </c>
      <c r="C1282" s="48">
        <v>128.0</v>
      </c>
      <c r="D1282" s="49"/>
      <c r="E1282" s="48">
        <v>128.0</v>
      </c>
    </row>
    <row r="1283">
      <c r="A1283" s="46" t="s">
        <v>18</v>
      </c>
      <c r="B1283" s="46" t="s">
        <v>13</v>
      </c>
      <c r="C1283" s="49"/>
      <c r="D1283" s="48">
        <v>82.5</v>
      </c>
      <c r="E1283" s="48">
        <v>82.5</v>
      </c>
    </row>
    <row r="1284">
      <c r="A1284" s="46" t="s">
        <v>18</v>
      </c>
      <c r="B1284" s="46" t="s">
        <v>14</v>
      </c>
      <c r="C1284" s="48">
        <v>113.2</v>
      </c>
      <c r="D1284" s="48">
        <v>83.3</v>
      </c>
      <c r="E1284" s="48">
        <v>107.9</v>
      </c>
    </row>
    <row r="1285">
      <c r="A1285" s="46" t="s">
        <v>18</v>
      </c>
      <c r="B1285" s="46" t="s">
        <v>15</v>
      </c>
      <c r="C1285" s="48">
        <v>123.7</v>
      </c>
      <c r="D1285" s="49"/>
      <c r="E1285" s="48">
        <v>123.7</v>
      </c>
    </row>
    <row r="1286">
      <c r="A1286" s="46" t="s">
        <v>18</v>
      </c>
      <c r="B1286" s="46" t="s">
        <v>15</v>
      </c>
      <c r="C1286" s="48">
        <v>126.3</v>
      </c>
      <c r="D1286" s="49"/>
      <c r="E1286" s="48">
        <v>126.3</v>
      </c>
    </row>
    <row r="1287">
      <c r="A1287" s="46" t="s">
        <v>18</v>
      </c>
      <c r="B1287" s="46" t="s">
        <v>14</v>
      </c>
      <c r="C1287" s="48">
        <v>107.8</v>
      </c>
      <c r="D1287" s="48">
        <v>85.9</v>
      </c>
      <c r="E1287" s="48">
        <v>98.9</v>
      </c>
    </row>
    <row r="1288">
      <c r="A1288" s="46" t="s">
        <v>18</v>
      </c>
      <c r="B1288" s="46" t="s">
        <v>15</v>
      </c>
      <c r="C1288" s="48">
        <v>110.8</v>
      </c>
      <c r="D1288" s="49"/>
      <c r="E1288" s="48">
        <v>110.8</v>
      </c>
    </row>
    <row r="1289">
      <c r="A1289" s="46" t="s">
        <v>18</v>
      </c>
      <c r="B1289" s="46" t="s">
        <v>14</v>
      </c>
      <c r="C1289" s="48">
        <v>121.2</v>
      </c>
      <c r="D1289" s="48">
        <v>94.3</v>
      </c>
      <c r="E1289" s="48">
        <v>112.6</v>
      </c>
    </row>
    <row r="1290">
      <c r="A1290" s="46" t="s">
        <v>18</v>
      </c>
      <c r="B1290" s="46" t="s">
        <v>15</v>
      </c>
      <c r="C1290" s="48">
        <v>119.3</v>
      </c>
      <c r="D1290" s="49"/>
      <c r="E1290" s="48">
        <v>119.3</v>
      </c>
    </row>
    <row r="1291">
      <c r="A1291" s="46" t="s">
        <v>18</v>
      </c>
      <c r="B1291" s="46" t="s">
        <v>15</v>
      </c>
      <c r="C1291" s="48">
        <v>101.6</v>
      </c>
      <c r="D1291" s="49"/>
      <c r="E1291" s="48">
        <v>101.6</v>
      </c>
    </row>
    <row r="1292">
      <c r="A1292" s="46" t="s">
        <v>18</v>
      </c>
      <c r="B1292" s="46" t="s">
        <v>13</v>
      </c>
      <c r="C1292" s="49"/>
      <c r="D1292" s="48">
        <v>83.5</v>
      </c>
      <c r="E1292" s="48">
        <v>83.5</v>
      </c>
    </row>
    <row r="1293">
      <c r="A1293" s="46" t="s">
        <v>18</v>
      </c>
      <c r="B1293" s="46" t="s">
        <v>13</v>
      </c>
      <c r="C1293" s="49"/>
      <c r="D1293" s="48">
        <v>78.2</v>
      </c>
      <c r="E1293" s="48">
        <v>78.2</v>
      </c>
    </row>
    <row r="1294">
      <c r="A1294" s="46" t="s">
        <v>18</v>
      </c>
      <c r="B1294" s="46" t="s">
        <v>15</v>
      </c>
      <c r="C1294" s="48">
        <v>110.1</v>
      </c>
      <c r="D1294" s="49"/>
      <c r="E1294" s="48">
        <v>110.1</v>
      </c>
    </row>
    <row r="1295">
      <c r="A1295" s="46" t="s">
        <v>18</v>
      </c>
      <c r="B1295" s="46" t="s">
        <v>13</v>
      </c>
      <c r="C1295" s="49"/>
      <c r="D1295" s="48">
        <v>93.1</v>
      </c>
      <c r="E1295" s="48">
        <v>93.1</v>
      </c>
    </row>
    <row r="1296">
      <c r="A1296" s="46" t="s">
        <v>18</v>
      </c>
      <c r="B1296" s="46" t="s">
        <v>14</v>
      </c>
      <c r="C1296" s="48">
        <v>118.3</v>
      </c>
      <c r="D1296" s="48">
        <v>92.5</v>
      </c>
      <c r="E1296" s="48">
        <v>113.6</v>
      </c>
    </row>
    <row r="1297">
      <c r="A1297" s="46" t="s">
        <v>18</v>
      </c>
      <c r="B1297" s="46" t="s">
        <v>13</v>
      </c>
      <c r="C1297" s="49"/>
      <c r="D1297" s="48">
        <v>69.1</v>
      </c>
      <c r="E1297" s="48">
        <v>69.1</v>
      </c>
    </row>
    <row r="1298">
      <c r="A1298" s="46" t="s">
        <v>18</v>
      </c>
      <c r="B1298" s="46" t="s">
        <v>14</v>
      </c>
      <c r="C1298" s="48">
        <v>111.6</v>
      </c>
      <c r="D1298" s="48">
        <v>80.8</v>
      </c>
      <c r="E1298" s="48">
        <v>103.4</v>
      </c>
    </row>
    <row r="1299">
      <c r="A1299" s="46" t="s">
        <v>18</v>
      </c>
      <c r="B1299" s="46" t="s">
        <v>15</v>
      </c>
      <c r="C1299" s="48">
        <v>139.4</v>
      </c>
      <c r="D1299" s="49"/>
      <c r="E1299" s="48">
        <v>139.4</v>
      </c>
    </row>
    <row r="1300">
      <c r="A1300" s="46" t="s">
        <v>18</v>
      </c>
      <c r="B1300" s="46" t="s">
        <v>14</v>
      </c>
      <c r="C1300" s="48">
        <v>130.6</v>
      </c>
      <c r="D1300" s="48">
        <v>83.7</v>
      </c>
      <c r="E1300" s="48">
        <v>122.6</v>
      </c>
    </row>
    <row r="1301">
      <c r="A1301" s="46" t="s">
        <v>18</v>
      </c>
      <c r="B1301" s="46" t="s">
        <v>13</v>
      </c>
      <c r="C1301" s="49"/>
      <c r="D1301" s="48">
        <v>84.6</v>
      </c>
      <c r="E1301" s="48">
        <v>84.6</v>
      </c>
    </row>
    <row r="1302">
      <c r="A1302" s="46" t="s">
        <v>18</v>
      </c>
      <c r="B1302" s="46" t="s">
        <v>14</v>
      </c>
      <c r="C1302" s="48">
        <v>92.3</v>
      </c>
      <c r="D1302" s="48">
        <v>82.3</v>
      </c>
      <c r="E1302" s="48">
        <v>82.7</v>
      </c>
    </row>
    <row r="1303">
      <c r="A1303" s="46" t="s">
        <v>18</v>
      </c>
      <c r="B1303" s="46" t="s">
        <v>13</v>
      </c>
      <c r="C1303" s="49"/>
      <c r="D1303" s="48">
        <v>86.7</v>
      </c>
      <c r="E1303" s="48">
        <v>86.7</v>
      </c>
    </row>
    <row r="1304">
      <c r="A1304" s="46" t="s">
        <v>18</v>
      </c>
      <c r="B1304" s="46" t="s">
        <v>13</v>
      </c>
      <c r="C1304" s="49"/>
      <c r="D1304" s="48">
        <v>91.8</v>
      </c>
      <c r="E1304" s="48">
        <v>91.8</v>
      </c>
    </row>
    <row r="1305">
      <c r="A1305" s="46" t="s">
        <v>18</v>
      </c>
      <c r="B1305" s="46" t="s">
        <v>15</v>
      </c>
      <c r="C1305" s="48">
        <v>101.6</v>
      </c>
      <c r="D1305" s="49"/>
      <c r="E1305" s="48">
        <v>101.6</v>
      </c>
    </row>
    <row r="1306">
      <c r="A1306" s="46" t="s">
        <v>18</v>
      </c>
      <c r="B1306" s="46" t="s">
        <v>15</v>
      </c>
      <c r="C1306" s="48">
        <v>111.1</v>
      </c>
      <c r="D1306" s="49"/>
      <c r="E1306" s="48">
        <v>111.1</v>
      </c>
    </row>
    <row r="1307">
      <c r="A1307" s="46" t="s">
        <v>18</v>
      </c>
      <c r="B1307" s="46" t="s">
        <v>14</v>
      </c>
      <c r="C1307" s="48">
        <v>138.1</v>
      </c>
      <c r="D1307" s="48">
        <v>85.8</v>
      </c>
      <c r="E1307" s="48">
        <v>124.0</v>
      </c>
    </row>
    <row r="1308">
      <c r="A1308" s="46" t="s">
        <v>18</v>
      </c>
      <c r="B1308" s="46" t="s">
        <v>15</v>
      </c>
      <c r="C1308" s="48">
        <v>111.4</v>
      </c>
      <c r="D1308" s="49"/>
      <c r="E1308" s="48">
        <v>111.4</v>
      </c>
    </row>
    <row r="1309">
      <c r="A1309" s="46" t="s">
        <v>18</v>
      </c>
      <c r="B1309" s="46" t="s">
        <v>14</v>
      </c>
      <c r="C1309" s="48">
        <v>115.6</v>
      </c>
      <c r="D1309" s="48">
        <v>91.7</v>
      </c>
      <c r="E1309" s="48">
        <v>108.9</v>
      </c>
    </row>
    <row r="1310">
      <c r="A1310" s="46" t="s">
        <v>18</v>
      </c>
      <c r="B1310" s="46" t="s">
        <v>13</v>
      </c>
      <c r="C1310" s="49"/>
      <c r="D1310" s="48">
        <v>100.5</v>
      </c>
      <c r="E1310" s="48">
        <v>100.5</v>
      </c>
    </row>
    <row r="1311">
      <c r="A1311" s="46" t="s">
        <v>18</v>
      </c>
      <c r="B1311" s="46" t="s">
        <v>13</v>
      </c>
      <c r="C1311" s="49"/>
      <c r="D1311" s="48">
        <v>88.5</v>
      </c>
      <c r="E1311" s="48">
        <v>88.5</v>
      </c>
    </row>
    <row r="1312">
      <c r="A1312" s="46" t="s">
        <v>18</v>
      </c>
      <c r="B1312" s="46" t="s">
        <v>15</v>
      </c>
      <c r="C1312" s="48">
        <v>121.8</v>
      </c>
      <c r="D1312" s="49"/>
      <c r="E1312" s="48">
        <v>121.8</v>
      </c>
    </row>
    <row r="1313">
      <c r="A1313" s="46" t="s">
        <v>18</v>
      </c>
      <c r="B1313" s="46" t="s">
        <v>13</v>
      </c>
      <c r="C1313" s="49"/>
      <c r="D1313" s="48">
        <v>88.4</v>
      </c>
      <c r="E1313" s="48">
        <v>88.4</v>
      </c>
    </row>
    <row r="1314">
      <c r="A1314" s="46" t="s">
        <v>18</v>
      </c>
      <c r="B1314" s="46" t="s">
        <v>15</v>
      </c>
      <c r="C1314" s="48">
        <v>124.5</v>
      </c>
      <c r="D1314" s="49"/>
      <c r="E1314" s="48">
        <v>124.5</v>
      </c>
    </row>
    <row r="1315">
      <c r="A1315" s="46" t="s">
        <v>18</v>
      </c>
      <c r="B1315" s="46" t="s">
        <v>15</v>
      </c>
      <c r="C1315" s="48">
        <v>134.6</v>
      </c>
      <c r="D1315" s="49"/>
      <c r="E1315" s="48">
        <v>134.6</v>
      </c>
    </row>
    <row r="1316">
      <c r="A1316" s="46" t="s">
        <v>18</v>
      </c>
      <c r="B1316" s="46" t="s">
        <v>15</v>
      </c>
      <c r="C1316" s="48">
        <v>116.2</v>
      </c>
      <c r="D1316" s="49"/>
      <c r="E1316" s="48">
        <v>116.2</v>
      </c>
    </row>
    <row r="1317">
      <c r="A1317" s="46" t="s">
        <v>18</v>
      </c>
      <c r="B1317" s="46" t="s">
        <v>13</v>
      </c>
      <c r="C1317" s="49"/>
      <c r="D1317" s="48">
        <v>100.0</v>
      </c>
      <c r="E1317" s="48">
        <v>100.0</v>
      </c>
    </row>
    <row r="1318">
      <c r="A1318" s="46" t="s">
        <v>18</v>
      </c>
      <c r="B1318" s="46" t="s">
        <v>13</v>
      </c>
      <c r="C1318" s="49"/>
      <c r="D1318" s="48">
        <v>93.1</v>
      </c>
      <c r="E1318" s="48">
        <v>93.1</v>
      </c>
    </row>
    <row r="1319">
      <c r="A1319" s="46" t="s">
        <v>18</v>
      </c>
      <c r="B1319" s="46" t="s">
        <v>13</v>
      </c>
      <c r="C1319" s="49"/>
      <c r="D1319" s="48">
        <v>91.7</v>
      </c>
      <c r="E1319" s="48">
        <v>91.7</v>
      </c>
    </row>
    <row r="1320">
      <c r="A1320" s="46" t="s">
        <v>18</v>
      </c>
      <c r="B1320" s="46" t="s">
        <v>15</v>
      </c>
      <c r="C1320" s="48">
        <v>111.7</v>
      </c>
      <c r="D1320" s="49"/>
      <c r="E1320" s="48">
        <v>111.7</v>
      </c>
    </row>
    <row r="1321">
      <c r="A1321" s="46" t="s">
        <v>18</v>
      </c>
      <c r="B1321" s="46" t="s">
        <v>14</v>
      </c>
      <c r="C1321" s="48">
        <v>117.8</v>
      </c>
      <c r="D1321" s="48">
        <v>92.3</v>
      </c>
      <c r="E1321" s="48">
        <v>112.1</v>
      </c>
    </row>
    <row r="1322">
      <c r="A1322" s="46" t="s">
        <v>18</v>
      </c>
      <c r="B1322" s="46" t="s">
        <v>13</v>
      </c>
      <c r="C1322" s="49"/>
      <c r="D1322" s="48">
        <v>97.0</v>
      </c>
      <c r="E1322" s="48">
        <v>97.0</v>
      </c>
    </row>
    <row r="1323">
      <c r="A1323" s="46" t="s">
        <v>18</v>
      </c>
      <c r="B1323" s="46" t="s">
        <v>13</v>
      </c>
      <c r="C1323" s="49"/>
      <c r="D1323" s="48">
        <v>93.0</v>
      </c>
      <c r="E1323" s="48">
        <v>93.0</v>
      </c>
    </row>
    <row r="1324">
      <c r="A1324" s="46" t="s">
        <v>18</v>
      </c>
      <c r="B1324" s="46" t="s">
        <v>15</v>
      </c>
      <c r="C1324" s="48">
        <v>129.4</v>
      </c>
      <c r="D1324" s="49"/>
      <c r="E1324" s="48">
        <v>129.4</v>
      </c>
    </row>
    <row r="1325">
      <c r="A1325" s="46" t="s">
        <v>18</v>
      </c>
      <c r="B1325" s="46" t="s">
        <v>15</v>
      </c>
      <c r="C1325" s="48">
        <v>115.3</v>
      </c>
      <c r="D1325" s="49"/>
      <c r="E1325" s="48">
        <v>115.3</v>
      </c>
    </row>
    <row r="1326">
      <c r="A1326" s="46" t="s">
        <v>18</v>
      </c>
      <c r="B1326" s="46" t="s">
        <v>15</v>
      </c>
      <c r="C1326" s="48">
        <v>105.8</v>
      </c>
      <c r="D1326" s="49"/>
      <c r="E1326" s="48">
        <v>105.8</v>
      </c>
    </row>
    <row r="1327">
      <c r="A1327" s="46" t="s">
        <v>18</v>
      </c>
      <c r="B1327" s="46" t="s">
        <v>13</v>
      </c>
      <c r="C1327" s="49"/>
      <c r="D1327" s="48">
        <v>81.9</v>
      </c>
      <c r="E1327" s="48">
        <v>81.9</v>
      </c>
    </row>
    <row r="1328">
      <c r="A1328" s="46" t="s">
        <v>18</v>
      </c>
      <c r="B1328" s="46" t="s">
        <v>15</v>
      </c>
      <c r="C1328" s="48">
        <v>115.3</v>
      </c>
      <c r="D1328" s="49"/>
      <c r="E1328" s="48">
        <v>115.3</v>
      </c>
    </row>
    <row r="1329">
      <c r="A1329" s="46" t="s">
        <v>18</v>
      </c>
      <c r="B1329" s="46" t="s">
        <v>13</v>
      </c>
      <c r="C1329" s="49"/>
      <c r="D1329" s="48">
        <v>81.5</v>
      </c>
      <c r="E1329" s="48">
        <v>81.5</v>
      </c>
    </row>
    <row r="1330">
      <c r="A1330" s="46" t="s">
        <v>18</v>
      </c>
      <c r="B1330" s="46" t="s">
        <v>15</v>
      </c>
      <c r="C1330" s="48">
        <v>117.5</v>
      </c>
      <c r="D1330" s="49"/>
      <c r="E1330" s="48">
        <v>117.5</v>
      </c>
    </row>
    <row r="1331">
      <c r="A1331" s="46" t="s">
        <v>18</v>
      </c>
      <c r="B1331" s="46" t="s">
        <v>15</v>
      </c>
      <c r="C1331" s="48">
        <v>111.5</v>
      </c>
      <c r="D1331" s="49"/>
      <c r="E1331" s="48">
        <v>111.5</v>
      </c>
    </row>
    <row r="1332">
      <c r="A1332" s="46" t="s">
        <v>18</v>
      </c>
      <c r="B1332" s="46" t="s">
        <v>15</v>
      </c>
      <c r="C1332" s="48">
        <v>116.3</v>
      </c>
      <c r="D1332" s="49"/>
      <c r="E1332" s="48">
        <v>116.3</v>
      </c>
    </row>
    <row r="1333">
      <c r="A1333" s="46" t="s">
        <v>18</v>
      </c>
      <c r="B1333" s="46" t="s">
        <v>13</v>
      </c>
      <c r="C1333" s="49"/>
      <c r="D1333" s="48">
        <v>79.9</v>
      </c>
      <c r="E1333" s="48">
        <v>79.9</v>
      </c>
    </row>
    <row r="1334">
      <c r="A1334" s="46" t="s">
        <v>18</v>
      </c>
      <c r="B1334" s="46" t="s">
        <v>13</v>
      </c>
      <c r="C1334" s="49"/>
      <c r="D1334" s="48">
        <v>90.0</v>
      </c>
      <c r="E1334" s="48">
        <v>90.0</v>
      </c>
    </row>
    <row r="1335">
      <c r="A1335" s="46" t="s">
        <v>18</v>
      </c>
      <c r="B1335" s="46" t="s">
        <v>13</v>
      </c>
      <c r="C1335" s="49"/>
      <c r="D1335" s="48">
        <v>93.0</v>
      </c>
      <c r="E1335" s="48">
        <v>93.0</v>
      </c>
    </row>
    <row r="1336">
      <c r="A1336" s="46" t="s">
        <v>18</v>
      </c>
      <c r="B1336" s="46" t="s">
        <v>13</v>
      </c>
      <c r="C1336" s="49"/>
      <c r="D1336" s="48">
        <v>102.3</v>
      </c>
      <c r="E1336" s="48">
        <v>102.3</v>
      </c>
    </row>
    <row r="1337">
      <c r="A1337" s="46" t="s">
        <v>18</v>
      </c>
      <c r="B1337" s="46" t="s">
        <v>13</v>
      </c>
      <c r="C1337" s="49"/>
      <c r="D1337" s="48">
        <v>93.8</v>
      </c>
      <c r="E1337" s="48">
        <v>93.8</v>
      </c>
    </row>
    <row r="1338">
      <c r="A1338" s="46" t="s">
        <v>18</v>
      </c>
      <c r="B1338" s="46" t="s">
        <v>13</v>
      </c>
      <c r="C1338" s="49"/>
      <c r="D1338" s="48">
        <v>90.1</v>
      </c>
      <c r="E1338" s="48">
        <v>90.1</v>
      </c>
    </row>
    <row r="1339">
      <c r="A1339" s="46" t="s">
        <v>18</v>
      </c>
      <c r="B1339" s="46" t="s">
        <v>13</v>
      </c>
      <c r="C1339" s="49"/>
      <c r="D1339" s="48">
        <v>88.9</v>
      </c>
      <c r="E1339" s="48">
        <v>88.9</v>
      </c>
    </row>
    <row r="1340">
      <c r="A1340" s="46" t="s">
        <v>18</v>
      </c>
      <c r="B1340" s="46" t="s">
        <v>13</v>
      </c>
      <c r="C1340" s="49"/>
      <c r="D1340" s="48">
        <v>83.4</v>
      </c>
      <c r="E1340" s="48">
        <v>83.4</v>
      </c>
    </row>
    <row r="1341">
      <c r="A1341" s="46" t="s">
        <v>18</v>
      </c>
      <c r="B1341" s="46" t="s">
        <v>14</v>
      </c>
      <c r="C1341" s="48">
        <v>107.6</v>
      </c>
      <c r="D1341" s="48">
        <v>87.3</v>
      </c>
      <c r="E1341" s="48">
        <v>102.0</v>
      </c>
    </row>
    <row r="1342">
      <c r="A1342" s="46" t="s">
        <v>18</v>
      </c>
      <c r="B1342" s="46" t="s">
        <v>14</v>
      </c>
      <c r="C1342" s="48">
        <v>92.6</v>
      </c>
      <c r="D1342" s="48">
        <v>80.9</v>
      </c>
      <c r="E1342" s="48">
        <v>87.6</v>
      </c>
    </row>
    <row r="1343">
      <c r="A1343" s="46" t="s">
        <v>18</v>
      </c>
      <c r="B1343" s="46" t="s">
        <v>14</v>
      </c>
      <c r="C1343" s="48">
        <v>116.4</v>
      </c>
      <c r="D1343" s="48">
        <v>87.2</v>
      </c>
      <c r="E1343" s="48">
        <v>109.4</v>
      </c>
    </row>
    <row r="1344">
      <c r="A1344" s="46" t="s">
        <v>18</v>
      </c>
      <c r="B1344" s="46" t="s">
        <v>14</v>
      </c>
      <c r="C1344" s="48">
        <v>124.3</v>
      </c>
      <c r="D1344" s="48">
        <v>98.1</v>
      </c>
      <c r="E1344" s="48">
        <v>117.0</v>
      </c>
    </row>
    <row r="1345">
      <c r="A1345" s="46" t="s">
        <v>18</v>
      </c>
      <c r="B1345" s="46" t="s">
        <v>15</v>
      </c>
      <c r="C1345" s="48">
        <v>135.7</v>
      </c>
      <c r="D1345" s="49"/>
      <c r="E1345" s="48">
        <v>135.7</v>
      </c>
    </row>
    <row r="1346">
      <c r="A1346" s="46" t="s">
        <v>18</v>
      </c>
      <c r="B1346" s="46" t="s">
        <v>13</v>
      </c>
      <c r="C1346" s="49"/>
      <c r="D1346" s="48">
        <v>83.8</v>
      </c>
      <c r="E1346" s="48">
        <v>83.8</v>
      </c>
    </row>
    <row r="1347">
      <c r="A1347" s="46" t="s">
        <v>18</v>
      </c>
      <c r="B1347" s="46" t="s">
        <v>14</v>
      </c>
      <c r="C1347" s="48">
        <v>125.2</v>
      </c>
      <c r="D1347" s="48">
        <v>91.4</v>
      </c>
      <c r="E1347" s="48">
        <v>119.1</v>
      </c>
    </row>
    <row r="1348">
      <c r="A1348" s="46" t="s">
        <v>18</v>
      </c>
      <c r="B1348" s="46" t="s">
        <v>15</v>
      </c>
      <c r="C1348" s="48">
        <v>119.1</v>
      </c>
      <c r="D1348" s="49"/>
      <c r="E1348" s="48">
        <v>119.1</v>
      </c>
    </row>
    <row r="1349">
      <c r="A1349" s="46" t="s">
        <v>18</v>
      </c>
      <c r="B1349" s="46" t="s">
        <v>14</v>
      </c>
      <c r="C1349" s="48">
        <v>107.7</v>
      </c>
      <c r="D1349" s="48">
        <v>81.4</v>
      </c>
      <c r="E1349" s="48">
        <v>104.7</v>
      </c>
    </row>
    <row r="1350">
      <c r="A1350" s="46" t="s">
        <v>18</v>
      </c>
      <c r="B1350" s="46" t="s">
        <v>15</v>
      </c>
      <c r="C1350" s="48">
        <v>114.5</v>
      </c>
      <c r="D1350" s="49"/>
      <c r="E1350" s="48">
        <v>114.5</v>
      </c>
    </row>
    <row r="1351">
      <c r="A1351" s="46" t="s">
        <v>18</v>
      </c>
      <c r="B1351" s="46" t="s">
        <v>15</v>
      </c>
      <c r="C1351" s="48">
        <v>136.3</v>
      </c>
      <c r="D1351" s="49"/>
      <c r="E1351" s="48">
        <v>136.3</v>
      </c>
    </row>
    <row r="1352">
      <c r="A1352" s="46" t="s">
        <v>18</v>
      </c>
      <c r="B1352" s="46" t="s">
        <v>13</v>
      </c>
      <c r="C1352" s="49"/>
      <c r="D1352" s="48">
        <v>90.0</v>
      </c>
      <c r="E1352" s="48">
        <v>90.0</v>
      </c>
    </row>
    <row r="1353">
      <c r="A1353" s="46" t="s">
        <v>18</v>
      </c>
      <c r="B1353" s="46" t="s">
        <v>14</v>
      </c>
      <c r="C1353" s="48">
        <v>115.9</v>
      </c>
      <c r="D1353" s="48">
        <v>93.6</v>
      </c>
      <c r="E1353" s="48">
        <v>112.7</v>
      </c>
    </row>
    <row r="1354">
      <c r="A1354" s="46" t="s">
        <v>18</v>
      </c>
      <c r="B1354" s="46" t="s">
        <v>15</v>
      </c>
      <c r="C1354" s="48">
        <v>109.5</v>
      </c>
      <c r="D1354" s="49"/>
      <c r="E1354" s="48">
        <v>109.5</v>
      </c>
    </row>
    <row r="1355">
      <c r="A1355" s="46" t="s">
        <v>18</v>
      </c>
      <c r="B1355" s="46" t="s">
        <v>14</v>
      </c>
      <c r="C1355" s="48">
        <v>112.8</v>
      </c>
      <c r="D1355" s="48">
        <v>96.1</v>
      </c>
      <c r="E1355" s="48">
        <v>107.1</v>
      </c>
    </row>
    <row r="1356">
      <c r="A1356" s="46" t="s">
        <v>18</v>
      </c>
      <c r="B1356" s="46" t="s">
        <v>15</v>
      </c>
      <c r="C1356" s="48">
        <v>106.2</v>
      </c>
      <c r="D1356" s="49"/>
      <c r="E1356" s="48">
        <v>106.2</v>
      </c>
    </row>
    <row r="1357">
      <c r="A1357" s="46" t="s">
        <v>18</v>
      </c>
      <c r="B1357" s="46" t="s">
        <v>13</v>
      </c>
      <c r="C1357" s="49"/>
      <c r="D1357" s="48">
        <v>91.1</v>
      </c>
      <c r="E1357" s="48">
        <v>91.1</v>
      </c>
    </row>
    <row r="1358">
      <c r="A1358" s="46" t="s">
        <v>18</v>
      </c>
      <c r="B1358" s="46" t="s">
        <v>15</v>
      </c>
      <c r="C1358" s="48">
        <v>112.1</v>
      </c>
      <c r="D1358" s="49"/>
      <c r="E1358" s="48">
        <v>112.1</v>
      </c>
    </row>
    <row r="1359">
      <c r="A1359" s="46" t="s">
        <v>18</v>
      </c>
      <c r="B1359" s="46" t="s">
        <v>15</v>
      </c>
      <c r="C1359" s="48">
        <v>111.8</v>
      </c>
      <c r="D1359" s="49"/>
      <c r="E1359" s="48">
        <v>111.8</v>
      </c>
    </row>
    <row r="1360">
      <c r="A1360" s="46" t="s">
        <v>18</v>
      </c>
      <c r="B1360" s="46" t="s">
        <v>15</v>
      </c>
      <c r="C1360" s="48">
        <v>105.8</v>
      </c>
      <c r="D1360" s="49"/>
      <c r="E1360" s="48">
        <v>105.8</v>
      </c>
    </row>
    <row r="1361">
      <c r="A1361" s="46" t="s">
        <v>18</v>
      </c>
      <c r="B1361" s="46" t="s">
        <v>13</v>
      </c>
      <c r="C1361" s="49"/>
      <c r="D1361" s="48">
        <v>80.9</v>
      </c>
      <c r="E1361" s="48">
        <v>80.9</v>
      </c>
    </row>
    <row r="1362">
      <c r="A1362" s="46" t="s">
        <v>18</v>
      </c>
      <c r="B1362" s="46" t="s">
        <v>15</v>
      </c>
      <c r="C1362" s="48">
        <v>115.7</v>
      </c>
      <c r="D1362" s="49"/>
      <c r="E1362" s="48">
        <v>115.7</v>
      </c>
    </row>
    <row r="1363">
      <c r="A1363" s="46" t="s">
        <v>18</v>
      </c>
      <c r="B1363" s="46" t="s">
        <v>15</v>
      </c>
      <c r="C1363" s="48">
        <v>133.8</v>
      </c>
      <c r="D1363" s="49"/>
      <c r="E1363" s="48">
        <v>133.8</v>
      </c>
    </row>
    <row r="1364">
      <c r="A1364" s="46" t="s">
        <v>18</v>
      </c>
      <c r="B1364" s="46" t="s">
        <v>13</v>
      </c>
      <c r="C1364" s="49"/>
      <c r="D1364" s="48">
        <v>88.6</v>
      </c>
      <c r="E1364" s="48">
        <v>88.6</v>
      </c>
    </row>
    <row r="1365">
      <c r="A1365" s="46" t="s">
        <v>18</v>
      </c>
      <c r="B1365" s="46" t="s">
        <v>13</v>
      </c>
      <c r="C1365" s="49"/>
      <c r="D1365" s="48">
        <v>83.2</v>
      </c>
      <c r="E1365" s="48">
        <v>83.2</v>
      </c>
    </row>
    <row r="1366">
      <c r="A1366" s="46" t="s">
        <v>18</v>
      </c>
      <c r="B1366" s="46" t="s">
        <v>13</v>
      </c>
      <c r="C1366" s="49"/>
      <c r="D1366" s="48">
        <v>95.2</v>
      </c>
      <c r="E1366" s="48">
        <v>95.2</v>
      </c>
    </row>
    <row r="1367">
      <c r="A1367" s="46" t="s">
        <v>18</v>
      </c>
      <c r="B1367" s="46" t="s">
        <v>15</v>
      </c>
      <c r="C1367" s="48">
        <v>97.1</v>
      </c>
      <c r="D1367" s="49"/>
      <c r="E1367" s="48">
        <v>97.1</v>
      </c>
    </row>
    <row r="1368">
      <c r="A1368" s="46" t="s">
        <v>18</v>
      </c>
      <c r="B1368" s="46" t="s">
        <v>15</v>
      </c>
      <c r="C1368" s="48">
        <v>134.6</v>
      </c>
      <c r="D1368" s="49"/>
      <c r="E1368" s="48">
        <v>134.6</v>
      </c>
    </row>
    <row r="1369">
      <c r="A1369" s="46" t="s">
        <v>18</v>
      </c>
      <c r="B1369" s="46" t="s">
        <v>15</v>
      </c>
      <c r="C1369" s="48">
        <v>119.6</v>
      </c>
      <c r="D1369" s="49"/>
      <c r="E1369" s="48">
        <v>119.6</v>
      </c>
    </row>
    <row r="1370">
      <c r="A1370" s="46" t="s">
        <v>18</v>
      </c>
      <c r="B1370" s="46" t="s">
        <v>15</v>
      </c>
      <c r="C1370" s="48">
        <v>104.0</v>
      </c>
      <c r="D1370" s="49"/>
      <c r="E1370" s="48">
        <v>104.0</v>
      </c>
    </row>
    <row r="1371">
      <c r="A1371" s="46" t="s">
        <v>18</v>
      </c>
      <c r="B1371" s="46" t="s">
        <v>13</v>
      </c>
      <c r="C1371" s="49"/>
      <c r="D1371" s="48">
        <v>80.6</v>
      </c>
      <c r="E1371" s="48">
        <v>80.6</v>
      </c>
    </row>
    <row r="1372">
      <c r="A1372" s="46" t="s">
        <v>18</v>
      </c>
      <c r="B1372" s="46" t="s">
        <v>14</v>
      </c>
      <c r="C1372" s="48">
        <v>105.3</v>
      </c>
      <c r="D1372" s="48">
        <v>85.3</v>
      </c>
      <c r="E1372" s="48">
        <v>101.8</v>
      </c>
    </row>
    <row r="1373">
      <c r="A1373" s="46" t="s">
        <v>18</v>
      </c>
      <c r="B1373" s="46" t="s">
        <v>14</v>
      </c>
      <c r="C1373" s="48">
        <v>93.9</v>
      </c>
      <c r="D1373" s="48">
        <v>88.4</v>
      </c>
      <c r="E1373" s="48">
        <v>89.3</v>
      </c>
    </row>
    <row r="1374">
      <c r="A1374" s="46" t="s">
        <v>18</v>
      </c>
      <c r="B1374" s="46" t="s">
        <v>15</v>
      </c>
      <c r="C1374" s="48">
        <v>116.4</v>
      </c>
      <c r="D1374" s="49"/>
      <c r="E1374" s="48">
        <v>116.4</v>
      </c>
    </row>
    <row r="1375">
      <c r="A1375" s="46" t="s">
        <v>18</v>
      </c>
      <c r="B1375" s="46" t="s">
        <v>15</v>
      </c>
      <c r="C1375" s="48">
        <v>115.7</v>
      </c>
      <c r="D1375" s="49"/>
      <c r="E1375" s="48">
        <v>115.7</v>
      </c>
    </row>
    <row r="1376">
      <c r="A1376" s="46" t="s">
        <v>18</v>
      </c>
      <c r="B1376" s="46" t="s">
        <v>13</v>
      </c>
      <c r="C1376" s="49"/>
      <c r="D1376" s="48">
        <v>91.9</v>
      </c>
      <c r="E1376" s="48">
        <v>91.9</v>
      </c>
    </row>
    <row r="1377">
      <c r="A1377" s="46" t="s">
        <v>18</v>
      </c>
      <c r="B1377" s="46" t="s">
        <v>15</v>
      </c>
      <c r="C1377" s="48">
        <v>110.8</v>
      </c>
      <c r="D1377" s="49"/>
      <c r="E1377" s="48">
        <v>110.8</v>
      </c>
    </row>
    <row r="1378">
      <c r="A1378" s="46" t="s">
        <v>18</v>
      </c>
      <c r="B1378" s="46" t="s">
        <v>15</v>
      </c>
      <c r="C1378" s="48">
        <v>101.4</v>
      </c>
      <c r="D1378" s="49"/>
      <c r="E1378" s="48">
        <v>101.4</v>
      </c>
    </row>
    <row r="1379">
      <c r="A1379" s="46" t="s">
        <v>18</v>
      </c>
      <c r="B1379" s="46" t="s">
        <v>14</v>
      </c>
      <c r="C1379" s="48">
        <v>108.3</v>
      </c>
      <c r="D1379" s="48">
        <v>85.1</v>
      </c>
      <c r="E1379" s="48">
        <v>104.5</v>
      </c>
    </row>
    <row r="1380">
      <c r="A1380" s="46" t="s">
        <v>18</v>
      </c>
      <c r="B1380" s="46" t="s">
        <v>13</v>
      </c>
      <c r="C1380" s="49"/>
      <c r="D1380" s="48">
        <v>90.0</v>
      </c>
      <c r="E1380" s="48">
        <v>90.0</v>
      </c>
    </row>
    <row r="1381">
      <c r="A1381" s="46" t="s">
        <v>18</v>
      </c>
      <c r="B1381" s="46" t="s">
        <v>13</v>
      </c>
      <c r="C1381" s="49"/>
      <c r="D1381" s="48">
        <v>78.5</v>
      </c>
      <c r="E1381" s="48">
        <v>78.5</v>
      </c>
    </row>
    <row r="1382">
      <c r="A1382" s="46" t="s">
        <v>18</v>
      </c>
      <c r="B1382" s="46" t="s">
        <v>15</v>
      </c>
      <c r="C1382" s="48">
        <v>124.8</v>
      </c>
      <c r="D1382" s="49"/>
      <c r="E1382" s="48">
        <v>124.8</v>
      </c>
    </row>
    <row r="1383">
      <c r="A1383" s="46" t="s">
        <v>18</v>
      </c>
      <c r="B1383" s="46" t="s">
        <v>15</v>
      </c>
      <c r="C1383" s="48">
        <v>122.4</v>
      </c>
      <c r="D1383" s="49"/>
      <c r="E1383" s="48">
        <v>122.4</v>
      </c>
    </row>
    <row r="1384">
      <c r="A1384" s="46" t="s">
        <v>18</v>
      </c>
      <c r="B1384" s="46" t="s">
        <v>15</v>
      </c>
      <c r="C1384" s="48">
        <v>116.3</v>
      </c>
      <c r="D1384" s="49"/>
      <c r="E1384" s="48">
        <v>116.3</v>
      </c>
    </row>
    <row r="1385">
      <c r="A1385" s="46" t="s">
        <v>18</v>
      </c>
      <c r="B1385" s="46" t="s">
        <v>15</v>
      </c>
      <c r="C1385" s="48">
        <v>120.7</v>
      </c>
      <c r="D1385" s="49"/>
      <c r="E1385" s="48">
        <v>120.7</v>
      </c>
    </row>
    <row r="1386">
      <c r="A1386" s="46" t="s">
        <v>18</v>
      </c>
      <c r="B1386" s="46" t="s">
        <v>15</v>
      </c>
      <c r="C1386" s="48">
        <v>119.2</v>
      </c>
      <c r="D1386" s="49"/>
      <c r="E1386" s="48">
        <v>119.2</v>
      </c>
    </row>
    <row r="1387">
      <c r="A1387" s="46" t="s">
        <v>18</v>
      </c>
      <c r="B1387" s="46" t="s">
        <v>15</v>
      </c>
      <c r="C1387" s="48">
        <v>106.8</v>
      </c>
      <c r="D1387" s="49"/>
      <c r="E1387" s="48">
        <v>106.8</v>
      </c>
    </row>
    <row r="1388">
      <c r="A1388" s="46" t="s">
        <v>18</v>
      </c>
      <c r="B1388" s="46" t="s">
        <v>15</v>
      </c>
      <c r="C1388" s="48">
        <v>124.3</v>
      </c>
      <c r="D1388" s="49"/>
      <c r="E1388" s="48">
        <v>124.3</v>
      </c>
    </row>
    <row r="1389">
      <c r="A1389" s="46" t="s">
        <v>18</v>
      </c>
      <c r="B1389" s="46" t="s">
        <v>14</v>
      </c>
      <c r="C1389" s="48">
        <v>110.0</v>
      </c>
      <c r="D1389" s="48">
        <v>87.9</v>
      </c>
      <c r="E1389" s="48">
        <v>109.3</v>
      </c>
    </row>
    <row r="1390">
      <c r="A1390" s="46" t="s">
        <v>18</v>
      </c>
      <c r="B1390" s="46" t="s">
        <v>14</v>
      </c>
      <c r="C1390" s="48">
        <v>101.4</v>
      </c>
      <c r="D1390" s="48">
        <v>79.4</v>
      </c>
      <c r="E1390" s="48">
        <v>94.4</v>
      </c>
    </row>
    <row r="1391">
      <c r="A1391" s="46" t="s">
        <v>18</v>
      </c>
      <c r="B1391" s="46" t="s">
        <v>14</v>
      </c>
      <c r="C1391" s="48">
        <v>110.4</v>
      </c>
      <c r="D1391" s="48">
        <v>81.1</v>
      </c>
      <c r="E1391" s="48">
        <v>104.1</v>
      </c>
    </row>
    <row r="1392">
      <c r="A1392" s="46" t="s">
        <v>18</v>
      </c>
      <c r="B1392" s="46" t="s">
        <v>13</v>
      </c>
      <c r="C1392" s="49"/>
      <c r="D1392" s="48">
        <v>74.3</v>
      </c>
      <c r="E1392" s="48">
        <v>74.3</v>
      </c>
    </row>
    <row r="1393">
      <c r="A1393" s="46" t="s">
        <v>18</v>
      </c>
      <c r="B1393" s="46" t="s">
        <v>13</v>
      </c>
      <c r="C1393" s="49"/>
      <c r="D1393" s="48">
        <v>87.5</v>
      </c>
      <c r="E1393" s="48">
        <v>87.5</v>
      </c>
    </row>
    <row r="1394">
      <c r="A1394" s="46" t="s">
        <v>18</v>
      </c>
      <c r="B1394" s="46" t="s">
        <v>13</v>
      </c>
      <c r="C1394" s="49"/>
      <c r="D1394" s="48">
        <v>78.3</v>
      </c>
      <c r="E1394" s="48">
        <v>78.3</v>
      </c>
    </row>
    <row r="1395">
      <c r="A1395" s="46" t="s">
        <v>18</v>
      </c>
      <c r="B1395" s="46" t="s">
        <v>15</v>
      </c>
      <c r="C1395" s="48">
        <v>112.1</v>
      </c>
      <c r="D1395" s="49"/>
      <c r="E1395" s="48">
        <v>112.1</v>
      </c>
    </row>
    <row r="1396">
      <c r="A1396" s="46" t="s">
        <v>18</v>
      </c>
      <c r="B1396" s="46" t="s">
        <v>15</v>
      </c>
      <c r="C1396" s="48">
        <v>99.0</v>
      </c>
      <c r="D1396" s="49"/>
      <c r="E1396" s="48">
        <v>99.0</v>
      </c>
    </row>
    <row r="1397">
      <c r="A1397" s="46" t="s">
        <v>18</v>
      </c>
      <c r="B1397" s="46" t="s">
        <v>15</v>
      </c>
      <c r="C1397" s="48">
        <v>121.8</v>
      </c>
      <c r="D1397" s="49"/>
      <c r="E1397" s="48">
        <v>121.8</v>
      </c>
    </row>
    <row r="1398">
      <c r="A1398" s="46" t="s">
        <v>18</v>
      </c>
      <c r="B1398" s="46" t="s">
        <v>15</v>
      </c>
      <c r="C1398" s="48">
        <v>108.4</v>
      </c>
      <c r="D1398" s="49"/>
      <c r="E1398" s="48">
        <v>108.4</v>
      </c>
    </row>
    <row r="1399">
      <c r="A1399" s="46" t="s">
        <v>18</v>
      </c>
      <c r="B1399" s="46" t="s">
        <v>14</v>
      </c>
      <c r="C1399" s="48">
        <v>106.9</v>
      </c>
      <c r="D1399" s="48">
        <v>89.2</v>
      </c>
      <c r="E1399" s="48">
        <v>98.8</v>
      </c>
    </row>
    <row r="1400">
      <c r="A1400" s="46" t="s">
        <v>18</v>
      </c>
      <c r="B1400" s="46" t="s">
        <v>13</v>
      </c>
      <c r="C1400" s="49"/>
      <c r="D1400" s="48">
        <v>75.2</v>
      </c>
      <c r="E1400" s="48">
        <v>75.2</v>
      </c>
    </row>
    <row r="1401">
      <c r="A1401" s="46" t="s">
        <v>18</v>
      </c>
      <c r="B1401" s="46" t="s">
        <v>14</v>
      </c>
      <c r="C1401" s="48">
        <v>113.9</v>
      </c>
      <c r="D1401" s="48">
        <v>85.4</v>
      </c>
      <c r="E1401" s="48">
        <v>97.5</v>
      </c>
    </row>
    <row r="1402">
      <c r="A1402" s="46" t="s">
        <v>18</v>
      </c>
      <c r="B1402" s="46" t="s">
        <v>14</v>
      </c>
      <c r="C1402" s="48">
        <v>111.7</v>
      </c>
      <c r="D1402" s="48">
        <v>82.2</v>
      </c>
      <c r="E1402" s="48">
        <v>97.6</v>
      </c>
    </row>
    <row r="1403">
      <c r="A1403" s="46" t="s">
        <v>18</v>
      </c>
      <c r="B1403" s="46" t="s">
        <v>15</v>
      </c>
      <c r="C1403" s="48">
        <v>107.4</v>
      </c>
      <c r="D1403" s="49"/>
      <c r="E1403" s="48">
        <v>107.4</v>
      </c>
    </row>
    <row r="1404">
      <c r="A1404" s="46" t="s">
        <v>18</v>
      </c>
      <c r="B1404" s="46" t="s">
        <v>14</v>
      </c>
      <c r="C1404" s="48">
        <v>103.5</v>
      </c>
      <c r="D1404" s="48">
        <v>78.5</v>
      </c>
      <c r="E1404" s="48">
        <v>96.8</v>
      </c>
    </row>
    <row r="1405">
      <c r="A1405" s="46" t="s">
        <v>18</v>
      </c>
      <c r="B1405" s="46" t="s">
        <v>14</v>
      </c>
      <c r="C1405" s="48">
        <v>106.6</v>
      </c>
      <c r="D1405" s="48">
        <v>86.6</v>
      </c>
      <c r="E1405" s="48">
        <v>105.1</v>
      </c>
    </row>
    <row r="1406">
      <c r="A1406" s="46" t="s">
        <v>18</v>
      </c>
      <c r="B1406" s="46" t="s">
        <v>14</v>
      </c>
      <c r="C1406" s="48">
        <v>99.8</v>
      </c>
      <c r="D1406" s="48">
        <v>80.2</v>
      </c>
      <c r="E1406" s="48">
        <v>94.1</v>
      </c>
    </row>
    <row r="1407">
      <c r="A1407" s="46" t="s">
        <v>18</v>
      </c>
      <c r="B1407" s="46" t="s">
        <v>13</v>
      </c>
      <c r="C1407" s="49"/>
      <c r="D1407" s="48">
        <v>79.9</v>
      </c>
      <c r="E1407" s="48">
        <v>79.9</v>
      </c>
    </row>
    <row r="1408">
      <c r="A1408" s="46" t="s">
        <v>18</v>
      </c>
      <c r="B1408" s="46" t="s">
        <v>15</v>
      </c>
      <c r="C1408" s="48">
        <v>106.5</v>
      </c>
      <c r="D1408" s="49"/>
      <c r="E1408" s="48">
        <v>106.5</v>
      </c>
    </row>
    <row r="1409">
      <c r="A1409" s="46" t="s">
        <v>18</v>
      </c>
      <c r="B1409" s="46" t="s">
        <v>15</v>
      </c>
      <c r="C1409" s="48">
        <v>120.6</v>
      </c>
      <c r="D1409" s="49"/>
      <c r="E1409" s="48">
        <v>120.6</v>
      </c>
    </row>
    <row r="1410">
      <c r="A1410" s="46" t="s">
        <v>18</v>
      </c>
      <c r="B1410" s="46" t="s">
        <v>15</v>
      </c>
      <c r="C1410" s="48">
        <v>116.9</v>
      </c>
      <c r="D1410" s="49"/>
      <c r="E1410" s="48">
        <v>116.9</v>
      </c>
    </row>
    <row r="1411">
      <c r="A1411" s="46" t="s">
        <v>18</v>
      </c>
      <c r="B1411" s="46" t="s">
        <v>13</v>
      </c>
      <c r="C1411" s="49"/>
      <c r="D1411" s="48">
        <v>70.8</v>
      </c>
      <c r="E1411" s="48">
        <v>70.8</v>
      </c>
    </row>
    <row r="1412">
      <c r="A1412" s="46" t="s">
        <v>18</v>
      </c>
      <c r="B1412" s="46" t="s">
        <v>15</v>
      </c>
      <c r="C1412" s="48">
        <v>93.8</v>
      </c>
      <c r="D1412" s="49"/>
      <c r="E1412" s="48">
        <v>93.8</v>
      </c>
    </row>
    <row r="1413">
      <c r="A1413" s="46" t="s">
        <v>18</v>
      </c>
      <c r="B1413" s="46" t="s">
        <v>13</v>
      </c>
      <c r="C1413" s="49"/>
      <c r="D1413" s="48">
        <v>75.4</v>
      </c>
      <c r="E1413" s="48">
        <v>75.4</v>
      </c>
    </row>
    <row r="1414">
      <c r="A1414" s="46" t="s">
        <v>18</v>
      </c>
      <c r="B1414" s="46" t="s">
        <v>15</v>
      </c>
      <c r="C1414" s="48">
        <v>115.6</v>
      </c>
      <c r="D1414" s="49"/>
      <c r="E1414" s="48">
        <v>115.6</v>
      </c>
    </row>
    <row r="1415">
      <c r="A1415" s="46" t="s">
        <v>18</v>
      </c>
      <c r="B1415" s="46" t="s">
        <v>14</v>
      </c>
      <c r="C1415" s="48">
        <v>98.7</v>
      </c>
      <c r="D1415" s="48">
        <v>73.6</v>
      </c>
      <c r="E1415" s="48">
        <v>93.1</v>
      </c>
    </row>
    <row r="1416">
      <c r="A1416" s="46" t="s">
        <v>18</v>
      </c>
      <c r="B1416" s="46" t="s">
        <v>13</v>
      </c>
      <c r="C1416" s="49"/>
      <c r="D1416" s="48">
        <v>73.5</v>
      </c>
      <c r="E1416" s="48">
        <v>73.5</v>
      </c>
    </row>
    <row r="1417">
      <c r="A1417" s="46" t="s">
        <v>18</v>
      </c>
      <c r="B1417" s="46" t="s">
        <v>14</v>
      </c>
      <c r="C1417" s="48">
        <v>106.1</v>
      </c>
      <c r="D1417" s="48">
        <v>84.6</v>
      </c>
      <c r="E1417" s="48">
        <v>102.3</v>
      </c>
    </row>
    <row r="1418">
      <c r="A1418" s="46" t="s">
        <v>18</v>
      </c>
      <c r="B1418" s="46" t="s">
        <v>13</v>
      </c>
      <c r="C1418" s="49"/>
      <c r="D1418" s="48">
        <v>90.3</v>
      </c>
      <c r="E1418" s="48">
        <v>90.3</v>
      </c>
    </row>
    <row r="1419">
      <c r="A1419" s="46" t="s">
        <v>18</v>
      </c>
      <c r="B1419" s="46" t="s">
        <v>13</v>
      </c>
      <c r="C1419" s="49"/>
      <c r="D1419" s="48">
        <v>100.1</v>
      </c>
      <c r="E1419" s="48">
        <v>100.1</v>
      </c>
    </row>
    <row r="1420">
      <c r="A1420" s="46" t="s">
        <v>18</v>
      </c>
      <c r="B1420" s="46" t="s">
        <v>14</v>
      </c>
      <c r="C1420" s="48">
        <v>106.3</v>
      </c>
      <c r="D1420" s="48">
        <v>76.3</v>
      </c>
      <c r="E1420" s="48">
        <v>101.6</v>
      </c>
    </row>
    <row r="1421">
      <c r="A1421" s="46" t="s">
        <v>18</v>
      </c>
      <c r="B1421" s="46" t="s">
        <v>15</v>
      </c>
      <c r="C1421" s="48">
        <v>108.5</v>
      </c>
      <c r="D1421" s="49"/>
      <c r="E1421" s="48">
        <v>108.5</v>
      </c>
    </row>
    <row r="1422">
      <c r="A1422" s="46" t="s">
        <v>18</v>
      </c>
      <c r="B1422" s="46" t="s">
        <v>15</v>
      </c>
      <c r="C1422" s="48">
        <v>116.0</v>
      </c>
      <c r="D1422" s="49"/>
      <c r="E1422" s="48">
        <v>116.0</v>
      </c>
    </row>
    <row r="1423">
      <c r="A1423" s="46" t="s">
        <v>18</v>
      </c>
      <c r="B1423" s="46" t="s">
        <v>13</v>
      </c>
      <c r="C1423" s="49"/>
      <c r="D1423" s="48">
        <v>75.5</v>
      </c>
      <c r="E1423" s="48">
        <v>75.5</v>
      </c>
    </row>
    <row r="1424">
      <c r="A1424" s="46" t="s">
        <v>18</v>
      </c>
      <c r="B1424" s="46" t="s">
        <v>14</v>
      </c>
      <c r="C1424" s="48">
        <v>91.8</v>
      </c>
      <c r="D1424" s="48">
        <v>82.0</v>
      </c>
      <c r="E1424" s="48">
        <v>91.8</v>
      </c>
    </row>
    <row r="1425">
      <c r="A1425" s="46" t="s">
        <v>18</v>
      </c>
      <c r="B1425" s="46" t="s">
        <v>14</v>
      </c>
      <c r="C1425" s="48">
        <v>94.6</v>
      </c>
      <c r="D1425" s="48">
        <v>72.2</v>
      </c>
      <c r="E1425" s="48">
        <v>86.1</v>
      </c>
    </row>
    <row r="1426">
      <c r="A1426" s="46" t="s">
        <v>18</v>
      </c>
      <c r="B1426" s="46" t="s">
        <v>15</v>
      </c>
      <c r="C1426" s="48">
        <v>125.9</v>
      </c>
      <c r="D1426" s="49"/>
      <c r="E1426" s="48">
        <v>125.9</v>
      </c>
    </row>
    <row r="1427">
      <c r="A1427" s="46" t="s">
        <v>18</v>
      </c>
      <c r="B1427" s="46" t="s">
        <v>15</v>
      </c>
      <c r="C1427" s="48">
        <v>96.1</v>
      </c>
      <c r="D1427" s="49"/>
      <c r="E1427" s="48">
        <v>96.1</v>
      </c>
    </row>
    <row r="1428">
      <c r="A1428" s="46" t="s">
        <v>18</v>
      </c>
      <c r="B1428" s="46" t="s">
        <v>13</v>
      </c>
      <c r="C1428" s="49"/>
      <c r="D1428" s="48">
        <v>69.4</v>
      </c>
      <c r="E1428" s="48">
        <v>69.4</v>
      </c>
    </row>
    <row r="1429">
      <c r="A1429" s="46" t="s">
        <v>18</v>
      </c>
      <c r="B1429" s="46" t="s">
        <v>14</v>
      </c>
      <c r="C1429" s="48">
        <v>93.2</v>
      </c>
      <c r="D1429" s="48">
        <v>74.3</v>
      </c>
      <c r="E1429" s="48">
        <v>91.8</v>
      </c>
    </row>
    <row r="1430">
      <c r="A1430" s="46" t="s">
        <v>18</v>
      </c>
      <c r="B1430" s="46" t="s">
        <v>14</v>
      </c>
      <c r="C1430" s="48">
        <v>118.7</v>
      </c>
      <c r="D1430" s="48">
        <v>79.5</v>
      </c>
      <c r="E1430" s="48">
        <v>112.5</v>
      </c>
    </row>
    <row r="1431">
      <c r="A1431" s="46" t="s">
        <v>18</v>
      </c>
      <c r="B1431" s="46" t="s">
        <v>13</v>
      </c>
      <c r="C1431" s="49"/>
      <c r="D1431" s="48">
        <v>63.4</v>
      </c>
      <c r="E1431" s="48">
        <v>63.4</v>
      </c>
    </row>
    <row r="1432">
      <c r="A1432" s="46" t="s">
        <v>18</v>
      </c>
      <c r="B1432" s="46" t="s">
        <v>13</v>
      </c>
      <c r="C1432" s="49"/>
      <c r="D1432" s="48">
        <v>63.8</v>
      </c>
      <c r="E1432" s="48">
        <v>63.8</v>
      </c>
    </row>
    <row r="1433">
      <c r="A1433" s="46" t="s">
        <v>18</v>
      </c>
      <c r="B1433" s="46" t="s">
        <v>14</v>
      </c>
      <c r="C1433" s="48">
        <v>111.2</v>
      </c>
      <c r="D1433" s="48">
        <v>78.7</v>
      </c>
      <c r="E1433" s="48">
        <v>105.3</v>
      </c>
    </row>
    <row r="1434">
      <c r="A1434" s="46" t="s">
        <v>18</v>
      </c>
      <c r="B1434" s="46" t="s">
        <v>15</v>
      </c>
      <c r="C1434" s="48">
        <v>98.3</v>
      </c>
      <c r="D1434" s="49"/>
      <c r="E1434" s="48">
        <v>98.3</v>
      </c>
    </row>
    <row r="1435">
      <c r="A1435" s="46" t="s">
        <v>18</v>
      </c>
      <c r="B1435" s="46" t="s">
        <v>15</v>
      </c>
      <c r="C1435" s="48">
        <v>75.1</v>
      </c>
      <c r="D1435" s="49"/>
      <c r="E1435" s="48">
        <v>75.1</v>
      </c>
    </row>
    <row r="1436">
      <c r="A1436" s="46" t="s">
        <v>18</v>
      </c>
      <c r="B1436" s="46" t="s">
        <v>15</v>
      </c>
      <c r="C1436" s="48">
        <v>104.9</v>
      </c>
      <c r="D1436" s="49"/>
      <c r="E1436" s="48">
        <v>104.9</v>
      </c>
    </row>
    <row r="1437">
      <c r="A1437" s="46" t="s">
        <v>18</v>
      </c>
      <c r="B1437" s="46" t="s">
        <v>13</v>
      </c>
      <c r="C1437" s="49"/>
      <c r="D1437" s="48">
        <v>68.9</v>
      </c>
      <c r="E1437" s="48">
        <v>68.9</v>
      </c>
    </row>
    <row r="1438">
      <c r="A1438" s="46" t="s">
        <v>18</v>
      </c>
      <c r="B1438" s="46" t="s">
        <v>13</v>
      </c>
      <c r="C1438" s="49"/>
      <c r="D1438" s="48">
        <v>70.2</v>
      </c>
      <c r="E1438" s="48">
        <v>70.2</v>
      </c>
    </row>
    <row r="1439">
      <c r="A1439" s="46" t="s">
        <v>18</v>
      </c>
      <c r="B1439" s="46" t="s">
        <v>13</v>
      </c>
      <c r="C1439" s="49"/>
      <c r="D1439" s="48">
        <v>74.1</v>
      </c>
      <c r="E1439" s="48">
        <v>74.1</v>
      </c>
    </row>
    <row r="1440">
      <c r="A1440" s="46" t="s">
        <v>18</v>
      </c>
      <c r="B1440" s="46" t="s">
        <v>15</v>
      </c>
      <c r="C1440" s="48">
        <v>106.4</v>
      </c>
      <c r="D1440" s="49"/>
      <c r="E1440" s="48">
        <v>106.4</v>
      </c>
    </row>
    <row r="1441">
      <c r="A1441" s="46" t="s">
        <v>18</v>
      </c>
      <c r="B1441" s="46" t="s">
        <v>15</v>
      </c>
      <c r="C1441" s="48">
        <v>93.0</v>
      </c>
      <c r="D1441" s="49"/>
      <c r="E1441" s="48">
        <v>93.0</v>
      </c>
    </row>
    <row r="1442">
      <c r="A1442" s="46" t="s">
        <v>18</v>
      </c>
      <c r="B1442" s="46" t="s">
        <v>13</v>
      </c>
      <c r="C1442" s="49"/>
      <c r="D1442" s="48">
        <v>73.3</v>
      </c>
      <c r="E1442" s="48">
        <v>73.3</v>
      </c>
    </row>
    <row r="1443">
      <c r="A1443" s="46" t="s">
        <v>18</v>
      </c>
      <c r="B1443" s="46" t="s">
        <v>15</v>
      </c>
      <c r="C1443" s="48">
        <v>103.6</v>
      </c>
      <c r="D1443" s="49"/>
      <c r="E1443" s="48">
        <v>103.6</v>
      </c>
    </row>
    <row r="1444">
      <c r="A1444" s="46" t="s">
        <v>18</v>
      </c>
      <c r="B1444" s="46" t="s">
        <v>14</v>
      </c>
      <c r="C1444" s="48">
        <v>105.7</v>
      </c>
      <c r="D1444" s="48">
        <v>84.0</v>
      </c>
      <c r="E1444" s="48">
        <v>100.3</v>
      </c>
    </row>
    <row r="1445">
      <c r="A1445" s="46" t="s">
        <v>18</v>
      </c>
      <c r="B1445" s="46" t="s">
        <v>15</v>
      </c>
      <c r="C1445" s="48">
        <v>114.2</v>
      </c>
      <c r="D1445" s="49"/>
      <c r="E1445" s="48">
        <v>114.2</v>
      </c>
    </row>
    <row r="1446">
      <c r="A1446" s="46" t="s">
        <v>18</v>
      </c>
      <c r="B1446" s="46" t="s">
        <v>15</v>
      </c>
      <c r="C1446" s="48">
        <v>129.2</v>
      </c>
      <c r="D1446" s="49"/>
      <c r="E1446" s="48">
        <v>129.2</v>
      </c>
    </row>
    <row r="1447">
      <c r="A1447" s="46" t="s">
        <v>18</v>
      </c>
      <c r="B1447" s="46" t="s">
        <v>15</v>
      </c>
      <c r="C1447" s="48">
        <v>120.8</v>
      </c>
      <c r="D1447" s="49"/>
      <c r="E1447" s="48">
        <v>120.8</v>
      </c>
    </row>
    <row r="1448">
      <c r="A1448" s="46" t="s">
        <v>18</v>
      </c>
      <c r="B1448" s="46" t="s">
        <v>15</v>
      </c>
      <c r="C1448" s="48">
        <v>106.4</v>
      </c>
      <c r="D1448" s="49"/>
      <c r="E1448" s="48">
        <v>106.4</v>
      </c>
    </row>
    <row r="1449">
      <c r="A1449" s="46" t="s">
        <v>18</v>
      </c>
      <c r="B1449" s="46" t="s">
        <v>13</v>
      </c>
      <c r="C1449" s="49"/>
      <c r="D1449" s="48">
        <v>87.6</v>
      </c>
      <c r="E1449" s="48">
        <v>87.6</v>
      </c>
    </row>
    <row r="1450">
      <c r="A1450" s="46" t="s">
        <v>18</v>
      </c>
      <c r="B1450" s="46" t="s">
        <v>13</v>
      </c>
      <c r="C1450" s="49"/>
      <c r="D1450" s="48">
        <v>85.9</v>
      </c>
      <c r="E1450" s="48">
        <v>85.9</v>
      </c>
    </row>
    <row r="1451">
      <c r="A1451" s="46" t="s">
        <v>18</v>
      </c>
      <c r="B1451" s="46" t="s">
        <v>13</v>
      </c>
      <c r="C1451" s="49"/>
      <c r="D1451" s="48">
        <v>80.8</v>
      </c>
      <c r="E1451" s="48">
        <v>80.8</v>
      </c>
    </row>
    <row r="1452">
      <c r="A1452" s="46" t="s">
        <v>18</v>
      </c>
      <c r="B1452" s="46" t="s">
        <v>15</v>
      </c>
      <c r="C1452" s="48">
        <v>107.2</v>
      </c>
      <c r="D1452" s="49"/>
      <c r="E1452" s="48">
        <v>107.2</v>
      </c>
    </row>
    <row r="1453">
      <c r="A1453" s="46" t="s">
        <v>18</v>
      </c>
      <c r="B1453" s="46" t="s">
        <v>13</v>
      </c>
      <c r="C1453" s="49"/>
      <c r="D1453" s="48">
        <v>77.2</v>
      </c>
      <c r="E1453" s="48">
        <v>77.2</v>
      </c>
    </row>
    <row r="1454">
      <c r="A1454" s="46" t="s">
        <v>18</v>
      </c>
      <c r="B1454" s="46" t="s">
        <v>15</v>
      </c>
      <c r="C1454" s="48">
        <v>86.8</v>
      </c>
      <c r="D1454" s="49"/>
      <c r="E1454" s="48">
        <v>86.8</v>
      </c>
    </row>
    <row r="1455">
      <c r="A1455" s="46" t="s">
        <v>18</v>
      </c>
      <c r="B1455" s="46" t="s">
        <v>14</v>
      </c>
      <c r="C1455" s="48">
        <v>92.8</v>
      </c>
      <c r="D1455" s="48">
        <v>78.1</v>
      </c>
      <c r="E1455" s="48">
        <v>88.8</v>
      </c>
    </row>
    <row r="1456">
      <c r="A1456" s="46" t="s">
        <v>18</v>
      </c>
      <c r="B1456" s="46" t="s">
        <v>13</v>
      </c>
      <c r="C1456" s="49"/>
      <c r="D1456" s="48">
        <v>69.6</v>
      </c>
      <c r="E1456" s="48">
        <v>69.6</v>
      </c>
    </row>
    <row r="1457">
      <c r="A1457" s="46" t="s">
        <v>18</v>
      </c>
      <c r="B1457" s="46" t="s">
        <v>15</v>
      </c>
      <c r="C1457" s="48">
        <v>106.1</v>
      </c>
      <c r="D1457" s="49"/>
      <c r="E1457" s="48">
        <v>106.1</v>
      </c>
    </row>
    <row r="1458">
      <c r="A1458" s="46" t="s">
        <v>18</v>
      </c>
      <c r="B1458" s="46" t="s">
        <v>13</v>
      </c>
      <c r="C1458" s="49"/>
      <c r="D1458" s="48">
        <v>73.9</v>
      </c>
      <c r="E1458" s="48">
        <v>73.9</v>
      </c>
    </row>
    <row r="1459">
      <c r="A1459" s="46" t="s">
        <v>18</v>
      </c>
      <c r="B1459" s="46" t="s">
        <v>13</v>
      </c>
      <c r="C1459" s="49"/>
      <c r="D1459" s="48">
        <v>75.7</v>
      </c>
      <c r="E1459" s="48">
        <v>75.7</v>
      </c>
    </row>
    <row r="1460">
      <c r="A1460" s="46" t="s">
        <v>18</v>
      </c>
      <c r="B1460" s="46" t="s">
        <v>13</v>
      </c>
      <c r="C1460" s="49"/>
      <c r="D1460" s="48">
        <v>80.0</v>
      </c>
      <c r="E1460" s="48">
        <v>80.0</v>
      </c>
    </row>
    <row r="1461">
      <c r="A1461" s="46" t="s">
        <v>18</v>
      </c>
      <c r="B1461" s="46" t="s">
        <v>13</v>
      </c>
      <c r="C1461" s="49"/>
      <c r="D1461" s="48">
        <v>75.4</v>
      </c>
      <c r="E1461" s="48">
        <v>75.4</v>
      </c>
    </row>
    <row r="1462">
      <c r="A1462" s="46" t="s">
        <v>18</v>
      </c>
      <c r="B1462" s="46" t="s">
        <v>14</v>
      </c>
      <c r="C1462" s="48">
        <v>110.6</v>
      </c>
      <c r="D1462" s="48">
        <v>75.6</v>
      </c>
      <c r="E1462" s="48">
        <v>102.6</v>
      </c>
    </row>
    <row r="1463">
      <c r="A1463" s="46" t="s">
        <v>18</v>
      </c>
      <c r="B1463" s="46" t="s">
        <v>15</v>
      </c>
      <c r="C1463" s="48">
        <v>100.7</v>
      </c>
      <c r="D1463" s="49"/>
      <c r="E1463" s="48">
        <v>100.7</v>
      </c>
    </row>
    <row r="1464">
      <c r="A1464" s="46" t="s">
        <v>18</v>
      </c>
      <c r="B1464" s="46" t="s">
        <v>15</v>
      </c>
      <c r="C1464" s="48">
        <v>120.2</v>
      </c>
      <c r="D1464" s="49"/>
      <c r="E1464" s="48">
        <v>120.2</v>
      </c>
    </row>
    <row r="1465">
      <c r="A1465" s="46" t="s">
        <v>18</v>
      </c>
      <c r="B1465" s="46" t="s">
        <v>15</v>
      </c>
      <c r="C1465" s="48">
        <v>107.6</v>
      </c>
      <c r="D1465" s="49"/>
      <c r="E1465" s="48">
        <v>107.6</v>
      </c>
    </row>
    <row r="1466">
      <c r="A1466" s="46" t="s">
        <v>18</v>
      </c>
      <c r="B1466" s="46" t="s">
        <v>13</v>
      </c>
      <c r="C1466" s="49"/>
      <c r="D1466" s="48">
        <v>85.7</v>
      </c>
      <c r="E1466" s="48">
        <v>85.7</v>
      </c>
    </row>
    <row r="1467">
      <c r="A1467" s="46" t="s">
        <v>18</v>
      </c>
      <c r="B1467" s="46" t="s">
        <v>14</v>
      </c>
      <c r="C1467" s="48">
        <v>121.5</v>
      </c>
      <c r="D1467" s="48">
        <v>102.5</v>
      </c>
      <c r="E1467" s="48">
        <v>115.1</v>
      </c>
    </row>
    <row r="1468">
      <c r="A1468" s="46" t="s">
        <v>18</v>
      </c>
      <c r="B1468" s="46" t="s">
        <v>13</v>
      </c>
      <c r="C1468" s="49"/>
      <c r="D1468" s="48">
        <v>90.0</v>
      </c>
      <c r="E1468" s="48">
        <v>90.0</v>
      </c>
    </row>
    <row r="1469">
      <c r="A1469" s="46" t="s">
        <v>18</v>
      </c>
      <c r="B1469" s="46" t="s">
        <v>15</v>
      </c>
      <c r="C1469" s="48">
        <v>117.6</v>
      </c>
      <c r="D1469" s="49"/>
      <c r="E1469" s="48">
        <v>117.6</v>
      </c>
    </row>
    <row r="1470">
      <c r="A1470" s="46" t="s">
        <v>18</v>
      </c>
      <c r="B1470" s="46" t="s">
        <v>13</v>
      </c>
      <c r="C1470" s="49"/>
      <c r="D1470" s="48">
        <v>84.6</v>
      </c>
      <c r="E1470" s="48">
        <v>84.6</v>
      </c>
    </row>
    <row r="1471">
      <c r="A1471" s="46" t="s">
        <v>18</v>
      </c>
      <c r="B1471" s="46" t="s">
        <v>14</v>
      </c>
      <c r="C1471" s="48">
        <v>122.2</v>
      </c>
      <c r="D1471" s="48">
        <v>92.9</v>
      </c>
      <c r="E1471" s="48">
        <v>120.1</v>
      </c>
    </row>
    <row r="1472">
      <c r="A1472" s="46" t="s">
        <v>18</v>
      </c>
      <c r="B1472" s="46" t="s">
        <v>15</v>
      </c>
      <c r="C1472" s="48">
        <v>112.0</v>
      </c>
      <c r="D1472" s="49"/>
      <c r="E1472" s="48">
        <v>112.0</v>
      </c>
    </row>
    <row r="1473">
      <c r="A1473" s="46" t="s">
        <v>18</v>
      </c>
      <c r="B1473" s="46" t="s">
        <v>13</v>
      </c>
      <c r="C1473" s="49"/>
      <c r="D1473" s="48">
        <v>95.2</v>
      </c>
      <c r="E1473" s="48">
        <v>95.2</v>
      </c>
    </row>
    <row r="1474">
      <c r="A1474" s="46" t="s">
        <v>18</v>
      </c>
      <c r="B1474" s="46" t="s">
        <v>13</v>
      </c>
      <c r="C1474" s="49"/>
      <c r="D1474" s="48">
        <v>93.7</v>
      </c>
      <c r="E1474" s="48">
        <v>93.7</v>
      </c>
    </row>
    <row r="1475">
      <c r="A1475" s="46" t="s">
        <v>18</v>
      </c>
      <c r="B1475" s="46" t="s">
        <v>14</v>
      </c>
      <c r="C1475" s="48">
        <v>113.7</v>
      </c>
      <c r="D1475" s="48">
        <v>105.5</v>
      </c>
      <c r="E1475" s="48">
        <v>107.5</v>
      </c>
    </row>
    <row r="1476">
      <c r="A1476" s="46" t="s">
        <v>18</v>
      </c>
      <c r="B1476" s="46" t="s">
        <v>14</v>
      </c>
      <c r="C1476" s="48">
        <v>112.2</v>
      </c>
      <c r="D1476" s="48">
        <v>85.1</v>
      </c>
      <c r="E1476" s="48">
        <v>88.9</v>
      </c>
    </row>
    <row r="1477">
      <c r="A1477" s="46" t="s">
        <v>18</v>
      </c>
      <c r="B1477" s="46" t="s">
        <v>15</v>
      </c>
      <c r="C1477" s="48">
        <v>110.9</v>
      </c>
      <c r="D1477" s="49"/>
      <c r="E1477" s="48">
        <v>110.9</v>
      </c>
    </row>
    <row r="1478">
      <c r="A1478" s="46" t="s">
        <v>18</v>
      </c>
      <c r="B1478" s="46" t="s">
        <v>15</v>
      </c>
      <c r="C1478" s="48">
        <v>105.0</v>
      </c>
      <c r="D1478" s="49"/>
      <c r="E1478" s="48">
        <v>105.0</v>
      </c>
    </row>
    <row r="1479">
      <c r="A1479" s="46" t="s">
        <v>18</v>
      </c>
      <c r="B1479" s="46" t="s">
        <v>15</v>
      </c>
      <c r="C1479" s="48">
        <v>119.5</v>
      </c>
      <c r="D1479" s="49"/>
      <c r="E1479" s="48">
        <v>119.5</v>
      </c>
    </row>
    <row r="1480">
      <c r="A1480" s="46" t="s">
        <v>18</v>
      </c>
      <c r="B1480" s="46" t="s">
        <v>15</v>
      </c>
      <c r="C1480" s="48">
        <v>132.7</v>
      </c>
      <c r="D1480" s="49"/>
      <c r="E1480" s="48">
        <v>132.7</v>
      </c>
    </row>
    <row r="1481">
      <c r="A1481" s="46" t="s">
        <v>18</v>
      </c>
      <c r="B1481" s="46" t="s">
        <v>15</v>
      </c>
      <c r="C1481" s="48">
        <v>104.8</v>
      </c>
      <c r="D1481" s="49"/>
      <c r="E1481" s="48">
        <v>104.8</v>
      </c>
    </row>
    <row r="1482">
      <c r="A1482" s="46" t="s">
        <v>18</v>
      </c>
      <c r="B1482" s="46" t="s">
        <v>13</v>
      </c>
      <c r="C1482" s="49"/>
      <c r="D1482" s="48">
        <v>81.5</v>
      </c>
      <c r="E1482" s="48">
        <v>81.5</v>
      </c>
    </row>
    <row r="1483">
      <c r="A1483" s="46" t="s">
        <v>18</v>
      </c>
      <c r="B1483" s="46" t="s">
        <v>14</v>
      </c>
      <c r="C1483" s="48">
        <v>123.9</v>
      </c>
      <c r="D1483" s="48">
        <v>73.4</v>
      </c>
      <c r="E1483" s="48">
        <v>101.4</v>
      </c>
    </row>
    <row r="1484">
      <c r="A1484" s="46" t="s">
        <v>18</v>
      </c>
      <c r="B1484" s="46" t="s">
        <v>14</v>
      </c>
      <c r="C1484" s="48">
        <v>125.3</v>
      </c>
      <c r="D1484" s="48">
        <v>87.7</v>
      </c>
      <c r="E1484" s="48">
        <v>121.8</v>
      </c>
    </row>
    <row r="1485">
      <c r="A1485" s="46" t="s">
        <v>18</v>
      </c>
      <c r="B1485" s="46" t="s">
        <v>14</v>
      </c>
      <c r="C1485" s="48">
        <v>115.1</v>
      </c>
      <c r="D1485" s="48">
        <v>86.2</v>
      </c>
      <c r="E1485" s="48">
        <v>108.0</v>
      </c>
    </row>
    <row r="1486">
      <c r="A1486" s="46" t="s">
        <v>18</v>
      </c>
      <c r="B1486" s="46" t="s">
        <v>15</v>
      </c>
      <c r="C1486" s="48">
        <v>127.4</v>
      </c>
      <c r="D1486" s="49"/>
      <c r="E1486" s="48">
        <v>127.4</v>
      </c>
    </row>
    <row r="1487">
      <c r="A1487" s="46" t="s">
        <v>18</v>
      </c>
      <c r="B1487" s="46" t="s">
        <v>15</v>
      </c>
      <c r="C1487" s="48">
        <v>110.7</v>
      </c>
      <c r="D1487" s="49"/>
      <c r="E1487" s="48">
        <v>110.7</v>
      </c>
    </row>
    <row r="1488">
      <c r="A1488" s="46" t="s">
        <v>18</v>
      </c>
      <c r="B1488" s="46" t="s">
        <v>13</v>
      </c>
      <c r="C1488" s="49"/>
      <c r="D1488" s="48">
        <v>77.7</v>
      </c>
      <c r="E1488" s="48">
        <v>77.7</v>
      </c>
    </row>
    <row r="1489">
      <c r="A1489" s="46" t="s">
        <v>18</v>
      </c>
      <c r="B1489" s="46" t="s">
        <v>15</v>
      </c>
      <c r="C1489" s="48">
        <v>121.5</v>
      </c>
      <c r="D1489" s="49"/>
      <c r="E1489" s="48">
        <v>121.5</v>
      </c>
    </row>
    <row r="1490">
      <c r="A1490" s="46" t="s">
        <v>18</v>
      </c>
      <c r="B1490" s="46" t="s">
        <v>14</v>
      </c>
      <c r="C1490" s="48">
        <v>109.9</v>
      </c>
      <c r="D1490" s="48">
        <v>89.6</v>
      </c>
      <c r="E1490" s="48">
        <v>98.6</v>
      </c>
    </row>
    <row r="1491">
      <c r="A1491" s="46" t="s">
        <v>18</v>
      </c>
      <c r="B1491" s="46" t="s">
        <v>15</v>
      </c>
      <c r="C1491" s="48">
        <v>116.1</v>
      </c>
      <c r="D1491" s="49"/>
      <c r="E1491" s="48">
        <v>116.1</v>
      </c>
    </row>
    <row r="1492">
      <c r="A1492" s="46" t="s">
        <v>18</v>
      </c>
      <c r="B1492" s="46" t="s">
        <v>15</v>
      </c>
      <c r="C1492" s="48">
        <v>103.4</v>
      </c>
      <c r="D1492" s="49"/>
      <c r="E1492" s="48">
        <v>103.4</v>
      </c>
    </row>
    <row r="1493">
      <c r="A1493" s="46" t="s">
        <v>18</v>
      </c>
      <c r="B1493" s="46" t="s">
        <v>14</v>
      </c>
      <c r="C1493" s="48">
        <v>90.5</v>
      </c>
      <c r="D1493" s="48">
        <v>85.3</v>
      </c>
      <c r="E1493" s="48">
        <v>90.1</v>
      </c>
    </row>
    <row r="1494">
      <c r="A1494" s="46" t="s">
        <v>18</v>
      </c>
      <c r="B1494" s="46" t="s">
        <v>13</v>
      </c>
      <c r="C1494" s="49"/>
      <c r="D1494" s="48">
        <v>86.0</v>
      </c>
      <c r="E1494" s="48">
        <v>86.0</v>
      </c>
    </row>
    <row r="1495">
      <c r="A1495" s="46" t="s">
        <v>18</v>
      </c>
      <c r="B1495" s="46" t="s">
        <v>14</v>
      </c>
      <c r="C1495" s="48">
        <v>103.3</v>
      </c>
      <c r="D1495" s="48">
        <v>76.1</v>
      </c>
      <c r="E1495" s="48">
        <v>94.1</v>
      </c>
    </row>
    <row r="1496">
      <c r="A1496" s="46" t="s">
        <v>18</v>
      </c>
      <c r="B1496" s="46" t="s">
        <v>13</v>
      </c>
      <c r="C1496" s="49"/>
      <c r="D1496" s="48">
        <v>94.9</v>
      </c>
      <c r="E1496" s="48">
        <v>94.9</v>
      </c>
    </row>
    <row r="1497">
      <c r="A1497" s="46" t="s">
        <v>18</v>
      </c>
      <c r="B1497" s="46" t="s">
        <v>13</v>
      </c>
      <c r="C1497" s="49"/>
      <c r="D1497" s="48">
        <v>80.6</v>
      </c>
      <c r="E1497" s="48">
        <v>80.6</v>
      </c>
    </row>
    <row r="1498">
      <c r="A1498" s="46" t="s">
        <v>18</v>
      </c>
      <c r="B1498" s="46" t="s">
        <v>15</v>
      </c>
      <c r="C1498" s="48">
        <v>133.5</v>
      </c>
      <c r="D1498" s="49"/>
      <c r="E1498" s="48">
        <v>133.5</v>
      </c>
    </row>
    <row r="1499">
      <c r="A1499" s="46" t="s">
        <v>18</v>
      </c>
      <c r="B1499" s="46" t="s">
        <v>14</v>
      </c>
      <c r="C1499" s="48">
        <v>92.2</v>
      </c>
      <c r="D1499" s="48">
        <v>113.5</v>
      </c>
      <c r="E1499" s="48">
        <v>92.4</v>
      </c>
    </row>
    <row r="1500">
      <c r="A1500" s="46" t="s">
        <v>18</v>
      </c>
      <c r="B1500" s="46" t="s">
        <v>15</v>
      </c>
      <c r="C1500" s="48">
        <v>104.4</v>
      </c>
      <c r="D1500" s="49"/>
      <c r="E1500" s="48">
        <v>104.4</v>
      </c>
    </row>
    <row r="1501">
      <c r="A1501" s="46" t="s">
        <v>18</v>
      </c>
      <c r="B1501" s="46" t="s">
        <v>13</v>
      </c>
      <c r="C1501" s="49"/>
      <c r="D1501" s="48">
        <v>81.5</v>
      </c>
      <c r="E1501" s="48">
        <v>81.5</v>
      </c>
    </row>
    <row r="1502">
      <c r="A1502" s="46" t="s">
        <v>18</v>
      </c>
      <c r="B1502" s="46" t="s">
        <v>13</v>
      </c>
      <c r="C1502" s="49"/>
      <c r="D1502" s="48">
        <v>77.6</v>
      </c>
      <c r="E1502" s="48">
        <v>77.6</v>
      </c>
    </row>
    <row r="1503">
      <c r="A1503" s="46" t="s">
        <v>18</v>
      </c>
      <c r="B1503" s="46" t="s">
        <v>14</v>
      </c>
      <c r="C1503" s="48">
        <v>116.5</v>
      </c>
      <c r="D1503" s="48">
        <v>95.8</v>
      </c>
      <c r="E1503" s="48">
        <v>109.7</v>
      </c>
    </row>
    <row r="1504">
      <c r="A1504" s="46" t="s">
        <v>18</v>
      </c>
      <c r="B1504" s="46" t="s">
        <v>14</v>
      </c>
      <c r="C1504" s="48">
        <v>125.7</v>
      </c>
      <c r="D1504" s="48">
        <v>92.1</v>
      </c>
      <c r="E1504" s="48">
        <v>119.8</v>
      </c>
    </row>
    <row r="1505">
      <c r="A1505" s="46" t="s">
        <v>18</v>
      </c>
      <c r="B1505" s="46" t="s">
        <v>14</v>
      </c>
      <c r="C1505" s="48">
        <v>107.6</v>
      </c>
      <c r="D1505" s="48">
        <v>86.9</v>
      </c>
      <c r="E1505" s="48">
        <v>105.5</v>
      </c>
    </row>
    <row r="1506">
      <c r="A1506" s="46" t="s">
        <v>18</v>
      </c>
      <c r="B1506" s="46" t="s">
        <v>15</v>
      </c>
      <c r="C1506" s="48">
        <v>95.6</v>
      </c>
      <c r="D1506" s="49"/>
      <c r="E1506" s="48">
        <v>95.6</v>
      </c>
    </row>
    <row r="1507">
      <c r="A1507" s="46" t="s">
        <v>18</v>
      </c>
      <c r="B1507" s="46" t="s">
        <v>13</v>
      </c>
      <c r="C1507" s="49"/>
      <c r="D1507" s="48">
        <v>82.7</v>
      </c>
      <c r="E1507" s="48">
        <v>82.7</v>
      </c>
    </row>
    <row r="1508">
      <c r="A1508" s="46" t="s">
        <v>18</v>
      </c>
      <c r="B1508" s="46" t="s">
        <v>15</v>
      </c>
      <c r="C1508" s="48">
        <v>131.3</v>
      </c>
      <c r="D1508" s="49"/>
      <c r="E1508" s="48">
        <v>131.3</v>
      </c>
    </row>
    <row r="1509">
      <c r="A1509" s="46" t="s">
        <v>18</v>
      </c>
      <c r="B1509" s="46" t="s">
        <v>14</v>
      </c>
      <c r="C1509" s="48">
        <v>125.8</v>
      </c>
      <c r="D1509" s="48">
        <v>97.5</v>
      </c>
      <c r="E1509" s="48">
        <v>104.9</v>
      </c>
    </row>
    <row r="1510">
      <c r="A1510" s="46" t="s">
        <v>18</v>
      </c>
      <c r="B1510" s="46" t="s">
        <v>15</v>
      </c>
      <c r="C1510" s="48">
        <v>83.8</v>
      </c>
      <c r="D1510" s="49"/>
      <c r="E1510" s="48">
        <v>83.8</v>
      </c>
    </row>
    <row r="1511">
      <c r="A1511" s="46" t="s">
        <v>18</v>
      </c>
      <c r="B1511" s="46" t="s">
        <v>14</v>
      </c>
      <c r="C1511" s="48">
        <v>114.3</v>
      </c>
      <c r="D1511" s="48">
        <v>95.0</v>
      </c>
      <c r="E1511" s="48">
        <v>112.9</v>
      </c>
    </row>
    <row r="1512">
      <c r="A1512" s="46" t="s">
        <v>18</v>
      </c>
      <c r="B1512" s="46" t="s">
        <v>14</v>
      </c>
      <c r="C1512" s="48">
        <v>113.0</v>
      </c>
      <c r="D1512" s="48">
        <v>89.7</v>
      </c>
      <c r="E1512" s="48">
        <v>107.3</v>
      </c>
    </row>
    <row r="1513">
      <c r="A1513" s="46" t="s">
        <v>18</v>
      </c>
      <c r="B1513" s="46" t="s">
        <v>14</v>
      </c>
      <c r="C1513" s="48">
        <v>105.3</v>
      </c>
      <c r="D1513" s="48">
        <v>81.5</v>
      </c>
      <c r="E1513" s="48">
        <v>100.2</v>
      </c>
    </row>
    <row r="1514">
      <c r="A1514" s="46" t="s">
        <v>18</v>
      </c>
      <c r="B1514" s="46" t="s">
        <v>13</v>
      </c>
      <c r="C1514" s="49"/>
      <c r="D1514" s="48">
        <v>77.3</v>
      </c>
      <c r="E1514" s="48">
        <v>77.3</v>
      </c>
    </row>
    <row r="1515">
      <c r="A1515" s="46" t="s">
        <v>18</v>
      </c>
      <c r="B1515" s="46" t="s">
        <v>15</v>
      </c>
      <c r="C1515" s="48">
        <v>121.5</v>
      </c>
      <c r="D1515" s="49"/>
      <c r="E1515" s="48">
        <v>121.5</v>
      </c>
    </row>
    <row r="1516">
      <c r="A1516" s="46" t="s">
        <v>18</v>
      </c>
      <c r="B1516" s="46" t="s">
        <v>13</v>
      </c>
      <c r="C1516" s="49"/>
      <c r="D1516" s="48">
        <v>94.7</v>
      </c>
      <c r="E1516" s="48">
        <v>94.7</v>
      </c>
    </row>
    <row r="1517">
      <c r="A1517" s="46" t="s">
        <v>18</v>
      </c>
      <c r="B1517" s="46" t="s">
        <v>14</v>
      </c>
      <c r="C1517" s="48">
        <v>119.1</v>
      </c>
      <c r="D1517" s="48">
        <v>96.8</v>
      </c>
      <c r="E1517" s="48">
        <v>114.7</v>
      </c>
    </row>
    <row r="1518">
      <c r="A1518" s="46" t="s">
        <v>18</v>
      </c>
      <c r="B1518" s="46" t="s">
        <v>14</v>
      </c>
      <c r="C1518" s="48">
        <v>124.2</v>
      </c>
      <c r="D1518" s="48">
        <v>103.8</v>
      </c>
      <c r="E1518" s="48">
        <v>123.1</v>
      </c>
    </row>
    <row r="1519">
      <c r="A1519" s="46" t="s">
        <v>18</v>
      </c>
      <c r="B1519" s="46" t="s">
        <v>14</v>
      </c>
      <c r="C1519" s="48">
        <v>107.3</v>
      </c>
      <c r="D1519" s="48">
        <v>80.9</v>
      </c>
      <c r="E1519" s="48">
        <v>101.8</v>
      </c>
    </row>
    <row r="1520">
      <c r="A1520" s="46" t="s">
        <v>18</v>
      </c>
      <c r="B1520" s="46" t="s">
        <v>15</v>
      </c>
      <c r="C1520" s="48">
        <v>113.9</v>
      </c>
      <c r="D1520" s="49"/>
      <c r="E1520" s="48">
        <v>113.9</v>
      </c>
    </row>
    <row r="1521">
      <c r="A1521" s="46" t="s">
        <v>18</v>
      </c>
      <c r="B1521" s="46" t="s">
        <v>13</v>
      </c>
      <c r="C1521" s="49"/>
      <c r="D1521" s="48">
        <v>82.8</v>
      </c>
      <c r="E1521" s="48">
        <v>82.8</v>
      </c>
    </row>
    <row r="1522">
      <c r="A1522" s="46" t="s">
        <v>18</v>
      </c>
      <c r="B1522" s="46" t="s">
        <v>14</v>
      </c>
      <c r="C1522" s="48">
        <v>90.9</v>
      </c>
      <c r="D1522" s="48">
        <v>76.8</v>
      </c>
      <c r="E1522" s="48">
        <v>79.6</v>
      </c>
    </row>
    <row r="1523">
      <c r="A1523" s="46" t="s">
        <v>18</v>
      </c>
      <c r="B1523" s="46" t="s">
        <v>15</v>
      </c>
      <c r="C1523" s="48">
        <v>134.4</v>
      </c>
      <c r="D1523" s="49"/>
      <c r="E1523" s="48">
        <v>134.4</v>
      </c>
    </row>
    <row r="1524">
      <c r="A1524" s="46" t="s">
        <v>18</v>
      </c>
      <c r="B1524" s="46" t="s">
        <v>15</v>
      </c>
      <c r="C1524" s="48">
        <v>142.3</v>
      </c>
      <c r="D1524" s="49"/>
      <c r="E1524" s="48">
        <v>142.3</v>
      </c>
    </row>
    <row r="1525">
      <c r="A1525" s="46" t="s">
        <v>18</v>
      </c>
      <c r="B1525" s="46" t="s">
        <v>15</v>
      </c>
      <c r="C1525" s="48">
        <v>130.5</v>
      </c>
      <c r="D1525" s="49"/>
      <c r="E1525" s="48">
        <v>130.5</v>
      </c>
    </row>
    <row r="1526">
      <c r="A1526" s="46" t="s">
        <v>18</v>
      </c>
      <c r="B1526" s="46" t="s">
        <v>15</v>
      </c>
      <c r="C1526" s="48">
        <v>136.1</v>
      </c>
      <c r="D1526" s="49"/>
      <c r="E1526" s="48">
        <v>136.1</v>
      </c>
    </row>
    <row r="1527">
      <c r="A1527" s="46" t="s">
        <v>18</v>
      </c>
      <c r="B1527" s="46" t="s">
        <v>15</v>
      </c>
      <c r="C1527" s="48">
        <v>123.8</v>
      </c>
      <c r="D1527" s="49"/>
      <c r="E1527" s="48">
        <v>123.8</v>
      </c>
    </row>
    <row r="1528">
      <c r="A1528" s="46" t="s">
        <v>18</v>
      </c>
      <c r="B1528" s="46" t="s">
        <v>15</v>
      </c>
      <c r="C1528" s="48">
        <v>109.8</v>
      </c>
      <c r="D1528" s="49"/>
      <c r="E1528" s="48">
        <v>109.8</v>
      </c>
    </row>
    <row r="1529">
      <c r="A1529" s="46" t="s">
        <v>18</v>
      </c>
      <c r="B1529" s="46" t="s">
        <v>14</v>
      </c>
      <c r="C1529" s="48">
        <v>91.8</v>
      </c>
      <c r="D1529" s="48">
        <v>61.0</v>
      </c>
      <c r="E1529" s="48">
        <v>89.8</v>
      </c>
    </row>
    <row r="1530">
      <c r="A1530" s="46" t="s">
        <v>18</v>
      </c>
      <c r="B1530" s="46" t="s">
        <v>15</v>
      </c>
      <c r="C1530" s="48">
        <v>121.0</v>
      </c>
      <c r="D1530" s="49"/>
      <c r="E1530" s="48">
        <v>121.0</v>
      </c>
    </row>
    <row r="1531">
      <c r="A1531" s="46" t="s">
        <v>18</v>
      </c>
      <c r="B1531" s="46" t="s">
        <v>15</v>
      </c>
      <c r="C1531" s="48">
        <v>133.4</v>
      </c>
      <c r="D1531" s="49"/>
      <c r="E1531" s="48">
        <v>133.4</v>
      </c>
    </row>
    <row r="1532">
      <c r="A1532" s="46" t="s">
        <v>18</v>
      </c>
      <c r="B1532" s="46" t="s">
        <v>15</v>
      </c>
      <c r="C1532" s="48">
        <v>92.4</v>
      </c>
      <c r="D1532" s="49"/>
      <c r="E1532" s="48">
        <v>92.4</v>
      </c>
    </row>
    <row r="1533">
      <c r="A1533" s="46" t="s">
        <v>18</v>
      </c>
      <c r="B1533" s="46" t="s">
        <v>13</v>
      </c>
      <c r="C1533" s="49"/>
      <c r="D1533" s="48">
        <v>87.4</v>
      </c>
      <c r="E1533" s="48">
        <v>87.4</v>
      </c>
    </row>
    <row r="1534">
      <c r="A1534" s="46" t="s">
        <v>18</v>
      </c>
      <c r="B1534" s="46" t="s">
        <v>13</v>
      </c>
      <c r="C1534" s="49"/>
      <c r="D1534" s="48">
        <v>99.7</v>
      </c>
      <c r="E1534" s="48">
        <v>99.7</v>
      </c>
    </row>
    <row r="1535">
      <c r="A1535" s="46" t="s">
        <v>18</v>
      </c>
      <c r="B1535" s="46" t="s">
        <v>13</v>
      </c>
      <c r="C1535" s="49"/>
      <c r="D1535" s="48">
        <v>113.3</v>
      </c>
      <c r="E1535" s="48">
        <v>113.3</v>
      </c>
    </row>
    <row r="1536">
      <c r="A1536" s="46" t="s">
        <v>18</v>
      </c>
      <c r="B1536" s="46" t="s">
        <v>13</v>
      </c>
      <c r="C1536" s="49"/>
      <c r="D1536" s="48">
        <v>78.6</v>
      </c>
      <c r="E1536" s="48">
        <v>78.6</v>
      </c>
    </row>
    <row r="1537">
      <c r="A1537" s="46" t="s">
        <v>18</v>
      </c>
      <c r="B1537" s="46" t="s">
        <v>15</v>
      </c>
      <c r="C1537" s="48">
        <v>104.0</v>
      </c>
      <c r="D1537" s="49"/>
      <c r="E1537" s="48">
        <v>104.0</v>
      </c>
    </row>
    <row r="1538">
      <c r="A1538" s="46" t="s">
        <v>18</v>
      </c>
      <c r="B1538" s="46" t="s">
        <v>15</v>
      </c>
      <c r="C1538" s="48">
        <v>109.1</v>
      </c>
      <c r="D1538" s="49"/>
      <c r="E1538" s="48">
        <v>109.1</v>
      </c>
    </row>
    <row r="1539">
      <c r="A1539" s="46" t="s">
        <v>18</v>
      </c>
      <c r="B1539" s="46" t="s">
        <v>14</v>
      </c>
      <c r="C1539" s="48">
        <v>81.2</v>
      </c>
      <c r="D1539" s="48">
        <v>73.8</v>
      </c>
      <c r="E1539" s="48">
        <v>79.5</v>
      </c>
    </row>
    <row r="1540">
      <c r="A1540" s="46" t="s">
        <v>18</v>
      </c>
      <c r="B1540" s="46" t="s">
        <v>15</v>
      </c>
      <c r="C1540" s="48">
        <v>121.6</v>
      </c>
      <c r="D1540" s="49"/>
      <c r="E1540" s="48">
        <v>121.6</v>
      </c>
    </row>
    <row r="1541">
      <c r="A1541" s="46" t="s">
        <v>18</v>
      </c>
      <c r="B1541" s="46" t="s">
        <v>13</v>
      </c>
      <c r="C1541" s="49"/>
      <c r="D1541" s="48">
        <v>76.3</v>
      </c>
      <c r="E1541" s="48">
        <v>76.3</v>
      </c>
    </row>
    <row r="1542">
      <c r="A1542" s="46" t="s">
        <v>18</v>
      </c>
      <c r="B1542" s="46" t="s">
        <v>14</v>
      </c>
      <c r="C1542" s="48">
        <v>112.0</v>
      </c>
      <c r="D1542" s="48">
        <v>89.5</v>
      </c>
      <c r="E1542" s="48">
        <v>106.0</v>
      </c>
    </row>
    <row r="1543">
      <c r="A1543" s="46" t="s">
        <v>18</v>
      </c>
      <c r="B1543" s="46" t="s">
        <v>14</v>
      </c>
      <c r="C1543" s="48">
        <v>99.5</v>
      </c>
      <c r="D1543" s="48">
        <v>77.8</v>
      </c>
      <c r="E1543" s="48">
        <v>80.9</v>
      </c>
    </row>
    <row r="1544">
      <c r="A1544" s="46" t="s">
        <v>18</v>
      </c>
      <c r="B1544" s="46" t="s">
        <v>15</v>
      </c>
      <c r="C1544" s="48">
        <v>111.5</v>
      </c>
      <c r="D1544" s="49"/>
      <c r="E1544" s="48">
        <v>111.5</v>
      </c>
    </row>
    <row r="1545">
      <c r="A1545" s="46" t="s">
        <v>18</v>
      </c>
      <c r="B1545" s="46" t="s">
        <v>14</v>
      </c>
      <c r="C1545" s="48">
        <v>89.6</v>
      </c>
      <c r="D1545" s="48">
        <v>82.3</v>
      </c>
      <c r="E1545" s="48">
        <v>85.8</v>
      </c>
    </row>
    <row r="1546">
      <c r="A1546" s="46" t="s">
        <v>18</v>
      </c>
      <c r="B1546" s="46" t="s">
        <v>15</v>
      </c>
      <c r="C1546" s="48">
        <v>109.5</v>
      </c>
      <c r="D1546" s="49"/>
      <c r="E1546" s="48">
        <v>109.5</v>
      </c>
    </row>
    <row r="1547">
      <c r="A1547" s="46" t="s">
        <v>18</v>
      </c>
      <c r="B1547" s="46" t="s">
        <v>15</v>
      </c>
      <c r="C1547" s="48">
        <v>106.5</v>
      </c>
      <c r="D1547" s="49"/>
      <c r="E1547" s="48">
        <v>106.5</v>
      </c>
    </row>
    <row r="1548">
      <c r="A1548" s="46" t="s">
        <v>18</v>
      </c>
      <c r="B1548" s="46" t="s">
        <v>14</v>
      </c>
      <c r="C1548" s="48">
        <v>116.1</v>
      </c>
      <c r="D1548" s="48">
        <v>87.5</v>
      </c>
      <c r="E1548" s="48">
        <v>110.6</v>
      </c>
    </row>
    <row r="1549">
      <c r="A1549" s="46" t="s">
        <v>18</v>
      </c>
      <c r="B1549" s="46" t="s">
        <v>14</v>
      </c>
      <c r="C1549" s="48">
        <v>122.4</v>
      </c>
      <c r="D1549" s="48">
        <v>96.5</v>
      </c>
      <c r="E1549" s="48">
        <v>117.5</v>
      </c>
    </row>
    <row r="1550">
      <c r="A1550" s="46" t="s">
        <v>18</v>
      </c>
      <c r="B1550" s="46" t="s">
        <v>14</v>
      </c>
      <c r="C1550" s="48">
        <v>105.6</v>
      </c>
      <c r="D1550" s="48">
        <v>86.6</v>
      </c>
      <c r="E1550" s="48">
        <v>101.0</v>
      </c>
    </row>
    <row r="1551">
      <c r="A1551" s="46" t="s">
        <v>18</v>
      </c>
      <c r="B1551" s="46" t="s">
        <v>15</v>
      </c>
      <c r="C1551" s="48">
        <v>126.2</v>
      </c>
      <c r="D1551" s="49"/>
      <c r="E1551" s="48">
        <v>126.2</v>
      </c>
    </row>
    <row r="1552">
      <c r="A1552" s="46" t="s">
        <v>18</v>
      </c>
      <c r="B1552" s="46" t="s">
        <v>14</v>
      </c>
      <c r="C1552" s="48">
        <v>116.7</v>
      </c>
      <c r="D1552" s="48">
        <v>95.1</v>
      </c>
      <c r="E1552" s="48">
        <v>112.7</v>
      </c>
    </row>
    <row r="1553">
      <c r="A1553" s="46" t="s">
        <v>18</v>
      </c>
      <c r="B1553" s="46" t="s">
        <v>14</v>
      </c>
      <c r="C1553" s="48">
        <v>126.4</v>
      </c>
      <c r="D1553" s="48">
        <v>94.9</v>
      </c>
      <c r="E1553" s="48">
        <v>123.0</v>
      </c>
    </row>
    <row r="1554">
      <c r="A1554" s="46" t="s">
        <v>18</v>
      </c>
      <c r="B1554" s="46" t="s">
        <v>13</v>
      </c>
      <c r="C1554" s="49"/>
      <c r="D1554" s="48">
        <v>90.5</v>
      </c>
      <c r="E1554" s="48">
        <v>90.5</v>
      </c>
    </row>
    <row r="1555">
      <c r="A1555" s="46" t="s">
        <v>18</v>
      </c>
      <c r="B1555" s="46" t="s">
        <v>15</v>
      </c>
      <c r="C1555" s="48">
        <v>126.8</v>
      </c>
      <c r="D1555" s="49"/>
      <c r="E1555" s="48">
        <v>126.8</v>
      </c>
    </row>
    <row r="1556">
      <c r="A1556" s="46" t="s">
        <v>18</v>
      </c>
      <c r="B1556" s="46" t="s">
        <v>15</v>
      </c>
      <c r="C1556" s="48">
        <v>141.5</v>
      </c>
      <c r="D1556" s="49"/>
      <c r="E1556" s="48">
        <v>141.5</v>
      </c>
    </row>
    <row r="1557">
      <c r="A1557" s="46" t="s">
        <v>18</v>
      </c>
      <c r="B1557" s="46" t="s">
        <v>15</v>
      </c>
      <c r="C1557" s="48">
        <v>122.3</v>
      </c>
      <c r="D1557" s="49"/>
      <c r="E1557" s="48">
        <v>122.3</v>
      </c>
    </row>
    <row r="1558">
      <c r="A1558" s="46" t="s">
        <v>18</v>
      </c>
      <c r="B1558" s="46" t="s">
        <v>14</v>
      </c>
      <c r="C1558" s="48">
        <v>114.2</v>
      </c>
      <c r="D1558" s="48">
        <v>87.0</v>
      </c>
      <c r="E1558" s="48">
        <v>88.3</v>
      </c>
    </row>
    <row r="1559">
      <c r="A1559" s="46" t="s">
        <v>18</v>
      </c>
      <c r="B1559" s="46" t="s">
        <v>14</v>
      </c>
      <c r="C1559" s="48">
        <v>112.6</v>
      </c>
      <c r="D1559" s="48">
        <v>90.2</v>
      </c>
      <c r="E1559" s="48">
        <v>107.6</v>
      </c>
    </row>
    <row r="1560">
      <c r="A1560" s="46" t="s">
        <v>18</v>
      </c>
      <c r="B1560" s="46" t="s">
        <v>15</v>
      </c>
      <c r="C1560" s="48">
        <v>120.7</v>
      </c>
      <c r="D1560" s="49"/>
      <c r="E1560" s="48">
        <v>120.7</v>
      </c>
    </row>
    <row r="1561">
      <c r="A1561" s="46" t="s">
        <v>18</v>
      </c>
      <c r="B1561" s="46" t="s">
        <v>14</v>
      </c>
      <c r="C1561" s="48">
        <v>129.6</v>
      </c>
      <c r="D1561" s="48">
        <v>102.3</v>
      </c>
      <c r="E1561" s="48">
        <v>125.3</v>
      </c>
    </row>
    <row r="1562">
      <c r="A1562" s="46" t="s">
        <v>18</v>
      </c>
      <c r="B1562" s="46" t="s">
        <v>15</v>
      </c>
      <c r="C1562" s="48">
        <v>129.6</v>
      </c>
      <c r="D1562" s="49"/>
      <c r="E1562" s="48">
        <v>129.6</v>
      </c>
    </row>
    <row r="1563">
      <c r="A1563" s="46" t="s">
        <v>18</v>
      </c>
      <c r="B1563" s="46" t="s">
        <v>14</v>
      </c>
      <c r="C1563" s="48">
        <v>131.4</v>
      </c>
      <c r="D1563" s="48">
        <v>91.2</v>
      </c>
      <c r="E1563" s="48">
        <v>124.0</v>
      </c>
    </row>
    <row r="1564">
      <c r="A1564" s="46" t="s">
        <v>18</v>
      </c>
      <c r="B1564" s="46" t="s">
        <v>15</v>
      </c>
      <c r="C1564" s="48">
        <v>120.6</v>
      </c>
      <c r="D1564" s="49"/>
      <c r="E1564" s="48">
        <v>120.6</v>
      </c>
    </row>
    <row r="1565">
      <c r="A1565" s="46" t="s">
        <v>18</v>
      </c>
      <c r="B1565" s="46" t="s">
        <v>13</v>
      </c>
      <c r="C1565" s="49"/>
      <c r="D1565" s="48">
        <v>82.1</v>
      </c>
      <c r="E1565" s="48">
        <v>82.1</v>
      </c>
    </row>
    <row r="1566">
      <c r="A1566" s="46" t="s">
        <v>18</v>
      </c>
      <c r="B1566" s="46" t="s">
        <v>15</v>
      </c>
      <c r="C1566" s="48">
        <v>122.9</v>
      </c>
      <c r="D1566" s="49"/>
      <c r="E1566" s="48">
        <v>122.9</v>
      </c>
    </row>
    <row r="1567">
      <c r="A1567" s="46" t="s">
        <v>18</v>
      </c>
      <c r="B1567" s="46" t="s">
        <v>13</v>
      </c>
      <c r="C1567" s="49"/>
      <c r="D1567" s="48">
        <v>84.6</v>
      </c>
      <c r="E1567" s="48">
        <v>84.6</v>
      </c>
    </row>
    <row r="1568">
      <c r="A1568" s="46" t="s">
        <v>18</v>
      </c>
      <c r="B1568" s="46" t="s">
        <v>15</v>
      </c>
      <c r="C1568" s="48">
        <v>113.2</v>
      </c>
      <c r="D1568" s="49"/>
      <c r="E1568" s="48">
        <v>113.2</v>
      </c>
    </row>
    <row r="1569">
      <c r="A1569" s="46" t="s">
        <v>18</v>
      </c>
      <c r="B1569" s="46" t="s">
        <v>13</v>
      </c>
      <c r="C1569" s="49"/>
      <c r="D1569" s="48">
        <v>75.5</v>
      </c>
      <c r="E1569" s="48">
        <v>75.5</v>
      </c>
    </row>
    <row r="1570">
      <c r="A1570" s="46" t="s">
        <v>18</v>
      </c>
      <c r="B1570" s="46" t="s">
        <v>15</v>
      </c>
      <c r="C1570" s="48">
        <v>82.9</v>
      </c>
      <c r="D1570" s="49"/>
      <c r="E1570" s="48">
        <v>82.9</v>
      </c>
    </row>
    <row r="1571">
      <c r="A1571" s="46" t="s">
        <v>18</v>
      </c>
      <c r="B1571" s="46" t="s">
        <v>13</v>
      </c>
      <c r="C1571" s="49"/>
      <c r="D1571" s="48">
        <v>90.4</v>
      </c>
      <c r="E1571" s="48">
        <v>90.4</v>
      </c>
    </row>
    <row r="1572">
      <c r="A1572" s="46" t="s">
        <v>18</v>
      </c>
      <c r="B1572" s="46" t="s">
        <v>14</v>
      </c>
      <c r="C1572" s="48">
        <v>110.4</v>
      </c>
      <c r="D1572" s="48">
        <v>90.6</v>
      </c>
      <c r="E1572" s="48">
        <v>105.8</v>
      </c>
    </row>
    <row r="1573">
      <c r="A1573" s="46" t="s">
        <v>18</v>
      </c>
      <c r="B1573" s="46" t="s">
        <v>13</v>
      </c>
      <c r="C1573" s="49"/>
      <c r="D1573" s="48">
        <v>84.6</v>
      </c>
      <c r="E1573" s="48">
        <v>84.6</v>
      </c>
    </row>
    <row r="1574">
      <c r="A1574" s="46" t="s">
        <v>18</v>
      </c>
      <c r="B1574" s="46" t="s">
        <v>15</v>
      </c>
      <c r="C1574" s="48">
        <v>104.5</v>
      </c>
      <c r="D1574" s="49"/>
      <c r="E1574" s="48">
        <v>104.5</v>
      </c>
    </row>
    <row r="1575">
      <c r="A1575" s="46" t="s">
        <v>18</v>
      </c>
      <c r="B1575" s="46" t="s">
        <v>14</v>
      </c>
      <c r="C1575" s="48">
        <v>105.1</v>
      </c>
      <c r="D1575" s="48">
        <v>93.9</v>
      </c>
      <c r="E1575" s="48">
        <v>102.5</v>
      </c>
    </row>
    <row r="1576">
      <c r="A1576" s="46" t="s">
        <v>18</v>
      </c>
      <c r="B1576" s="46" t="s">
        <v>14</v>
      </c>
      <c r="C1576" s="48">
        <v>116.0</v>
      </c>
      <c r="D1576" s="48">
        <v>90.3</v>
      </c>
      <c r="E1576" s="48">
        <v>111.7</v>
      </c>
    </row>
    <row r="1577">
      <c r="A1577" s="46" t="s">
        <v>18</v>
      </c>
      <c r="B1577" s="46" t="s">
        <v>15</v>
      </c>
      <c r="C1577" s="48">
        <v>107.9</v>
      </c>
      <c r="D1577" s="49"/>
      <c r="E1577" s="48">
        <v>107.9</v>
      </c>
    </row>
    <row r="1578">
      <c r="A1578" s="46" t="s">
        <v>18</v>
      </c>
      <c r="B1578" s="46" t="s">
        <v>14</v>
      </c>
      <c r="C1578" s="48">
        <v>115.3</v>
      </c>
      <c r="D1578" s="48">
        <v>89.2</v>
      </c>
      <c r="E1578" s="48">
        <v>109.6</v>
      </c>
    </row>
    <row r="1579">
      <c r="A1579" s="46" t="s">
        <v>18</v>
      </c>
      <c r="B1579" s="46" t="s">
        <v>15</v>
      </c>
      <c r="C1579" s="48">
        <v>112.0</v>
      </c>
      <c r="D1579" s="49"/>
      <c r="E1579" s="48">
        <v>112.0</v>
      </c>
    </row>
    <row r="1580">
      <c r="A1580" s="46" t="s">
        <v>18</v>
      </c>
      <c r="B1580" s="46" t="s">
        <v>13</v>
      </c>
      <c r="C1580" s="49"/>
      <c r="D1580" s="48">
        <v>88.2</v>
      </c>
      <c r="E1580" s="48">
        <v>88.2</v>
      </c>
    </row>
    <row r="1581">
      <c r="A1581" s="46" t="s">
        <v>18</v>
      </c>
      <c r="B1581" s="46" t="s">
        <v>13</v>
      </c>
      <c r="C1581" s="49"/>
      <c r="D1581" s="48">
        <v>81.2</v>
      </c>
      <c r="E1581" s="48">
        <v>81.2</v>
      </c>
    </row>
    <row r="1582">
      <c r="A1582" s="46" t="s">
        <v>18</v>
      </c>
      <c r="B1582" s="46" t="s">
        <v>14</v>
      </c>
      <c r="C1582" s="48">
        <v>122.8</v>
      </c>
      <c r="D1582" s="48">
        <v>89.6</v>
      </c>
      <c r="E1582" s="48">
        <v>113.7</v>
      </c>
    </row>
    <row r="1583">
      <c r="A1583" s="46" t="s">
        <v>18</v>
      </c>
      <c r="B1583" s="46" t="s">
        <v>13</v>
      </c>
      <c r="C1583" s="49"/>
      <c r="D1583" s="48">
        <v>87.5</v>
      </c>
      <c r="E1583" s="48">
        <v>87.5</v>
      </c>
    </row>
    <row r="1584">
      <c r="A1584" s="46" t="s">
        <v>18</v>
      </c>
      <c r="B1584" s="46" t="s">
        <v>13</v>
      </c>
      <c r="C1584" s="49"/>
      <c r="D1584" s="48">
        <v>91.5</v>
      </c>
      <c r="E1584" s="48">
        <v>91.5</v>
      </c>
    </row>
    <row r="1585">
      <c r="A1585" s="46" t="s">
        <v>18</v>
      </c>
      <c r="B1585" s="46" t="s">
        <v>14</v>
      </c>
      <c r="C1585" s="48">
        <v>110.0</v>
      </c>
      <c r="D1585" s="48">
        <v>98.7</v>
      </c>
      <c r="E1585" s="48">
        <v>101.3</v>
      </c>
    </row>
    <row r="1586">
      <c r="A1586" s="46" t="s">
        <v>18</v>
      </c>
      <c r="B1586" s="46" t="s">
        <v>14</v>
      </c>
      <c r="C1586" s="48">
        <v>122.3</v>
      </c>
      <c r="D1586" s="48">
        <v>97.1</v>
      </c>
      <c r="E1586" s="48">
        <v>117.6</v>
      </c>
    </row>
    <row r="1587">
      <c r="A1587" s="46" t="s">
        <v>18</v>
      </c>
      <c r="B1587" s="46" t="s">
        <v>14</v>
      </c>
      <c r="C1587" s="48">
        <v>103.3</v>
      </c>
      <c r="D1587" s="48">
        <v>83.7</v>
      </c>
      <c r="E1587" s="48">
        <v>99.3</v>
      </c>
    </row>
    <row r="1588">
      <c r="A1588" s="46" t="s">
        <v>18</v>
      </c>
      <c r="B1588" s="46" t="s">
        <v>13</v>
      </c>
      <c r="C1588" s="49"/>
      <c r="D1588" s="48">
        <v>95.1</v>
      </c>
      <c r="E1588" s="48">
        <v>95.1</v>
      </c>
    </row>
    <row r="1589">
      <c r="A1589" s="46" t="s">
        <v>18</v>
      </c>
      <c r="B1589" s="46" t="s">
        <v>13</v>
      </c>
      <c r="C1589" s="49"/>
      <c r="D1589" s="48">
        <v>86.6</v>
      </c>
      <c r="E1589" s="48">
        <v>86.6</v>
      </c>
    </row>
    <row r="1590">
      <c r="A1590" s="46" t="s">
        <v>18</v>
      </c>
      <c r="B1590" s="46" t="s">
        <v>15</v>
      </c>
      <c r="C1590" s="48">
        <v>110.3</v>
      </c>
      <c r="D1590" s="49"/>
      <c r="E1590" s="48">
        <v>110.3</v>
      </c>
    </row>
    <row r="1591">
      <c r="A1591" s="46" t="s">
        <v>18</v>
      </c>
      <c r="B1591" s="46" t="s">
        <v>15</v>
      </c>
      <c r="C1591" s="48">
        <v>121.6</v>
      </c>
      <c r="D1591" s="49"/>
      <c r="E1591" s="48">
        <v>121.6</v>
      </c>
    </row>
    <row r="1592">
      <c r="A1592" s="46" t="s">
        <v>18</v>
      </c>
      <c r="B1592" s="46" t="s">
        <v>14</v>
      </c>
      <c r="C1592" s="48">
        <v>107.8</v>
      </c>
      <c r="D1592" s="48">
        <v>95.5</v>
      </c>
      <c r="E1592" s="48">
        <v>99.2</v>
      </c>
    </row>
    <row r="1593">
      <c r="A1593" s="46" t="s">
        <v>18</v>
      </c>
      <c r="B1593" s="46" t="s">
        <v>13</v>
      </c>
      <c r="C1593" s="49"/>
      <c r="D1593" s="48">
        <v>84.3</v>
      </c>
      <c r="E1593" s="48">
        <v>84.3</v>
      </c>
    </row>
    <row r="1594">
      <c r="A1594" s="46" t="s">
        <v>18</v>
      </c>
      <c r="B1594" s="46" t="s">
        <v>14</v>
      </c>
      <c r="C1594" s="48">
        <v>109.1</v>
      </c>
      <c r="D1594" s="48">
        <v>87.8</v>
      </c>
      <c r="E1594" s="48">
        <v>91.0</v>
      </c>
    </row>
    <row r="1595">
      <c r="A1595" s="46" t="s">
        <v>18</v>
      </c>
      <c r="B1595" s="46" t="s">
        <v>14</v>
      </c>
      <c r="C1595" s="48">
        <v>114.5</v>
      </c>
      <c r="D1595" s="48">
        <v>85.7</v>
      </c>
      <c r="E1595" s="48">
        <v>107.4</v>
      </c>
    </row>
    <row r="1596">
      <c r="A1596" s="46" t="s">
        <v>18</v>
      </c>
      <c r="B1596" s="46" t="s">
        <v>14</v>
      </c>
      <c r="C1596" s="48">
        <v>104.4</v>
      </c>
      <c r="D1596" s="48">
        <v>94.7</v>
      </c>
      <c r="E1596" s="48">
        <v>102.9</v>
      </c>
    </row>
    <row r="1597">
      <c r="A1597" s="46" t="s">
        <v>18</v>
      </c>
      <c r="B1597" s="46" t="s">
        <v>13</v>
      </c>
      <c r="C1597" s="49"/>
      <c r="D1597" s="48">
        <v>84.4</v>
      </c>
      <c r="E1597" s="48">
        <v>84.4</v>
      </c>
    </row>
    <row r="1598">
      <c r="A1598" s="46" t="s">
        <v>18</v>
      </c>
      <c r="B1598" s="46" t="s">
        <v>14</v>
      </c>
      <c r="C1598" s="48">
        <v>108.3</v>
      </c>
      <c r="D1598" s="48">
        <v>92.2</v>
      </c>
      <c r="E1598" s="48">
        <v>95.3</v>
      </c>
    </row>
    <row r="1599">
      <c r="A1599" s="46" t="s">
        <v>18</v>
      </c>
      <c r="B1599" s="46" t="s">
        <v>14</v>
      </c>
      <c r="C1599" s="48">
        <v>103.8</v>
      </c>
      <c r="D1599" s="48">
        <v>85.6</v>
      </c>
      <c r="E1599" s="48">
        <v>98.7</v>
      </c>
    </row>
    <row r="1600">
      <c r="A1600" s="46" t="s">
        <v>18</v>
      </c>
      <c r="B1600" s="46" t="s">
        <v>14</v>
      </c>
      <c r="C1600" s="48">
        <v>109.5</v>
      </c>
      <c r="D1600" s="48">
        <v>85.6</v>
      </c>
      <c r="E1600" s="48">
        <v>104.0</v>
      </c>
    </row>
    <row r="1601">
      <c r="A1601" s="46" t="s">
        <v>18</v>
      </c>
      <c r="B1601" s="46" t="s">
        <v>14</v>
      </c>
      <c r="C1601" s="48">
        <v>103.0</v>
      </c>
      <c r="D1601" s="48">
        <v>85.5</v>
      </c>
      <c r="E1601" s="48">
        <v>100.6</v>
      </c>
    </row>
    <row r="1602">
      <c r="A1602" s="46" t="s">
        <v>18</v>
      </c>
      <c r="B1602" s="46" t="s">
        <v>15</v>
      </c>
      <c r="C1602" s="48">
        <v>116.1</v>
      </c>
      <c r="D1602" s="49"/>
      <c r="E1602" s="48">
        <v>116.1</v>
      </c>
    </row>
    <row r="1603">
      <c r="A1603" s="46" t="s">
        <v>18</v>
      </c>
      <c r="B1603" s="46" t="s">
        <v>13</v>
      </c>
      <c r="C1603" s="49"/>
      <c r="D1603" s="48">
        <v>82.1</v>
      </c>
      <c r="E1603" s="48">
        <v>82.1</v>
      </c>
    </row>
    <row r="1604">
      <c r="A1604" s="46" t="s">
        <v>18</v>
      </c>
      <c r="B1604" s="46" t="s">
        <v>13</v>
      </c>
      <c r="C1604" s="49"/>
      <c r="D1604" s="48">
        <v>87.3</v>
      </c>
      <c r="E1604" s="48">
        <v>87.3</v>
      </c>
    </row>
    <row r="1605">
      <c r="A1605" s="46" t="s">
        <v>18</v>
      </c>
      <c r="B1605" s="46" t="s">
        <v>14</v>
      </c>
      <c r="C1605" s="48">
        <v>126.4</v>
      </c>
      <c r="D1605" s="48">
        <v>95.9</v>
      </c>
      <c r="E1605" s="48">
        <v>117.5</v>
      </c>
    </row>
    <row r="1606">
      <c r="A1606" s="46" t="s">
        <v>18</v>
      </c>
      <c r="B1606" s="46" t="s">
        <v>14</v>
      </c>
      <c r="C1606" s="48">
        <v>111.2</v>
      </c>
      <c r="D1606" s="48">
        <v>94.0</v>
      </c>
      <c r="E1606" s="48">
        <v>107.7</v>
      </c>
    </row>
    <row r="1607">
      <c r="A1607" s="46" t="s">
        <v>18</v>
      </c>
      <c r="B1607" s="46" t="s">
        <v>13</v>
      </c>
      <c r="C1607" s="49"/>
      <c r="D1607" s="48">
        <v>91.7</v>
      </c>
      <c r="E1607" s="48">
        <v>91.7</v>
      </c>
    </row>
    <row r="1608">
      <c r="A1608" s="46" t="s">
        <v>18</v>
      </c>
      <c r="B1608" s="46" t="s">
        <v>15</v>
      </c>
      <c r="C1608" s="48">
        <v>99.6</v>
      </c>
      <c r="D1608" s="49"/>
      <c r="E1608" s="48">
        <v>99.6</v>
      </c>
    </row>
    <row r="1609">
      <c r="A1609" s="46" t="s">
        <v>18</v>
      </c>
      <c r="B1609" s="46" t="s">
        <v>13</v>
      </c>
      <c r="C1609" s="49"/>
      <c r="D1609" s="48">
        <v>84.4</v>
      </c>
      <c r="E1609" s="48">
        <v>84.4</v>
      </c>
    </row>
    <row r="1610">
      <c r="A1610" s="46" t="s">
        <v>18</v>
      </c>
      <c r="B1610" s="46" t="s">
        <v>15</v>
      </c>
      <c r="C1610" s="48">
        <v>120.8</v>
      </c>
      <c r="D1610" s="49"/>
      <c r="E1610" s="48">
        <v>120.8</v>
      </c>
    </row>
    <row r="1611">
      <c r="A1611" s="46" t="s">
        <v>18</v>
      </c>
      <c r="B1611" s="46" t="s">
        <v>14</v>
      </c>
      <c r="C1611" s="48">
        <v>102.7</v>
      </c>
      <c r="D1611" s="48">
        <v>84.3</v>
      </c>
      <c r="E1611" s="48">
        <v>95.5</v>
      </c>
    </row>
    <row r="1612">
      <c r="A1612" s="46" t="s">
        <v>18</v>
      </c>
      <c r="B1612" s="46" t="s">
        <v>15</v>
      </c>
      <c r="C1612" s="48">
        <v>122.6</v>
      </c>
      <c r="D1612" s="49"/>
      <c r="E1612" s="48">
        <v>122.6</v>
      </c>
    </row>
    <row r="1613">
      <c r="A1613" s="46" t="s">
        <v>18</v>
      </c>
      <c r="B1613" s="46" t="s">
        <v>15</v>
      </c>
      <c r="C1613" s="48">
        <v>132.8</v>
      </c>
      <c r="D1613" s="49"/>
      <c r="E1613" s="48">
        <v>132.8</v>
      </c>
    </row>
    <row r="1614">
      <c r="A1614" s="46" t="s">
        <v>18</v>
      </c>
      <c r="B1614" s="46" t="s">
        <v>15</v>
      </c>
      <c r="C1614" s="48">
        <v>116.2</v>
      </c>
      <c r="D1614" s="49"/>
      <c r="E1614" s="48">
        <v>116.2</v>
      </c>
    </row>
    <row r="1615">
      <c r="A1615" s="46" t="s">
        <v>18</v>
      </c>
      <c r="B1615" s="46" t="s">
        <v>15</v>
      </c>
      <c r="C1615" s="48">
        <v>142.3</v>
      </c>
      <c r="D1615" s="49"/>
      <c r="E1615" s="48">
        <v>142.3</v>
      </c>
    </row>
    <row r="1616">
      <c r="A1616" s="46" t="s">
        <v>18</v>
      </c>
      <c r="B1616" s="46" t="s">
        <v>15</v>
      </c>
      <c r="C1616" s="48">
        <v>141.5</v>
      </c>
      <c r="D1616" s="49"/>
      <c r="E1616" s="48">
        <v>141.5</v>
      </c>
    </row>
    <row r="1617">
      <c r="A1617" s="46" t="s">
        <v>18</v>
      </c>
      <c r="B1617" s="46" t="s">
        <v>14</v>
      </c>
      <c r="C1617" s="48">
        <v>96.6</v>
      </c>
      <c r="D1617" s="48">
        <v>87.0</v>
      </c>
      <c r="E1617" s="48">
        <v>91.7</v>
      </c>
    </row>
    <row r="1618">
      <c r="A1618" s="46" t="s">
        <v>18</v>
      </c>
      <c r="B1618" s="46" t="s">
        <v>15</v>
      </c>
      <c r="C1618" s="48">
        <v>138.5</v>
      </c>
      <c r="D1618" s="49"/>
      <c r="E1618" s="48">
        <v>138.5</v>
      </c>
    </row>
    <row r="1619">
      <c r="A1619" s="46" t="s">
        <v>18</v>
      </c>
      <c r="B1619" s="46" t="s">
        <v>15</v>
      </c>
      <c r="C1619" s="48">
        <v>101.9</v>
      </c>
      <c r="D1619" s="49"/>
      <c r="E1619" s="48">
        <v>101.9</v>
      </c>
    </row>
    <row r="1620">
      <c r="A1620" s="46" t="s">
        <v>18</v>
      </c>
      <c r="B1620" s="46" t="s">
        <v>14</v>
      </c>
      <c r="C1620" s="48">
        <v>57.1</v>
      </c>
      <c r="D1620" s="48">
        <v>72.5</v>
      </c>
      <c r="E1620" s="48">
        <v>72.4</v>
      </c>
    </row>
    <row r="1621">
      <c r="A1621" s="46" t="s">
        <v>18</v>
      </c>
      <c r="B1621" s="46" t="s">
        <v>15</v>
      </c>
      <c r="C1621" s="48">
        <v>79.8</v>
      </c>
      <c r="D1621" s="49"/>
      <c r="E1621" s="48">
        <v>79.8</v>
      </c>
    </row>
    <row r="1622">
      <c r="A1622" s="46" t="s">
        <v>18</v>
      </c>
      <c r="B1622" s="46" t="s">
        <v>14</v>
      </c>
      <c r="C1622" s="48">
        <v>66.3</v>
      </c>
      <c r="D1622" s="48">
        <v>71.9</v>
      </c>
      <c r="E1622" s="48">
        <v>71.7</v>
      </c>
    </row>
    <row r="1623">
      <c r="A1623" s="46" t="s">
        <v>18</v>
      </c>
      <c r="B1623" s="46" t="s">
        <v>15</v>
      </c>
      <c r="C1623" s="48">
        <v>99.2</v>
      </c>
      <c r="D1623" s="49"/>
      <c r="E1623" s="48">
        <v>99.2</v>
      </c>
    </row>
    <row r="1624">
      <c r="A1624" s="46" t="s">
        <v>18</v>
      </c>
      <c r="B1624" s="46" t="s">
        <v>15</v>
      </c>
      <c r="C1624" s="48">
        <v>78.3</v>
      </c>
      <c r="D1624" s="49"/>
      <c r="E1624" s="48">
        <v>78.3</v>
      </c>
    </row>
    <row r="1625">
      <c r="A1625" s="46" t="s">
        <v>18</v>
      </c>
      <c r="B1625" s="46" t="s">
        <v>15</v>
      </c>
      <c r="C1625" s="48">
        <v>95.4</v>
      </c>
      <c r="D1625" s="49"/>
      <c r="E1625" s="48">
        <v>95.4</v>
      </c>
    </row>
    <row r="1626">
      <c r="A1626" s="46" t="s">
        <v>18</v>
      </c>
      <c r="B1626" s="46" t="s">
        <v>14</v>
      </c>
      <c r="C1626" s="48">
        <v>90.1</v>
      </c>
      <c r="D1626" s="48">
        <v>80.7</v>
      </c>
      <c r="E1626" s="48">
        <v>83.2</v>
      </c>
    </row>
    <row r="1627">
      <c r="A1627" s="46" t="s">
        <v>18</v>
      </c>
      <c r="B1627" s="46" t="s">
        <v>14</v>
      </c>
      <c r="C1627" s="48">
        <v>93.5</v>
      </c>
      <c r="D1627" s="48">
        <v>78.3</v>
      </c>
      <c r="E1627" s="48">
        <v>87.7</v>
      </c>
    </row>
    <row r="1628">
      <c r="A1628" s="46" t="s">
        <v>18</v>
      </c>
      <c r="B1628" s="46" t="s">
        <v>15</v>
      </c>
      <c r="C1628" s="48">
        <v>96.9</v>
      </c>
      <c r="D1628" s="49"/>
      <c r="E1628" s="48">
        <v>96.9</v>
      </c>
    </row>
    <row r="1629">
      <c r="A1629" s="46" t="s">
        <v>18</v>
      </c>
      <c r="B1629" s="46" t="s">
        <v>14</v>
      </c>
      <c r="C1629" s="48">
        <v>119.7</v>
      </c>
      <c r="D1629" s="48">
        <v>99.2</v>
      </c>
      <c r="E1629" s="48">
        <v>109.5</v>
      </c>
    </row>
    <row r="1630">
      <c r="A1630" s="46" t="s">
        <v>18</v>
      </c>
      <c r="B1630" s="46" t="s">
        <v>14</v>
      </c>
      <c r="C1630" s="48">
        <v>97.1</v>
      </c>
      <c r="D1630" s="48">
        <v>81.8</v>
      </c>
      <c r="E1630" s="48">
        <v>91.3</v>
      </c>
    </row>
    <row r="1631">
      <c r="A1631" s="46" t="s">
        <v>18</v>
      </c>
      <c r="B1631" s="46" t="s">
        <v>14</v>
      </c>
      <c r="C1631" s="48">
        <v>116.1</v>
      </c>
      <c r="D1631" s="48">
        <v>85.0</v>
      </c>
      <c r="E1631" s="48">
        <v>108.9</v>
      </c>
    </row>
    <row r="1632">
      <c r="A1632" s="46" t="s">
        <v>18</v>
      </c>
      <c r="B1632" s="46" t="s">
        <v>15</v>
      </c>
      <c r="C1632" s="48">
        <v>109.7</v>
      </c>
      <c r="D1632" s="49"/>
      <c r="E1632" s="48">
        <v>109.7</v>
      </c>
    </row>
    <row r="1633">
      <c r="A1633" s="46" t="s">
        <v>18</v>
      </c>
      <c r="B1633" s="46" t="s">
        <v>14</v>
      </c>
      <c r="C1633" s="48">
        <v>84.5</v>
      </c>
      <c r="D1633" s="48">
        <v>81.1</v>
      </c>
      <c r="E1633" s="48">
        <v>82.9</v>
      </c>
    </row>
    <row r="1634">
      <c r="A1634" s="46" t="s">
        <v>18</v>
      </c>
      <c r="B1634" s="46" t="s">
        <v>15</v>
      </c>
      <c r="C1634" s="48">
        <v>100.8</v>
      </c>
      <c r="D1634" s="49"/>
      <c r="E1634" s="48">
        <v>100.8</v>
      </c>
    </row>
    <row r="1635">
      <c r="A1635" s="46" t="s">
        <v>18</v>
      </c>
      <c r="B1635" s="46" t="s">
        <v>14</v>
      </c>
      <c r="C1635" s="48">
        <v>86.3</v>
      </c>
      <c r="D1635" s="48">
        <v>81.4</v>
      </c>
      <c r="E1635" s="48">
        <v>85.3</v>
      </c>
    </row>
    <row r="1636">
      <c r="A1636" s="46" t="s">
        <v>18</v>
      </c>
      <c r="B1636" s="46" t="s">
        <v>13</v>
      </c>
      <c r="C1636" s="49"/>
      <c r="D1636" s="48">
        <v>84.1</v>
      </c>
      <c r="E1636" s="48">
        <v>84.1</v>
      </c>
    </row>
    <row r="1637">
      <c r="A1637" s="46" t="s">
        <v>18</v>
      </c>
      <c r="B1637" s="46" t="s">
        <v>14</v>
      </c>
      <c r="C1637" s="48">
        <v>82.7</v>
      </c>
      <c r="D1637" s="48">
        <v>80.3</v>
      </c>
      <c r="E1637" s="48">
        <v>81.8</v>
      </c>
    </row>
    <row r="1638">
      <c r="A1638" s="46" t="s">
        <v>18</v>
      </c>
      <c r="B1638" s="46" t="s">
        <v>15</v>
      </c>
      <c r="C1638" s="48">
        <v>110.7</v>
      </c>
      <c r="D1638" s="49"/>
      <c r="E1638" s="48">
        <v>110.7</v>
      </c>
    </row>
    <row r="1639">
      <c r="A1639" s="46" t="s">
        <v>18</v>
      </c>
      <c r="B1639" s="46" t="s">
        <v>14</v>
      </c>
      <c r="C1639" s="48">
        <v>124.2</v>
      </c>
      <c r="D1639" s="48">
        <v>106.1</v>
      </c>
      <c r="E1639" s="48">
        <v>123.0</v>
      </c>
    </row>
    <row r="1640">
      <c r="A1640" s="46" t="s">
        <v>18</v>
      </c>
      <c r="B1640" s="46" t="s">
        <v>14</v>
      </c>
      <c r="C1640" s="48">
        <v>70.9</v>
      </c>
      <c r="D1640" s="48">
        <v>71.6</v>
      </c>
      <c r="E1640" s="48">
        <v>71.6</v>
      </c>
    </row>
    <row r="1641">
      <c r="A1641" s="46" t="s">
        <v>18</v>
      </c>
      <c r="B1641" s="46" t="s">
        <v>15</v>
      </c>
      <c r="C1641" s="48">
        <v>106.9</v>
      </c>
      <c r="D1641" s="49"/>
      <c r="E1641" s="48">
        <v>106.9</v>
      </c>
    </row>
    <row r="1642">
      <c r="A1642" s="46" t="s">
        <v>18</v>
      </c>
      <c r="B1642" s="46" t="s">
        <v>13</v>
      </c>
      <c r="C1642" s="49"/>
      <c r="D1642" s="48">
        <v>88.9</v>
      </c>
      <c r="E1642" s="48">
        <v>88.9</v>
      </c>
    </row>
    <row r="1643">
      <c r="A1643" s="46" t="s">
        <v>18</v>
      </c>
      <c r="B1643" s="46" t="s">
        <v>14</v>
      </c>
      <c r="C1643" s="48">
        <v>102.1</v>
      </c>
      <c r="D1643" s="48">
        <v>83.0</v>
      </c>
      <c r="E1643" s="48">
        <v>98.8</v>
      </c>
    </row>
    <row r="1644">
      <c r="A1644" s="46" t="s">
        <v>18</v>
      </c>
      <c r="B1644" s="46" t="s">
        <v>14</v>
      </c>
      <c r="C1644" s="48">
        <v>89.3</v>
      </c>
      <c r="D1644" s="48">
        <v>85.2</v>
      </c>
      <c r="E1644" s="48">
        <v>85.3</v>
      </c>
    </row>
    <row r="1645">
      <c r="A1645" s="46" t="s">
        <v>18</v>
      </c>
      <c r="B1645" s="46" t="s">
        <v>15</v>
      </c>
      <c r="C1645" s="48">
        <v>117.4</v>
      </c>
      <c r="D1645" s="49"/>
      <c r="E1645" s="48">
        <v>117.4</v>
      </c>
    </row>
    <row r="1646">
      <c r="A1646" s="46" t="s">
        <v>18</v>
      </c>
      <c r="B1646" s="46" t="s">
        <v>14</v>
      </c>
      <c r="C1646" s="48">
        <v>105.7</v>
      </c>
      <c r="D1646" s="48">
        <v>77.8</v>
      </c>
      <c r="E1646" s="48">
        <v>104.8</v>
      </c>
    </row>
    <row r="1647">
      <c r="A1647" s="46" t="s">
        <v>18</v>
      </c>
      <c r="B1647" s="46" t="s">
        <v>13</v>
      </c>
      <c r="C1647" s="49"/>
      <c r="D1647" s="48">
        <v>71.0</v>
      </c>
      <c r="E1647" s="48">
        <v>71.0</v>
      </c>
    </row>
    <row r="1648">
      <c r="A1648" s="46" t="s">
        <v>18</v>
      </c>
      <c r="B1648" s="46" t="s">
        <v>14</v>
      </c>
      <c r="C1648" s="48">
        <v>80.6</v>
      </c>
      <c r="D1648" s="48">
        <v>69.4</v>
      </c>
      <c r="E1648" s="48">
        <v>71.6</v>
      </c>
    </row>
    <row r="1649">
      <c r="A1649" s="46" t="s">
        <v>18</v>
      </c>
      <c r="B1649" s="46" t="s">
        <v>15</v>
      </c>
      <c r="C1649" s="48">
        <v>109.7</v>
      </c>
      <c r="D1649" s="49"/>
      <c r="E1649" s="48">
        <v>109.7</v>
      </c>
    </row>
    <row r="1650">
      <c r="A1650" s="46" t="s">
        <v>18</v>
      </c>
      <c r="B1650" s="46" t="s">
        <v>13</v>
      </c>
      <c r="C1650" s="49"/>
      <c r="D1650" s="48">
        <v>73.9</v>
      </c>
      <c r="E1650" s="48">
        <v>73.9</v>
      </c>
    </row>
    <row r="1651">
      <c r="A1651" s="46" t="s">
        <v>18</v>
      </c>
      <c r="B1651" s="46" t="s">
        <v>14</v>
      </c>
      <c r="C1651" s="48">
        <v>95.7</v>
      </c>
      <c r="D1651" s="48">
        <v>82.5</v>
      </c>
      <c r="E1651" s="48">
        <v>85.0</v>
      </c>
    </row>
    <row r="1652">
      <c r="A1652" s="46" t="s">
        <v>18</v>
      </c>
      <c r="B1652" s="46" t="s">
        <v>13</v>
      </c>
      <c r="C1652" s="49"/>
      <c r="D1652" s="48">
        <v>74.2</v>
      </c>
      <c r="E1652" s="48">
        <v>74.2</v>
      </c>
    </row>
    <row r="1653">
      <c r="A1653" s="46" t="s">
        <v>18</v>
      </c>
      <c r="B1653" s="46" t="s">
        <v>13</v>
      </c>
      <c r="C1653" s="49"/>
      <c r="D1653" s="48">
        <v>73.5</v>
      </c>
      <c r="E1653" s="48">
        <v>73.5</v>
      </c>
    </row>
    <row r="1654">
      <c r="A1654" s="46" t="s">
        <v>18</v>
      </c>
      <c r="B1654" s="46" t="s">
        <v>14</v>
      </c>
      <c r="C1654" s="48">
        <v>85.3</v>
      </c>
      <c r="D1654" s="48">
        <v>72.2</v>
      </c>
      <c r="E1654" s="48">
        <v>76.2</v>
      </c>
    </row>
    <row r="1655">
      <c r="A1655" s="46" t="s">
        <v>18</v>
      </c>
      <c r="B1655" s="46" t="s">
        <v>15</v>
      </c>
      <c r="C1655" s="48">
        <v>92.2</v>
      </c>
      <c r="D1655" s="49"/>
      <c r="E1655" s="48">
        <v>92.2</v>
      </c>
    </row>
    <row r="1656">
      <c r="A1656" s="46" t="s">
        <v>18</v>
      </c>
      <c r="B1656" s="46" t="s">
        <v>14</v>
      </c>
      <c r="C1656" s="48">
        <v>100.8</v>
      </c>
      <c r="D1656" s="48">
        <v>81.4</v>
      </c>
      <c r="E1656" s="48">
        <v>89.4</v>
      </c>
    </row>
    <row r="1657">
      <c r="A1657" s="46" t="s">
        <v>18</v>
      </c>
      <c r="B1657" s="46" t="s">
        <v>14</v>
      </c>
      <c r="C1657" s="48">
        <v>102.3</v>
      </c>
      <c r="D1657" s="48">
        <v>88.2</v>
      </c>
      <c r="E1657" s="48">
        <v>96.8</v>
      </c>
    </row>
    <row r="1658">
      <c r="A1658" s="46" t="s">
        <v>18</v>
      </c>
      <c r="B1658" s="46" t="s">
        <v>15</v>
      </c>
      <c r="C1658" s="48">
        <v>89.3</v>
      </c>
      <c r="D1658" s="49"/>
      <c r="E1658" s="48">
        <v>89.3</v>
      </c>
    </row>
    <row r="1659">
      <c r="A1659" s="46" t="s">
        <v>18</v>
      </c>
      <c r="B1659" s="46" t="s">
        <v>15</v>
      </c>
      <c r="C1659" s="48">
        <v>92.6</v>
      </c>
      <c r="D1659" s="49"/>
      <c r="E1659" s="48">
        <v>92.6</v>
      </c>
    </row>
    <row r="1660">
      <c r="A1660" s="46" t="s">
        <v>18</v>
      </c>
      <c r="B1660" s="46" t="s">
        <v>14</v>
      </c>
      <c r="C1660" s="48">
        <v>78.1</v>
      </c>
      <c r="D1660" s="48">
        <v>66.8</v>
      </c>
      <c r="E1660" s="48">
        <v>68.6</v>
      </c>
    </row>
    <row r="1661">
      <c r="A1661" s="46" t="s">
        <v>18</v>
      </c>
      <c r="B1661" s="46" t="s">
        <v>14</v>
      </c>
      <c r="C1661" s="48">
        <v>88.2</v>
      </c>
      <c r="D1661" s="48">
        <v>67.4</v>
      </c>
      <c r="E1661" s="48">
        <v>78.8</v>
      </c>
    </row>
    <row r="1662">
      <c r="A1662" s="46" t="s">
        <v>18</v>
      </c>
      <c r="B1662" s="46" t="s">
        <v>14</v>
      </c>
      <c r="C1662" s="48">
        <v>66.4</v>
      </c>
      <c r="D1662" s="48">
        <v>54.2</v>
      </c>
      <c r="E1662" s="48">
        <v>60.7</v>
      </c>
    </row>
    <row r="1663">
      <c r="A1663" s="46" t="s">
        <v>18</v>
      </c>
      <c r="B1663" s="46" t="s">
        <v>14</v>
      </c>
      <c r="C1663" s="48">
        <v>107.4</v>
      </c>
      <c r="D1663" s="48">
        <v>74.7</v>
      </c>
      <c r="E1663" s="48">
        <v>97.1</v>
      </c>
    </row>
    <row r="1664">
      <c r="A1664" s="46" t="s">
        <v>18</v>
      </c>
      <c r="B1664" s="46" t="s">
        <v>14</v>
      </c>
      <c r="C1664" s="48">
        <v>96.8</v>
      </c>
      <c r="D1664" s="48">
        <v>68.6</v>
      </c>
      <c r="E1664" s="48">
        <v>91.9</v>
      </c>
    </row>
    <row r="1665">
      <c r="A1665" s="46" t="s">
        <v>18</v>
      </c>
      <c r="B1665" s="46" t="s">
        <v>13</v>
      </c>
      <c r="C1665" s="49"/>
      <c r="D1665" s="48">
        <v>65.0</v>
      </c>
      <c r="E1665" s="48">
        <v>65.0</v>
      </c>
    </row>
    <row r="1666">
      <c r="A1666" s="46" t="s">
        <v>18</v>
      </c>
      <c r="B1666" s="46" t="s">
        <v>14</v>
      </c>
      <c r="C1666" s="48">
        <v>113.5</v>
      </c>
      <c r="D1666" s="48">
        <v>73.3</v>
      </c>
      <c r="E1666" s="48">
        <v>101.9</v>
      </c>
    </row>
    <row r="1667">
      <c r="A1667" s="46" t="s">
        <v>18</v>
      </c>
      <c r="B1667" s="46" t="s">
        <v>13</v>
      </c>
      <c r="C1667" s="49"/>
      <c r="D1667" s="48">
        <v>62.4</v>
      </c>
      <c r="E1667" s="48">
        <v>62.4</v>
      </c>
    </row>
    <row r="1668">
      <c r="A1668" s="46" t="s">
        <v>18</v>
      </c>
      <c r="B1668" s="46" t="s">
        <v>15</v>
      </c>
      <c r="C1668" s="48">
        <v>86.4</v>
      </c>
      <c r="D1668" s="49"/>
      <c r="E1668" s="48">
        <v>86.4</v>
      </c>
    </row>
    <row r="1669">
      <c r="A1669" s="46" t="s">
        <v>18</v>
      </c>
      <c r="B1669" s="46" t="s">
        <v>13</v>
      </c>
      <c r="C1669" s="49"/>
      <c r="D1669" s="48">
        <v>64.9</v>
      </c>
      <c r="E1669" s="48">
        <v>64.9</v>
      </c>
    </row>
    <row r="1670">
      <c r="A1670" s="46" t="s">
        <v>18</v>
      </c>
      <c r="B1670" s="46" t="s">
        <v>15</v>
      </c>
      <c r="C1670" s="48">
        <v>81.7</v>
      </c>
      <c r="D1670" s="49"/>
      <c r="E1670" s="48">
        <v>81.7</v>
      </c>
    </row>
    <row r="1671">
      <c r="A1671" s="46" t="s">
        <v>18</v>
      </c>
      <c r="B1671" s="46" t="s">
        <v>14</v>
      </c>
      <c r="C1671" s="48">
        <v>77.3</v>
      </c>
      <c r="D1671" s="48">
        <v>66.5</v>
      </c>
      <c r="E1671" s="48">
        <v>74.7</v>
      </c>
    </row>
    <row r="1672">
      <c r="A1672" s="46" t="s">
        <v>18</v>
      </c>
      <c r="B1672" s="46" t="s">
        <v>15</v>
      </c>
      <c r="C1672" s="48">
        <v>105.8</v>
      </c>
      <c r="D1672" s="49"/>
      <c r="E1672" s="48">
        <v>105.8</v>
      </c>
    </row>
    <row r="1673">
      <c r="A1673" s="46" t="s">
        <v>18</v>
      </c>
      <c r="B1673" s="46" t="s">
        <v>14</v>
      </c>
      <c r="C1673" s="48">
        <v>94.8</v>
      </c>
      <c r="D1673" s="48">
        <v>67.9</v>
      </c>
      <c r="E1673" s="48">
        <v>88.9</v>
      </c>
    </row>
    <row r="1674">
      <c r="A1674" s="46" t="s">
        <v>18</v>
      </c>
      <c r="B1674" s="46" t="s">
        <v>14</v>
      </c>
      <c r="C1674" s="48">
        <v>83.2</v>
      </c>
      <c r="D1674" s="48">
        <v>65.3</v>
      </c>
      <c r="E1674" s="48">
        <v>78.4</v>
      </c>
    </row>
    <row r="1675">
      <c r="A1675" s="46" t="s">
        <v>18</v>
      </c>
      <c r="B1675" s="46" t="s">
        <v>14</v>
      </c>
      <c r="C1675" s="48">
        <v>96.6</v>
      </c>
      <c r="D1675" s="48">
        <v>75.7</v>
      </c>
      <c r="E1675" s="48">
        <v>92.5</v>
      </c>
    </row>
    <row r="1676">
      <c r="A1676" s="46" t="s">
        <v>18</v>
      </c>
      <c r="B1676" s="46" t="s">
        <v>14</v>
      </c>
      <c r="C1676" s="48">
        <v>83.3</v>
      </c>
      <c r="D1676" s="48">
        <v>66.3</v>
      </c>
      <c r="E1676" s="48">
        <v>79.2</v>
      </c>
    </row>
    <row r="1677">
      <c r="A1677" s="46" t="s">
        <v>18</v>
      </c>
      <c r="B1677" s="46" t="s">
        <v>14</v>
      </c>
      <c r="C1677" s="48">
        <v>115.4</v>
      </c>
      <c r="D1677" s="48">
        <v>98.0</v>
      </c>
      <c r="E1677" s="48">
        <v>112.0</v>
      </c>
    </row>
    <row r="1678">
      <c r="A1678" s="46" t="s">
        <v>18</v>
      </c>
      <c r="B1678" s="46" t="s">
        <v>13</v>
      </c>
      <c r="C1678" s="49"/>
      <c r="D1678" s="48">
        <v>100.4</v>
      </c>
      <c r="E1678" s="48">
        <v>100.4</v>
      </c>
    </row>
    <row r="1679">
      <c r="A1679" s="46" t="s">
        <v>18</v>
      </c>
      <c r="B1679" s="46" t="s">
        <v>13</v>
      </c>
      <c r="C1679" s="49"/>
      <c r="D1679" s="48">
        <v>84.3</v>
      </c>
      <c r="E1679" s="48">
        <v>84.3</v>
      </c>
    </row>
    <row r="1680">
      <c r="A1680" s="46" t="s">
        <v>18</v>
      </c>
      <c r="B1680" s="46" t="s">
        <v>15</v>
      </c>
      <c r="C1680" s="48">
        <v>125.6</v>
      </c>
      <c r="D1680" s="49"/>
      <c r="E1680" s="48">
        <v>125.6</v>
      </c>
    </row>
    <row r="1681">
      <c r="A1681" s="46" t="s">
        <v>18</v>
      </c>
      <c r="B1681" s="46" t="s">
        <v>14</v>
      </c>
      <c r="C1681" s="48">
        <v>101.1</v>
      </c>
      <c r="D1681" s="48">
        <v>79.9</v>
      </c>
      <c r="E1681" s="48">
        <v>94.0</v>
      </c>
    </row>
    <row r="1682">
      <c r="A1682" s="46" t="s">
        <v>18</v>
      </c>
      <c r="B1682" s="46" t="s">
        <v>15</v>
      </c>
      <c r="C1682" s="48">
        <v>102.5</v>
      </c>
      <c r="D1682" s="49"/>
      <c r="E1682" s="48">
        <v>102.5</v>
      </c>
    </row>
    <row r="1683">
      <c r="A1683" s="46" t="s">
        <v>18</v>
      </c>
      <c r="B1683" s="46" t="s">
        <v>13</v>
      </c>
      <c r="C1683" s="49"/>
      <c r="D1683" s="48">
        <v>75.4</v>
      </c>
      <c r="E1683" s="48">
        <v>75.4</v>
      </c>
    </row>
    <row r="1684">
      <c r="A1684" s="46" t="s">
        <v>18</v>
      </c>
      <c r="B1684" s="46" t="s">
        <v>13</v>
      </c>
      <c r="C1684" s="49"/>
      <c r="D1684" s="48">
        <v>71.9</v>
      </c>
      <c r="E1684" s="48">
        <v>71.9</v>
      </c>
    </row>
    <row r="1685">
      <c r="A1685" s="46" t="s">
        <v>18</v>
      </c>
      <c r="B1685" s="46" t="s">
        <v>15</v>
      </c>
      <c r="C1685" s="48">
        <v>113.9</v>
      </c>
      <c r="D1685" s="49"/>
      <c r="E1685" s="48">
        <v>113.9</v>
      </c>
    </row>
    <row r="1686">
      <c r="A1686" s="46" t="s">
        <v>18</v>
      </c>
      <c r="B1686" s="46" t="s">
        <v>13</v>
      </c>
      <c r="C1686" s="49"/>
      <c r="D1686" s="48">
        <v>81.5</v>
      </c>
      <c r="E1686" s="48">
        <v>81.5</v>
      </c>
    </row>
    <row r="1687">
      <c r="A1687" s="46" t="s">
        <v>18</v>
      </c>
      <c r="B1687" s="46" t="s">
        <v>13</v>
      </c>
      <c r="C1687" s="49"/>
      <c r="D1687" s="48">
        <v>89.2</v>
      </c>
      <c r="E1687" s="48">
        <v>89.2</v>
      </c>
    </row>
    <row r="1688">
      <c r="A1688" s="46" t="s">
        <v>18</v>
      </c>
      <c r="B1688" s="46" t="s">
        <v>14</v>
      </c>
      <c r="C1688" s="48">
        <v>91.9</v>
      </c>
      <c r="D1688" s="48">
        <v>81.3</v>
      </c>
      <c r="E1688" s="48">
        <v>84.2</v>
      </c>
    </row>
    <row r="1689">
      <c r="A1689" s="46" t="s">
        <v>18</v>
      </c>
      <c r="B1689" s="46" t="s">
        <v>13</v>
      </c>
      <c r="C1689" s="49"/>
      <c r="D1689" s="48">
        <v>85.7</v>
      </c>
      <c r="E1689" s="48">
        <v>85.7</v>
      </c>
    </row>
    <row r="1690">
      <c r="A1690" s="46" t="s">
        <v>18</v>
      </c>
      <c r="B1690" s="46" t="s">
        <v>14</v>
      </c>
      <c r="C1690" s="48">
        <v>121.3</v>
      </c>
      <c r="D1690" s="48">
        <v>93.9</v>
      </c>
      <c r="E1690" s="48">
        <v>118.0</v>
      </c>
    </row>
    <row r="1691">
      <c r="A1691" s="46" t="s">
        <v>18</v>
      </c>
      <c r="B1691" s="46" t="s">
        <v>15</v>
      </c>
      <c r="C1691" s="48">
        <v>114.6</v>
      </c>
      <c r="D1691" s="49"/>
      <c r="E1691" s="48">
        <v>114.6</v>
      </c>
    </row>
    <row r="1692">
      <c r="A1692" s="46" t="s">
        <v>18</v>
      </c>
      <c r="B1692" s="46" t="s">
        <v>13</v>
      </c>
      <c r="C1692" s="49"/>
      <c r="D1692" s="48">
        <v>96.7</v>
      </c>
      <c r="E1692" s="48">
        <v>96.7</v>
      </c>
    </row>
    <row r="1693">
      <c r="A1693" s="46" t="s">
        <v>18</v>
      </c>
      <c r="B1693" s="46" t="s">
        <v>15</v>
      </c>
      <c r="C1693" s="48">
        <v>98.9</v>
      </c>
      <c r="D1693" s="49"/>
      <c r="E1693" s="48">
        <v>98.9</v>
      </c>
    </row>
    <row r="1694">
      <c r="A1694" s="46" t="s">
        <v>18</v>
      </c>
      <c r="B1694" s="46" t="s">
        <v>14</v>
      </c>
      <c r="C1694" s="48">
        <v>101.1</v>
      </c>
      <c r="D1694" s="48">
        <v>88.5</v>
      </c>
      <c r="E1694" s="48">
        <v>88.9</v>
      </c>
    </row>
    <row r="1695">
      <c r="A1695" s="46" t="s">
        <v>18</v>
      </c>
      <c r="B1695" s="46" t="s">
        <v>13</v>
      </c>
      <c r="C1695" s="49"/>
      <c r="D1695" s="48">
        <v>83.8</v>
      </c>
      <c r="E1695" s="48">
        <v>83.8</v>
      </c>
    </row>
    <row r="1696">
      <c r="A1696" s="46" t="s">
        <v>18</v>
      </c>
      <c r="B1696" s="46" t="s">
        <v>15</v>
      </c>
      <c r="C1696" s="48">
        <v>124.3</v>
      </c>
      <c r="D1696" s="49"/>
      <c r="E1696" s="48">
        <v>124.3</v>
      </c>
    </row>
    <row r="1697">
      <c r="A1697" s="46" t="s">
        <v>18</v>
      </c>
      <c r="B1697" s="46" t="s">
        <v>14</v>
      </c>
      <c r="C1697" s="48">
        <v>114.4</v>
      </c>
      <c r="D1697" s="48">
        <v>99.5</v>
      </c>
      <c r="E1697" s="48">
        <v>104.8</v>
      </c>
    </row>
    <row r="1698">
      <c r="A1698" s="46" t="s">
        <v>18</v>
      </c>
      <c r="B1698" s="46" t="s">
        <v>13</v>
      </c>
      <c r="C1698" s="49"/>
      <c r="D1698" s="48">
        <v>92.7</v>
      </c>
      <c r="E1698" s="48">
        <v>92.7</v>
      </c>
    </row>
    <row r="1699">
      <c r="A1699" s="46" t="s">
        <v>18</v>
      </c>
      <c r="B1699" s="46" t="s">
        <v>14</v>
      </c>
      <c r="C1699" s="48">
        <v>123.5</v>
      </c>
      <c r="D1699" s="48">
        <v>106.5</v>
      </c>
      <c r="E1699" s="48">
        <v>117.8</v>
      </c>
    </row>
    <row r="1700">
      <c r="A1700" s="46" t="s">
        <v>18</v>
      </c>
      <c r="B1700" s="46" t="s">
        <v>14</v>
      </c>
      <c r="C1700" s="48">
        <v>119.5</v>
      </c>
      <c r="D1700" s="48">
        <v>97.2</v>
      </c>
      <c r="E1700" s="48">
        <v>110.7</v>
      </c>
    </row>
    <row r="1701">
      <c r="A1701" s="46" t="s">
        <v>18</v>
      </c>
      <c r="B1701" s="46" t="s">
        <v>13</v>
      </c>
      <c r="C1701" s="49"/>
      <c r="D1701" s="48">
        <v>77.3</v>
      </c>
      <c r="E1701" s="48">
        <v>77.3</v>
      </c>
    </row>
    <row r="1702">
      <c r="A1702" s="46" t="s">
        <v>18</v>
      </c>
      <c r="B1702" s="46" t="s">
        <v>14</v>
      </c>
      <c r="C1702" s="48">
        <v>111.7</v>
      </c>
      <c r="D1702" s="48">
        <v>89.3</v>
      </c>
      <c r="E1702" s="48">
        <v>107.8</v>
      </c>
    </row>
    <row r="1703">
      <c r="A1703" s="46" t="s">
        <v>18</v>
      </c>
      <c r="B1703" s="46" t="s">
        <v>13</v>
      </c>
      <c r="C1703" s="49"/>
      <c r="D1703" s="48">
        <v>94.0</v>
      </c>
      <c r="E1703" s="48">
        <v>94.0</v>
      </c>
    </row>
    <row r="1704">
      <c r="A1704" s="46" t="s">
        <v>18</v>
      </c>
      <c r="B1704" s="46" t="s">
        <v>14</v>
      </c>
      <c r="C1704" s="48">
        <v>107.9</v>
      </c>
      <c r="D1704" s="48">
        <v>81.9</v>
      </c>
      <c r="E1704" s="48">
        <v>103.9</v>
      </c>
    </row>
    <row r="1705">
      <c r="A1705" s="46" t="s">
        <v>18</v>
      </c>
      <c r="B1705" s="46" t="s">
        <v>13</v>
      </c>
      <c r="C1705" s="49"/>
      <c r="D1705" s="48">
        <v>73.1</v>
      </c>
      <c r="E1705" s="48">
        <v>73.1</v>
      </c>
    </row>
    <row r="1706">
      <c r="A1706" s="46" t="s">
        <v>18</v>
      </c>
      <c r="B1706" s="46" t="s">
        <v>13</v>
      </c>
      <c r="C1706" s="49"/>
      <c r="D1706" s="48">
        <v>72.5</v>
      </c>
      <c r="E1706" s="48">
        <v>72.5</v>
      </c>
    </row>
    <row r="1707">
      <c r="A1707" s="46" t="s">
        <v>18</v>
      </c>
      <c r="B1707" s="46" t="s">
        <v>13</v>
      </c>
      <c r="C1707" s="49"/>
      <c r="D1707" s="48">
        <v>84.9</v>
      </c>
      <c r="E1707" s="48">
        <v>84.9</v>
      </c>
    </row>
    <row r="1708">
      <c r="A1708" s="46" t="s">
        <v>18</v>
      </c>
      <c r="B1708" s="46" t="s">
        <v>13</v>
      </c>
      <c r="C1708" s="49"/>
      <c r="D1708" s="48">
        <v>90.0</v>
      </c>
      <c r="E1708" s="48">
        <v>90.0</v>
      </c>
    </row>
    <row r="1709">
      <c r="A1709" s="46" t="s">
        <v>18</v>
      </c>
      <c r="B1709" s="46" t="s">
        <v>13</v>
      </c>
      <c r="C1709" s="49"/>
      <c r="D1709" s="48">
        <v>98.4</v>
      </c>
      <c r="E1709" s="48">
        <v>98.4</v>
      </c>
    </row>
    <row r="1710">
      <c r="A1710" s="46" t="s">
        <v>18</v>
      </c>
      <c r="B1710" s="46" t="s">
        <v>15</v>
      </c>
      <c r="C1710" s="48">
        <v>100.3</v>
      </c>
      <c r="D1710" s="49"/>
      <c r="E1710" s="48">
        <v>100.3</v>
      </c>
    </row>
    <row r="1711">
      <c r="A1711" s="46" t="s">
        <v>18</v>
      </c>
      <c r="B1711" s="46" t="s">
        <v>14</v>
      </c>
      <c r="C1711" s="48">
        <v>106.7</v>
      </c>
      <c r="D1711" s="48">
        <v>81.9</v>
      </c>
      <c r="E1711" s="48">
        <v>95.9</v>
      </c>
    </row>
    <row r="1712">
      <c r="A1712" s="46" t="s">
        <v>18</v>
      </c>
      <c r="B1712" s="46" t="s">
        <v>14</v>
      </c>
      <c r="C1712" s="48">
        <v>107.0</v>
      </c>
      <c r="D1712" s="48">
        <v>82.7</v>
      </c>
      <c r="E1712" s="48">
        <v>103.6</v>
      </c>
    </row>
    <row r="1713">
      <c r="A1713" s="46" t="s">
        <v>18</v>
      </c>
      <c r="B1713" s="46" t="s">
        <v>14</v>
      </c>
      <c r="C1713" s="48">
        <v>127.0</v>
      </c>
      <c r="D1713" s="48">
        <v>101.8</v>
      </c>
      <c r="E1713" s="48">
        <v>124.0</v>
      </c>
    </row>
    <row r="1714">
      <c r="A1714" s="46" t="s">
        <v>18</v>
      </c>
      <c r="B1714" s="46" t="s">
        <v>15</v>
      </c>
      <c r="C1714" s="48">
        <v>123.8</v>
      </c>
      <c r="D1714" s="49"/>
      <c r="E1714" s="48">
        <v>123.8</v>
      </c>
    </row>
    <row r="1715">
      <c r="A1715" s="46" t="s">
        <v>18</v>
      </c>
      <c r="B1715" s="46" t="s">
        <v>14</v>
      </c>
      <c r="C1715" s="48">
        <v>105.6</v>
      </c>
      <c r="D1715" s="48">
        <v>85.3</v>
      </c>
      <c r="E1715" s="48">
        <v>95.9</v>
      </c>
    </row>
    <row r="1716">
      <c r="A1716" s="46" t="s">
        <v>18</v>
      </c>
      <c r="B1716" s="46" t="s">
        <v>13</v>
      </c>
      <c r="C1716" s="49"/>
      <c r="D1716" s="48">
        <v>64.2</v>
      </c>
      <c r="E1716" s="48">
        <v>64.2</v>
      </c>
    </row>
    <row r="1717">
      <c r="A1717" s="46" t="s">
        <v>18</v>
      </c>
      <c r="B1717" s="46" t="s">
        <v>13</v>
      </c>
      <c r="C1717" s="49"/>
      <c r="D1717" s="48">
        <v>71.2</v>
      </c>
      <c r="E1717" s="48">
        <v>71.2</v>
      </c>
    </row>
    <row r="1718">
      <c r="A1718" s="46" t="s">
        <v>18</v>
      </c>
      <c r="B1718" s="46" t="s">
        <v>13</v>
      </c>
      <c r="C1718" s="49"/>
      <c r="D1718" s="48">
        <v>68.4</v>
      </c>
      <c r="E1718" s="48">
        <v>68.4</v>
      </c>
    </row>
    <row r="1719">
      <c r="A1719" s="46" t="s">
        <v>18</v>
      </c>
      <c r="B1719" s="46" t="s">
        <v>13</v>
      </c>
      <c r="C1719" s="49"/>
      <c r="D1719" s="48">
        <v>71.1</v>
      </c>
      <c r="E1719" s="48">
        <v>71.1</v>
      </c>
    </row>
    <row r="1720">
      <c r="A1720" s="46" t="s">
        <v>18</v>
      </c>
      <c r="B1720" s="46" t="s">
        <v>13</v>
      </c>
      <c r="C1720" s="49"/>
      <c r="D1720" s="48">
        <v>77.7</v>
      </c>
      <c r="E1720" s="48">
        <v>77.7</v>
      </c>
    </row>
    <row r="1721">
      <c r="A1721" s="46" t="s">
        <v>18</v>
      </c>
      <c r="B1721" s="46" t="s">
        <v>13</v>
      </c>
      <c r="C1721" s="49"/>
      <c r="D1721" s="48">
        <v>81.7</v>
      </c>
      <c r="E1721" s="48">
        <v>81.7</v>
      </c>
    </row>
    <row r="1722">
      <c r="A1722" s="46" t="s">
        <v>18</v>
      </c>
      <c r="B1722" s="46" t="s">
        <v>14</v>
      </c>
      <c r="C1722" s="48">
        <v>126.7</v>
      </c>
      <c r="D1722" s="48">
        <v>91.7</v>
      </c>
      <c r="E1722" s="48">
        <v>116.1</v>
      </c>
    </row>
    <row r="1723">
      <c r="A1723" s="46" t="s">
        <v>18</v>
      </c>
      <c r="B1723" s="46" t="s">
        <v>15</v>
      </c>
      <c r="C1723" s="48">
        <v>114.6</v>
      </c>
      <c r="D1723" s="49"/>
      <c r="E1723" s="48">
        <v>114.6</v>
      </c>
    </row>
    <row r="1724">
      <c r="A1724" s="46" t="s">
        <v>18</v>
      </c>
      <c r="B1724" s="46" t="s">
        <v>14</v>
      </c>
      <c r="C1724" s="48">
        <v>107.3</v>
      </c>
      <c r="D1724" s="48">
        <v>83.6</v>
      </c>
      <c r="E1724" s="48">
        <v>100.3</v>
      </c>
    </row>
    <row r="1725">
      <c r="A1725" s="46" t="s">
        <v>18</v>
      </c>
      <c r="B1725" s="46" t="s">
        <v>15</v>
      </c>
      <c r="C1725" s="48">
        <v>108.9</v>
      </c>
      <c r="D1725" s="49"/>
      <c r="E1725" s="48">
        <v>108.9</v>
      </c>
    </row>
    <row r="1726">
      <c r="A1726" s="46" t="s">
        <v>18</v>
      </c>
      <c r="B1726" s="46" t="s">
        <v>14</v>
      </c>
      <c r="C1726" s="48">
        <v>100.4</v>
      </c>
      <c r="D1726" s="48">
        <v>82.1</v>
      </c>
      <c r="E1726" s="48">
        <v>98.5</v>
      </c>
    </row>
    <row r="1727">
      <c r="A1727" s="46" t="s">
        <v>18</v>
      </c>
      <c r="B1727" s="46" t="s">
        <v>15</v>
      </c>
      <c r="C1727" s="48">
        <v>115.9</v>
      </c>
      <c r="D1727" s="49"/>
      <c r="E1727" s="48">
        <v>115.9</v>
      </c>
    </row>
    <row r="1728">
      <c r="A1728" s="46" t="s">
        <v>18</v>
      </c>
      <c r="B1728" s="46" t="s">
        <v>15</v>
      </c>
      <c r="C1728" s="48">
        <v>127.3</v>
      </c>
      <c r="D1728" s="49"/>
      <c r="E1728" s="48">
        <v>127.3</v>
      </c>
    </row>
    <row r="1729">
      <c r="A1729" s="46" t="s">
        <v>18</v>
      </c>
      <c r="B1729" s="46" t="s">
        <v>14</v>
      </c>
      <c r="C1729" s="48">
        <v>106.5</v>
      </c>
      <c r="D1729" s="48">
        <v>84.9</v>
      </c>
      <c r="E1729" s="48">
        <v>95.5</v>
      </c>
    </row>
    <row r="1730">
      <c r="A1730" s="46" t="s">
        <v>18</v>
      </c>
      <c r="B1730" s="46" t="s">
        <v>15</v>
      </c>
      <c r="C1730" s="48">
        <v>108.8</v>
      </c>
      <c r="D1730" s="49"/>
      <c r="E1730" s="48">
        <v>108.8</v>
      </c>
    </row>
    <row r="1731">
      <c r="A1731" s="46" t="s">
        <v>18</v>
      </c>
      <c r="B1731" s="46" t="s">
        <v>14</v>
      </c>
      <c r="C1731" s="48">
        <v>116.5</v>
      </c>
      <c r="D1731" s="48">
        <v>94.6</v>
      </c>
      <c r="E1731" s="48">
        <v>105.1</v>
      </c>
    </row>
    <row r="1732">
      <c r="A1732" s="46" t="s">
        <v>18</v>
      </c>
      <c r="B1732" s="46" t="s">
        <v>13</v>
      </c>
      <c r="C1732" s="49"/>
      <c r="D1732" s="48">
        <v>88.6</v>
      </c>
      <c r="E1732" s="48">
        <v>88.6</v>
      </c>
    </row>
    <row r="1733">
      <c r="A1733" s="46" t="s">
        <v>18</v>
      </c>
      <c r="B1733" s="46" t="s">
        <v>14</v>
      </c>
      <c r="C1733" s="48">
        <v>115.4</v>
      </c>
      <c r="D1733" s="48">
        <v>92.0</v>
      </c>
      <c r="E1733" s="48">
        <v>111.1</v>
      </c>
    </row>
    <row r="1734">
      <c r="A1734" s="46" t="s">
        <v>18</v>
      </c>
      <c r="B1734" s="46" t="s">
        <v>15</v>
      </c>
      <c r="C1734" s="48">
        <v>126.8</v>
      </c>
      <c r="D1734" s="49"/>
      <c r="E1734" s="48">
        <v>126.8</v>
      </c>
    </row>
    <row r="1735">
      <c r="A1735" s="46" t="s">
        <v>18</v>
      </c>
      <c r="B1735" s="46" t="s">
        <v>15</v>
      </c>
      <c r="C1735" s="48">
        <v>116.7</v>
      </c>
      <c r="D1735" s="49"/>
      <c r="E1735" s="48">
        <v>116.7</v>
      </c>
    </row>
    <row r="1736">
      <c r="A1736" s="46" t="s">
        <v>18</v>
      </c>
      <c r="B1736" s="46" t="s">
        <v>14</v>
      </c>
      <c r="C1736" s="48">
        <v>113.7</v>
      </c>
      <c r="D1736" s="48">
        <v>95.8</v>
      </c>
      <c r="E1736" s="48">
        <v>110.5</v>
      </c>
    </row>
    <row r="1737">
      <c r="A1737" s="46" t="s">
        <v>18</v>
      </c>
      <c r="B1737" s="46" t="s">
        <v>13</v>
      </c>
      <c r="C1737" s="49"/>
      <c r="D1737" s="48">
        <v>82.6</v>
      </c>
      <c r="E1737" s="48">
        <v>82.6</v>
      </c>
    </row>
    <row r="1738">
      <c r="A1738" s="46" t="s">
        <v>18</v>
      </c>
      <c r="B1738" s="46" t="s">
        <v>13</v>
      </c>
      <c r="C1738" s="49"/>
      <c r="D1738" s="48">
        <v>90.2</v>
      </c>
      <c r="E1738" s="48">
        <v>90.2</v>
      </c>
    </row>
    <row r="1739">
      <c r="A1739" s="46" t="s">
        <v>18</v>
      </c>
      <c r="B1739" s="46" t="s">
        <v>15</v>
      </c>
      <c r="C1739" s="48">
        <v>118.1</v>
      </c>
      <c r="D1739" s="49"/>
      <c r="E1739" s="48">
        <v>118.1</v>
      </c>
    </row>
    <row r="1740">
      <c r="A1740" s="46" t="s">
        <v>18</v>
      </c>
      <c r="B1740" s="46" t="s">
        <v>13</v>
      </c>
      <c r="C1740" s="49"/>
      <c r="D1740" s="48">
        <v>86.7</v>
      </c>
      <c r="E1740" s="48">
        <v>86.7</v>
      </c>
    </row>
    <row r="1741">
      <c r="A1741" s="46" t="s">
        <v>18</v>
      </c>
      <c r="B1741" s="46" t="s">
        <v>13</v>
      </c>
      <c r="C1741" s="49"/>
      <c r="D1741" s="48">
        <v>93.9</v>
      </c>
      <c r="E1741" s="48">
        <v>93.9</v>
      </c>
    </row>
    <row r="1742">
      <c r="A1742" s="46" t="s">
        <v>18</v>
      </c>
      <c r="B1742" s="46" t="s">
        <v>15</v>
      </c>
      <c r="C1742" s="48">
        <v>111.6</v>
      </c>
      <c r="D1742" s="49"/>
      <c r="E1742" s="48">
        <v>111.6</v>
      </c>
    </row>
    <row r="1743">
      <c r="A1743" s="46" t="s">
        <v>18</v>
      </c>
      <c r="B1743" s="46" t="s">
        <v>14</v>
      </c>
      <c r="C1743" s="48">
        <v>117.1</v>
      </c>
      <c r="D1743" s="48">
        <v>93.6</v>
      </c>
      <c r="E1743" s="48">
        <v>108.8</v>
      </c>
    </row>
    <row r="1744">
      <c r="A1744" s="46" t="s">
        <v>18</v>
      </c>
      <c r="B1744" s="46" t="s">
        <v>13</v>
      </c>
      <c r="C1744" s="49"/>
      <c r="D1744" s="48">
        <v>95.2</v>
      </c>
      <c r="E1744" s="48">
        <v>95.2</v>
      </c>
    </row>
    <row r="1745">
      <c r="A1745" s="46" t="s">
        <v>18</v>
      </c>
      <c r="B1745" s="46" t="s">
        <v>15</v>
      </c>
      <c r="C1745" s="48">
        <v>105.2</v>
      </c>
      <c r="D1745" s="49"/>
      <c r="E1745" s="48">
        <v>105.2</v>
      </c>
    </row>
    <row r="1746">
      <c r="A1746" s="46" t="s">
        <v>18</v>
      </c>
      <c r="B1746" s="46" t="s">
        <v>14</v>
      </c>
      <c r="C1746" s="48">
        <v>111.5</v>
      </c>
      <c r="D1746" s="48">
        <v>97.4</v>
      </c>
      <c r="E1746" s="48">
        <v>107.6</v>
      </c>
    </row>
    <row r="1747">
      <c r="A1747" s="46" t="s">
        <v>18</v>
      </c>
      <c r="B1747" s="46" t="s">
        <v>13</v>
      </c>
      <c r="C1747" s="49"/>
      <c r="D1747" s="48">
        <v>86.6</v>
      </c>
      <c r="E1747" s="48">
        <v>86.6</v>
      </c>
    </row>
    <row r="1748">
      <c r="A1748" s="46" t="s">
        <v>18</v>
      </c>
      <c r="B1748" s="46" t="s">
        <v>15</v>
      </c>
      <c r="C1748" s="48">
        <v>119.0</v>
      </c>
      <c r="D1748" s="49"/>
      <c r="E1748" s="48">
        <v>119.0</v>
      </c>
    </row>
    <row r="1749">
      <c r="A1749" s="46" t="s">
        <v>18</v>
      </c>
      <c r="B1749" s="46" t="s">
        <v>14</v>
      </c>
      <c r="C1749" s="48">
        <v>116.9</v>
      </c>
      <c r="D1749" s="48">
        <v>88.1</v>
      </c>
      <c r="E1749" s="48">
        <v>113.5</v>
      </c>
    </row>
    <row r="1750">
      <c r="A1750" s="46" t="s">
        <v>18</v>
      </c>
      <c r="B1750" s="46" t="s">
        <v>15</v>
      </c>
      <c r="C1750" s="48">
        <v>109.6</v>
      </c>
      <c r="D1750" s="49"/>
      <c r="E1750" s="48">
        <v>109.6</v>
      </c>
    </row>
    <row r="1751">
      <c r="A1751" s="46" t="s">
        <v>18</v>
      </c>
      <c r="B1751" s="46" t="s">
        <v>13</v>
      </c>
      <c r="C1751" s="49"/>
      <c r="D1751" s="48">
        <v>83.0</v>
      </c>
      <c r="E1751" s="48">
        <v>83.0</v>
      </c>
    </row>
    <row r="1752">
      <c r="A1752" s="46" t="s">
        <v>18</v>
      </c>
      <c r="B1752" s="46" t="s">
        <v>13</v>
      </c>
      <c r="C1752" s="49"/>
      <c r="D1752" s="48">
        <v>79.2</v>
      </c>
      <c r="E1752" s="48">
        <v>79.2</v>
      </c>
    </row>
    <row r="1753">
      <c r="A1753" s="46" t="s">
        <v>18</v>
      </c>
      <c r="B1753" s="46" t="s">
        <v>15</v>
      </c>
      <c r="C1753" s="48">
        <v>119.0</v>
      </c>
      <c r="D1753" s="49"/>
      <c r="E1753" s="48">
        <v>119.0</v>
      </c>
    </row>
    <row r="1754">
      <c r="A1754" s="46" t="s">
        <v>18</v>
      </c>
      <c r="B1754" s="46" t="s">
        <v>13</v>
      </c>
      <c r="C1754" s="49"/>
      <c r="D1754" s="48">
        <v>94.0</v>
      </c>
      <c r="E1754" s="48">
        <v>94.0</v>
      </c>
    </row>
    <row r="1755">
      <c r="A1755" s="46" t="s">
        <v>18</v>
      </c>
      <c r="B1755" s="46" t="s">
        <v>15</v>
      </c>
      <c r="C1755" s="48">
        <v>110.4</v>
      </c>
      <c r="D1755" s="49"/>
      <c r="E1755" s="48">
        <v>110.4</v>
      </c>
    </row>
    <row r="1756">
      <c r="A1756" s="46" t="s">
        <v>18</v>
      </c>
      <c r="B1756" s="46" t="s">
        <v>13</v>
      </c>
      <c r="C1756" s="49"/>
      <c r="D1756" s="48">
        <v>87.8</v>
      </c>
      <c r="E1756" s="48">
        <v>87.8</v>
      </c>
    </row>
    <row r="1757">
      <c r="A1757" s="46" t="s">
        <v>18</v>
      </c>
      <c r="B1757" s="46" t="s">
        <v>15</v>
      </c>
      <c r="C1757" s="48">
        <v>110.9</v>
      </c>
      <c r="D1757" s="49"/>
      <c r="E1757" s="48">
        <v>110.9</v>
      </c>
    </row>
    <row r="1758">
      <c r="A1758" s="46" t="s">
        <v>18</v>
      </c>
      <c r="B1758" s="46" t="s">
        <v>13</v>
      </c>
      <c r="C1758" s="49"/>
      <c r="D1758" s="48">
        <v>85.9</v>
      </c>
      <c r="E1758" s="48">
        <v>85.9</v>
      </c>
    </row>
    <row r="1759">
      <c r="A1759" s="46" t="s">
        <v>18</v>
      </c>
      <c r="B1759" s="46" t="s">
        <v>13</v>
      </c>
      <c r="C1759" s="49"/>
      <c r="D1759" s="48">
        <v>78.6</v>
      </c>
      <c r="E1759" s="48">
        <v>78.6</v>
      </c>
    </row>
    <row r="1760">
      <c r="A1760" s="46" t="s">
        <v>18</v>
      </c>
      <c r="B1760" s="46" t="s">
        <v>15</v>
      </c>
      <c r="C1760" s="48">
        <v>111.7</v>
      </c>
      <c r="D1760" s="49"/>
      <c r="E1760" s="48">
        <v>111.7</v>
      </c>
    </row>
    <row r="1761">
      <c r="A1761" s="46" t="s">
        <v>18</v>
      </c>
      <c r="B1761" s="46" t="s">
        <v>14</v>
      </c>
      <c r="C1761" s="48">
        <v>118.3</v>
      </c>
      <c r="D1761" s="48">
        <v>95.8</v>
      </c>
      <c r="E1761" s="48">
        <v>114.4</v>
      </c>
    </row>
    <row r="1762">
      <c r="A1762" s="46" t="s">
        <v>18</v>
      </c>
      <c r="B1762" s="46" t="s">
        <v>13</v>
      </c>
      <c r="C1762" s="49"/>
      <c r="D1762" s="48">
        <v>88.8</v>
      </c>
      <c r="E1762" s="48">
        <v>88.8</v>
      </c>
    </row>
    <row r="1763">
      <c r="A1763" s="46" t="s">
        <v>18</v>
      </c>
      <c r="B1763" s="46" t="s">
        <v>13</v>
      </c>
      <c r="C1763" s="49"/>
      <c r="D1763" s="48">
        <v>81.8</v>
      </c>
      <c r="E1763" s="48">
        <v>81.8</v>
      </c>
    </row>
    <row r="1764">
      <c r="A1764" s="46" t="s">
        <v>18</v>
      </c>
      <c r="B1764" s="46" t="s">
        <v>15</v>
      </c>
      <c r="C1764" s="48">
        <v>110.6</v>
      </c>
      <c r="D1764" s="49"/>
      <c r="E1764" s="48">
        <v>110.6</v>
      </c>
    </row>
    <row r="1765">
      <c r="A1765" s="46" t="s">
        <v>18</v>
      </c>
      <c r="B1765" s="46" t="s">
        <v>14</v>
      </c>
      <c r="C1765" s="48">
        <v>123.1</v>
      </c>
      <c r="D1765" s="48">
        <v>90.1</v>
      </c>
      <c r="E1765" s="48">
        <v>114.6</v>
      </c>
    </row>
    <row r="1766">
      <c r="A1766" s="46" t="s">
        <v>18</v>
      </c>
      <c r="B1766" s="46" t="s">
        <v>13</v>
      </c>
      <c r="C1766" s="49"/>
      <c r="D1766" s="48">
        <v>80.7</v>
      </c>
      <c r="E1766" s="48">
        <v>80.7</v>
      </c>
    </row>
    <row r="1767">
      <c r="A1767" s="46" t="s">
        <v>18</v>
      </c>
      <c r="B1767" s="46" t="s">
        <v>15</v>
      </c>
      <c r="C1767" s="48">
        <v>102.4</v>
      </c>
      <c r="D1767" s="49"/>
      <c r="E1767" s="48">
        <v>102.4</v>
      </c>
    </row>
    <row r="1768">
      <c r="A1768" s="46" t="s">
        <v>18</v>
      </c>
      <c r="B1768" s="46" t="s">
        <v>13</v>
      </c>
      <c r="C1768" s="49"/>
      <c r="D1768" s="48">
        <v>83.1</v>
      </c>
      <c r="E1768" s="48">
        <v>83.1</v>
      </c>
    </row>
    <row r="1769">
      <c r="A1769" s="46" t="s">
        <v>18</v>
      </c>
      <c r="B1769" s="46" t="s">
        <v>14</v>
      </c>
      <c r="C1769" s="48">
        <v>100.9</v>
      </c>
      <c r="D1769" s="48">
        <v>82.1</v>
      </c>
      <c r="E1769" s="48">
        <v>97.7</v>
      </c>
    </row>
    <row r="1770">
      <c r="A1770" s="46" t="s">
        <v>18</v>
      </c>
      <c r="B1770" s="46" t="s">
        <v>15</v>
      </c>
      <c r="C1770" s="48">
        <v>128.7</v>
      </c>
      <c r="D1770" s="49"/>
      <c r="E1770" s="48">
        <v>128.7</v>
      </c>
    </row>
    <row r="1771">
      <c r="A1771" s="46" t="s">
        <v>18</v>
      </c>
      <c r="B1771" s="46" t="s">
        <v>15</v>
      </c>
      <c r="C1771" s="48">
        <v>107.8</v>
      </c>
      <c r="D1771" s="49"/>
      <c r="E1771" s="48">
        <v>107.8</v>
      </c>
    </row>
    <row r="1772">
      <c r="A1772" s="46" t="s">
        <v>18</v>
      </c>
      <c r="B1772" s="46" t="s">
        <v>14</v>
      </c>
      <c r="C1772" s="48">
        <v>108.6</v>
      </c>
      <c r="D1772" s="48">
        <v>85.1</v>
      </c>
      <c r="E1772" s="48">
        <v>100.6</v>
      </c>
    </row>
    <row r="1773">
      <c r="A1773" s="46" t="s">
        <v>18</v>
      </c>
      <c r="B1773" s="46" t="s">
        <v>15</v>
      </c>
      <c r="C1773" s="48">
        <v>122.8</v>
      </c>
      <c r="D1773" s="49"/>
      <c r="E1773" s="48">
        <v>122.8</v>
      </c>
    </row>
    <row r="1774">
      <c r="A1774" s="46" t="s">
        <v>18</v>
      </c>
      <c r="B1774" s="46" t="s">
        <v>13</v>
      </c>
      <c r="C1774" s="49"/>
      <c r="D1774" s="48">
        <v>88.7</v>
      </c>
      <c r="E1774" s="48">
        <v>88.7</v>
      </c>
    </row>
    <row r="1775">
      <c r="A1775" s="46" t="s">
        <v>18</v>
      </c>
      <c r="B1775" s="46" t="s">
        <v>15</v>
      </c>
      <c r="C1775" s="48">
        <v>106.4</v>
      </c>
      <c r="D1775" s="49"/>
      <c r="E1775" s="48">
        <v>106.4</v>
      </c>
    </row>
    <row r="1776">
      <c r="A1776" s="46" t="s">
        <v>18</v>
      </c>
      <c r="B1776" s="46" t="s">
        <v>14</v>
      </c>
      <c r="C1776" s="48">
        <v>104.2</v>
      </c>
      <c r="D1776" s="48">
        <v>87.9</v>
      </c>
      <c r="E1776" s="48">
        <v>98.9</v>
      </c>
    </row>
    <row r="1777">
      <c r="A1777" s="46" t="s">
        <v>18</v>
      </c>
      <c r="B1777" s="46" t="s">
        <v>13</v>
      </c>
      <c r="C1777" s="49"/>
      <c r="D1777" s="48">
        <v>82.8</v>
      </c>
      <c r="E1777" s="48">
        <v>82.8</v>
      </c>
    </row>
    <row r="1778">
      <c r="A1778" s="46" t="s">
        <v>18</v>
      </c>
      <c r="B1778" s="46" t="s">
        <v>13</v>
      </c>
      <c r="C1778" s="49"/>
      <c r="D1778" s="48">
        <v>82.6</v>
      </c>
      <c r="E1778" s="48">
        <v>82.6</v>
      </c>
    </row>
    <row r="1779">
      <c r="A1779" s="46" t="s">
        <v>18</v>
      </c>
      <c r="B1779" s="46" t="s">
        <v>15</v>
      </c>
      <c r="C1779" s="48">
        <v>116.1</v>
      </c>
      <c r="D1779" s="49"/>
      <c r="E1779" s="48">
        <v>116.1</v>
      </c>
    </row>
    <row r="1780">
      <c r="A1780" s="46" t="s">
        <v>18</v>
      </c>
      <c r="B1780" s="46" t="s">
        <v>15</v>
      </c>
      <c r="C1780" s="48">
        <v>108.7</v>
      </c>
      <c r="D1780" s="49"/>
      <c r="E1780" s="48">
        <v>108.7</v>
      </c>
    </row>
    <row r="1781">
      <c r="A1781" s="46" t="s">
        <v>18</v>
      </c>
      <c r="B1781" s="46" t="s">
        <v>14</v>
      </c>
      <c r="C1781" s="48">
        <v>105.8</v>
      </c>
      <c r="D1781" s="48">
        <v>84.8</v>
      </c>
      <c r="E1781" s="48">
        <v>95.4</v>
      </c>
    </row>
    <row r="1782">
      <c r="A1782" s="46" t="s">
        <v>18</v>
      </c>
      <c r="B1782" s="46" t="s">
        <v>15</v>
      </c>
      <c r="C1782" s="48">
        <v>105.5</v>
      </c>
      <c r="D1782" s="49"/>
      <c r="E1782" s="48">
        <v>105.5</v>
      </c>
    </row>
    <row r="1783">
      <c r="A1783" s="46" t="s">
        <v>18</v>
      </c>
      <c r="B1783" s="46" t="s">
        <v>14</v>
      </c>
      <c r="C1783" s="48">
        <v>108.4</v>
      </c>
      <c r="D1783" s="48">
        <v>95.7</v>
      </c>
      <c r="E1783" s="48">
        <v>107.1</v>
      </c>
    </row>
    <row r="1784">
      <c r="A1784" s="46" t="s">
        <v>18</v>
      </c>
      <c r="B1784" s="46" t="s">
        <v>15</v>
      </c>
      <c r="C1784" s="48">
        <v>123.4</v>
      </c>
      <c r="D1784" s="49"/>
      <c r="E1784" s="48">
        <v>123.4</v>
      </c>
    </row>
    <row r="1785">
      <c r="A1785" s="46" t="s">
        <v>18</v>
      </c>
      <c r="B1785" s="46" t="s">
        <v>15</v>
      </c>
      <c r="C1785" s="48">
        <v>118.9</v>
      </c>
      <c r="D1785" s="49"/>
      <c r="E1785" s="48">
        <v>118.9</v>
      </c>
    </row>
    <row r="1786">
      <c r="A1786" s="46" t="s">
        <v>18</v>
      </c>
      <c r="B1786" s="46" t="s">
        <v>15</v>
      </c>
      <c r="C1786" s="48">
        <v>114.4</v>
      </c>
      <c r="D1786" s="49"/>
      <c r="E1786" s="48">
        <v>114.4</v>
      </c>
    </row>
    <row r="1787">
      <c r="A1787" s="46" t="s">
        <v>18</v>
      </c>
      <c r="B1787" s="46" t="s">
        <v>13</v>
      </c>
      <c r="C1787" s="49"/>
      <c r="D1787" s="48">
        <v>88.3</v>
      </c>
      <c r="E1787" s="48">
        <v>88.3</v>
      </c>
    </row>
    <row r="1788">
      <c r="A1788" s="46" t="s">
        <v>18</v>
      </c>
      <c r="B1788" s="46" t="s">
        <v>14</v>
      </c>
      <c r="C1788" s="48">
        <v>97.4</v>
      </c>
      <c r="D1788" s="48">
        <v>78.0</v>
      </c>
      <c r="E1788" s="48">
        <v>83.1</v>
      </c>
    </row>
    <row r="1789">
      <c r="A1789" s="46" t="s">
        <v>18</v>
      </c>
      <c r="B1789" s="46" t="s">
        <v>13</v>
      </c>
      <c r="C1789" s="49"/>
      <c r="D1789" s="48">
        <v>88.2</v>
      </c>
      <c r="E1789" s="48">
        <v>88.2</v>
      </c>
    </row>
    <row r="1790">
      <c r="A1790" s="46" t="s">
        <v>18</v>
      </c>
      <c r="B1790" s="46" t="s">
        <v>13</v>
      </c>
      <c r="C1790" s="49"/>
      <c r="D1790" s="48">
        <v>77.4</v>
      </c>
      <c r="E1790" s="48">
        <v>77.4</v>
      </c>
    </row>
    <row r="1791">
      <c r="A1791" s="46" t="s">
        <v>18</v>
      </c>
      <c r="B1791" s="46" t="s">
        <v>13</v>
      </c>
      <c r="C1791" s="49"/>
      <c r="D1791" s="48">
        <v>79.8</v>
      </c>
      <c r="E1791" s="48">
        <v>79.8</v>
      </c>
    </row>
    <row r="1792">
      <c r="A1792" s="46" t="s">
        <v>18</v>
      </c>
      <c r="B1792" s="46" t="s">
        <v>14</v>
      </c>
      <c r="C1792" s="48">
        <v>123.0</v>
      </c>
      <c r="D1792" s="48">
        <v>86.8</v>
      </c>
      <c r="E1792" s="48">
        <v>117.9</v>
      </c>
    </row>
    <row r="1793">
      <c r="A1793" s="46" t="s">
        <v>18</v>
      </c>
      <c r="B1793" s="46" t="s">
        <v>15</v>
      </c>
      <c r="C1793" s="48">
        <v>118.0</v>
      </c>
      <c r="D1793" s="49"/>
      <c r="E1793" s="48">
        <v>118.0</v>
      </c>
    </row>
    <row r="1794">
      <c r="A1794" s="46" t="s">
        <v>18</v>
      </c>
      <c r="B1794" s="46" t="s">
        <v>13</v>
      </c>
      <c r="C1794" s="49"/>
      <c r="D1794" s="48">
        <v>79.8</v>
      </c>
      <c r="E1794" s="48">
        <v>79.8</v>
      </c>
    </row>
    <row r="1795">
      <c r="A1795" s="46" t="s">
        <v>18</v>
      </c>
      <c r="B1795" s="46" t="s">
        <v>13</v>
      </c>
      <c r="C1795" s="49"/>
      <c r="D1795" s="48">
        <v>83.7</v>
      </c>
      <c r="E1795" s="48">
        <v>83.7</v>
      </c>
    </row>
    <row r="1796">
      <c r="A1796" s="46" t="s">
        <v>18</v>
      </c>
      <c r="B1796" s="46" t="s">
        <v>14</v>
      </c>
      <c r="C1796" s="48">
        <v>129.2</v>
      </c>
      <c r="D1796" s="48">
        <v>97.1</v>
      </c>
      <c r="E1796" s="48">
        <v>127.7</v>
      </c>
    </row>
    <row r="1797">
      <c r="A1797" s="46" t="s">
        <v>18</v>
      </c>
      <c r="B1797" s="46" t="s">
        <v>15</v>
      </c>
      <c r="C1797" s="48">
        <v>130.7</v>
      </c>
      <c r="D1797" s="49"/>
      <c r="E1797" s="48">
        <v>130.7</v>
      </c>
    </row>
    <row r="1798">
      <c r="A1798" s="46" t="s">
        <v>18</v>
      </c>
      <c r="B1798" s="46" t="s">
        <v>15</v>
      </c>
      <c r="C1798" s="48">
        <v>127.9</v>
      </c>
      <c r="D1798" s="49"/>
      <c r="E1798" s="48">
        <v>127.9</v>
      </c>
    </row>
    <row r="1799">
      <c r="A1799" s="46" t="s">
        <v>18</v>
      </c>
      <c r="B1799" s="46" t="s">
        <v>15</v>
      </c>
      <c r="C1799" s="48">
        <v>108.5</v>
      </c>
      <c r="D1799" s="49"/>
      <c r="E1799" s="48">
        <v>108.5</v>
      </c>
    </row>
    <row r="1800">
      <c r="A1800" s="46" t="s">
        <v>18</v>
      </c>
      <c r="B1800" s="46" t="s">
        <v>15</v>
      </c>
      <c r="C1800" s="48">
        <v>134.7</v>
      </c>
      <c r="D1800" s="49"/>
      <c r="E1800" s="48">
        <v>134.7</v>
      </c>
    </row>
    <row r="1801">
      <c r="A1801" s="46" t="s">
        <v>18</v>
      </c>
      <c r="B1801" s="46" t="s">
        <v>15</v>
      </c>
      <c r="C1801" s="48">
        <v>136.3</v>
      </c>
      <c r="D1801" s="49"/>
      <c r="E1801" s="48">
        <v>136.3</v>
      </c>
    </row>
    <row r="1802">
      <c r="A1802" s="46" t="s">
        <v>18</v>
      </c>
      <c r="B1802" s="46" t="s">
        <v>13</v>
      </c>
      <c r="C1802" s="49"/>
      <c r="D1802" s="48">
        <v>84.0</v>
      </c>
      <c r="E1802" s="48">
        <v>84.0</v>
      </c>
    </row>
    <row r="1803">
      <c r="A1803" s="46" t="s">
        <v>18</v>
      </c>
      <c r="B1803" s="46" t="s">
        <v>14</v>
      </c>
      <c r="C1803" s="48">
        <v>109.1</v>
      </c>
      <c r="D1803" s="48">
        <v>90.7</v>
      </c>
      <c r="E1803" s="48">
        <v>97.1</v>
      </c>
    </row>
    <row r="1804">
      <c r="A1804" s="46" t="s">
        <v>18</v>
      </c>
      <c r="B1804" s="46" t="s">
        <v>13</v>
      </c>
      <c r="C1804" s="49"/>
      <c r="D1804" s="48">
        <v>80.5</v>
      </c>
      <c r="E1804" s="48">
        <v>80.5</v>
      </c>
    </row>
    <row r="1805">
      <c r="A1805" s="46" t="s">
        <v>18</v>
      </c>
      <c r="B1805" s="46" t="s">
        <v>15</v>
      </c>
      <c r="C1805" s="48">
        <v>119.7</v>
      </c>
      <c r="D1805" s="49"/>
      <c r="E1805" s="48">
        <v>119.7</v>
      </c>
    </row>
    <row r="1806">
      <c r="A1806" s="46" t="s">
        <v>18</v>
      </c>
      <c r="B1806" s="46" t="s">
        <v>13</v>
      </c>
      <c r="C1806" s="49"/>
      <c r="D1806" s="48">
        <v>90.4</v>
      </c>
      <c r="E1806" s="48">
        <v>90.4</v>
      </c>
    </row>
    <row r="1807">
      <c r="A1807" s="46" t="s">
        <v>18</v>
      </c>
      <c r="B1807" s="46" t="s">
        <v>15</v>
      </c>
      <c r="C1807" s="48">
        <v>101.1</v>
      </c>
      <c r="D1807" s="49"/>
      <c r="E1807" s="48">
        <v>101.1</v>
      </c>
    </row>
    <row r="1808">
      <c r="A1808" s="46" t="s">
        <v>18</v>
      </c>
      <c r="B1808" s="46" t="s">
        <v>15</v>
      </c>
      <c r="C1808" s="48">
        <v>135.4</v>
      </c>
      <c r="D1808" s="49"/>
      <c r="E1808" s="48">
        <v>135.4</v>
      </c>
    </row>
    <row r="1809">
      <c r="A1809" s="46" t="s">
        <v>18</v>
      </c>
      <c r="B1809" s="46" t="s">
        <v>15</v>
      </c>
      <c r="C1809" s="48">
        <v>137.2</v>
      </c>
      <c r="D1809" s="49"/>
      <c r="E1809" s="48">
        <v>137.2</v>
      </c>
    </row>
    <row r="1810">
      <c r="A1810" s="46" t="s">
        <v>18</v>
      </c>
      <c r="B1810" s="46" t="s">
        <v>14</v>
      </c>
      <c r="C1810" s="48">
        <v>106.7</v>
      </c>
      <c r="D1810" s="48">
        <v>87.7</v>
      </c>
      <c r="E1810" s="48">
        <v>104.6</v>
      </c>
    </row>
    <row r="1811">
      <c r="A1811" s="46" t="s">
        <v>18</v>
      </c>
      <c r="B1811" s="46" t="s">
        <v>13</v>
      </c>
      <c r="C1811" s="49"/>
      <c r="D1811" s="48">
        <v>80.6</v>
      </c>
      <c r="E1811" s="48">
        <v>80.6</v>
      </c>
    </row>
    <row r="1812">
      <c r="A1812" s="46" t="s">
        <v>18</v>
      </c>
      <c r="B1812" s="46" t="s">
        <v>14</v>
      </c>
      <c r="C1812" s="48">
        <v>125.2</v>
      </c>
      <c r="D1812" s="48">
        <v>103.3</v>
      </c>
      <c r="E1812" s="48">
        <v>111.3</v>
      </c>
    </row>
    <row r="1813">
      <c r="A1813" s="46" t="s">
        <v>18</v>
      </c>
      <c r="B1813" s="46" t="s">
        <v>15</v>
      </c>
      <c r="C1813" s="48">
        <v>109.3</v>
      </c>
      <c r="D1813" s="49"/>
      <c r="E1813" s="48">
        <v>109.3</v>
      </c>
    </row>
    <row r="1814">
      <c r="A1814" s="46" t="s">
        <v>18</v>
      </c>
      <c r="B1814" s="46" t="s">
        <v>15</v>
      </c>
      <c r="C1814" s="48">
        <v>134.4</v>
      </c>
      <c r="D1814" s="49"/>
      <c r="E1814" s="48">
        <v>134.4</v>
      </c>
    </row>
    <row r="1815">
      <c r="A1815" s="46" t="s">
        <v>18</v>
      </c>
      <c r="B1815" s="46" t="s">
        <v>15</v>
      </c>
      <c r="C1815" s="48">
        <v>114.7</v>
      </c>
      <c r="D1815" s="49"/>
      <c r="E1815" s="48">
        <v>114.7</v>
      </c>
    </row>
    <row r="1816">
      <c r="A1816" s="46" t="s">
        <v>18</v>
      </c>
      <c r="B1816" s="46" t="s">
        <v>13</v>
      </c>
      <c r="C1816" s="49"/>
      <c r="D1816" s="48">
        <v>89.6</v>
      </c>
      <c r="E1816" s="48">
        <v>89.6</v>
      </c>
    </row>
    <row r="1817">
      <c r="A1817" s="46" t="s">
        <v>18</v>
      </c>
      <c r="B1817" s="46" t="s">
        <v>13</v>
      </c>
      <c r="C1817" s="49"/>
      <c r="D1817" s="48">
        <v>83.8</v>
      </c>
      <c r="E1817" s="48">
        <v>83.8</v>
      </c>
    </row>
    <row r="1818">
      <c r="A1818" s="46" t="s">
        <v>18</v>
      </c>
      <c r="B1818" s="46" t="s">
        <v>15</v>
      </c>
      <c r="C1818" s="48">
        <v>115.7</v>
      </c>
      <c r="D1818" s="49"/>
      <c r="E1818" s="48">
        <v>115.7</v>
      </c>
    </row>
    <row r="1819">
      <c r="A1819" s="46" t="s">
        <v>18</v>
      </c>
      <c r="B1819" s="46" t="s">
        <v>13</v>
      </c>
      <c r="C1819" s="49"/>
      <c r="D1819" s="48">
        <v>82.1</v>
      </c>
      <c r="E1819" s="48">
        <v>82.1</v>
      </c>
    </row>
    <row r="1820">
      <c r="A1820" s="46" t="s">
        <v>18</v>
      </c>
      <c r="B1820" s="46" t="s">
        <v>14</v>
      </c>
      <c r="C1820" s="48">
        <v>111.7</v>
      </c>
      <c r="D1820" s="48">
        <v>89.7</v>
      </c>
      <c r="E1820" s="48">
        <v>103.3</v>
      </c>
    </row>
    <row r="1821">
      <c r="A1821" s="46" t="s">
        <v>18</v>
      </c>
      <c r="B1821" s="46" t="s">
        <v>15</v>
      </c>
      <c r="C1821" s="48">
        <v>118.8</v>
      </c>
      <c r="D1821" s="49"/>
      <c r="E1821" s="48">
        <v>118.8</v>
      </c>
    </row>
    <row r="1822">
      <c r="A1822" s="46" t="s">
        <v>18</v>
      </c>
      <c r="B1822" s="46" t="s">
        <v>15</v>
      </c>
      <c r="C1822" s="48">
        <v>132.5</v>
      </c>
      <c r="D1822" s="49"/>
      <c r="E1822" s="48">
        <v>132.5</v>
      </c>
    </row>
    <row r="1823">
      <c r="A1823" s="46" t="s">
        <v>18</v>
      </c>
      <c r="B1823" s="46" t="s">
        <v>15</v>
      </c>
      <c r="C1823" s="48">
        <v>112.9</v>
      </c>
      <c r="D1823" s="49"/>
      <c r="E1823" s="48">
        <v>112.9</v>
      </c>
    </row>
    <row r="1824">
      <c r="A1824" s="46" t="s">
        <v>18</v>
      </c>
      <c r="B1824" s="46" t="s">
        <v>13</v>
      </c>
      <c r="C1824" s="49"/>
      <c r="D1824" s="48">
        <v>89.8</v>
      </c>
      <c r="E1824" s="48">
        <v>89.8</v>
      </c>
    </row>
    <row r="1825">
      <c r="A1825" s="46" t="s">
        <v>18</v>
      </c>
      <c r="B1825" s="46" t="s">
        <v>13</v>
      </c>
      <c r="C1825" s="49"/>
      <c r="D1825" s="48">
        <v>88.2</v>
      </c>
      <c r="E1825" s="48">
        <v>88.2</v>
      </c>
    </row>
    <row r="1826">
      <c r="A1826" s="46" t="s">
        <v>18</v>
      </c>
      <c r="B1826" s="46" t="s">
        <v>13</v>
      </c>
      <c r="C1826" s="49"/>
      <c r="D1826" s="48">
        <v>84.9</v>
      </c>
      <c r="E1826" s="48">
        <v>84.9</v>
      </c>
    </row>
    <row r="1827">
      <c r="A1827" s="46" t="s">
        <v>18</v>
      </c>
      <c r="B1827" s="46" t="s">
        <v>15</v>
      </c>
      <c r="C1827" s="48">
        <v>137.4</v>
      </c>
      <c r="D1827" s="49"/>
      <c r="E1827" s="48">
        <v>137.4</v>
      </c>
    </row>
    <row r="1828">
      <c r="A1828" s="46" t="s">
        <v>18</v>
      </c>
      <c r="B1828" s="46" t="s">
        <v>15</v>
      </c>
      <c r="C1828" s="48">
        <v>129.1</v>
      </c>
      <c r="D1828" s="49"/>
      <c r="E1828" s="48">
        <v>129.1</v>
      </c>
    </row>
    <row r="1829">
      <c r="A1829" s="46" t="s">
        <v>18</v>
      </c>
      <c r="B1829" s="46" t="s">
        <v>14</v>
      </c>
      <c r="C1829" s="48">
        <v>121.4</v>
      </c>
      <c r="D1829" s="48">
        <v>88.6</v>
      </c>
      <c r="E1829" s="48">
        <v>107.7</v>
      </c>
    </row>
    <row r="1830">
      <c r="A1830" s="46" t="s">
        <v>18</v>
      </c>
      <c r="B1830" s="46" t="s">
        <v>13</v>
      </c>
      <c r="C1830" s="49"/>
      <c r="D1830" s="48">
        <v>85.0</v>
      </c>
      <c r="E1830" s="48">
        <v>85.0</v>
      </c>
    </row>
    <row r="1831">
      <c r="A1831" s="46" t="s">
        <v>18</v>
      </c>
      <c r="B1831" s="46" t="s">
        <v>14</v>
      </c>
      <c r="C1831" s="48">
        <v>114.8</v>
      </c>
      <c r="D1831" s="48">
        <v>89.7</v>
      </c>
      <c r="E1831" s="48">
        <v>110.3</v>
      </c>
    </row>
    <row r="1832">
      <c r="A1832" s="46" t="s">
        <v>18</v>
      </c>
      <c r="B1832" s="46" t="s">
        <v>14</v>
      </c>
      <c r="C1832" s="48">
        <v>132.0</v>
      </c>
      <c r="D1832" s="48">
        <v>100.8</v>
      </c>
      <c r="E1832" s="48">
        <v>123.6</v>
      </c>
    </row>
    <row r="1833">
      <c r="A1833" s="46" t="s">
        <v>18</v>
      </c>
      <c r="B1833" s="46" t="s">
        <v>14</v>
      </c>
      <c r="C1833" s="48">
        <v>116.2</v>
      </c>
      <c r="D1833" s="48">
        <v>91.0</v>
      </c>
      <c r="E1833" s="48">
        <v>105.6</v>
      </c>
    </row>
    <row r="1834">
      <c r="A1834" s="46" t="s">
        <v>18</v>
      </c>
      <c r="B1834" s="46" t="s">
        <v>13</v>
      </c>
      <c r="C1834" s="49"/>
      <c r="D1834" s="48">
        <v>80.0</v>
      </c>
      <c r="E1834" s="48">
        <v>80.0</v>
      </c>
    </row>
    <row r="1835">
      <c r="A1835" s="46" t="s">
        <v>18</v>
      </c>
      <c r="B1835" s="46" t="s">
        <v>13</v>
      </c>
      <c r="C1835" s="49"/>
      <c r="D1835" s="48">
        <v>88.8</v>
      </c>
      <c r="E1835" s="48">
        <v>88.8</v>
      </c>
    </row>
    <row r="1836">
      <c r="A1836" s="46" t="s">
        <v>18</v>
      </c>
      <c r="B1836" s="46" t="s">
        <v>14</v>
      </c>
      <c r="C1836" s="48">
        <v>111.6</v>
      </c>
      <c r="D1836" s="48">
        <v>87.7</v>
      </c>
      <c r="E1836" s="48">
        <v>108.5</v>
      </c>
    </row>
    <row r="1837">
      <c r="A1837" s="46" t="s">
        <v>18</v>
      </c>
      <c r="B1837" s="46" t="s">
        <v>15</v>
      </c>
      <c r="C1837" s="48">
        <v>115.4</v>
      </c>
      <c r="D1837" s="49"/>
      <c r="E1837" s="48">
        <v>115.4</v>
      </c>
    </row>
    <row r="1838">
      <c r="A1838" s="46" t="s">
        <v>18</v>
      </c>
      <c r="B1838" s="46" t="s">
        <v>15</v>
      </c>
      <c r="C1838" s="48">
        <v>125.7</v>
      </c>
      <c r="D1838" s="49"/>
      <c r="E1838" s="48">
        <v>125.7</v>
      </c>
    </row>
    <row r="1839">
      <c r="A1839" s="46" t="s">
        <v>18</v>
      </c>
      <c r="B1839" s="46" t="s">
        <v>14</v>
      </c>
      <c r="C1839" s="48">
        <v>110.2</v>
      </c>
      <c r="D1839" s="48">
        <v>81.7</v>
      </c>
      <c r="E1839" s="48">
        <v>104.0</v>
      </c>
    </row>
    <row r="1840">
      <c r="A1840" s="46" t="s">
        <v>18</v>
      </c>
      <c r="B1840" s="46" t="s">
        <v>15</v>
      </c>
      <c r="C1840" s="48">
        <v>117.8</v>
      </c>
      <c r="D1840" s="49"/>
      <c r="E1840" s="48">
        <v>117.8</v>
      </c>
    </row>
    <row r="1841">
      <c r="A1841" s="46" t="s">
        <v>18</v>
      </c>
      <c r="B1841" s="46" t="s">
        <v>13</v>
      </c>
      <c r="C1841" s="49"/>
      <c r="D1841" s="48">
        <v>83.0</v>
      </c>
      <c r="E1841" s="48">
        <v>83.0</v>
      </c>
    </row>
    <row r="1842">
      <c r="A1842" s="46" t="s">
        <v>18</v>
      </c>
      <c r="B1842" s="46" t="s">
        <v>13</v>
      </c>
      <c r="C1842" s="49"/>
      <c r="D1842" s="48">
        <v>96.7</v>
      </c>
      <c r="E1842" s="48">
        <v>96.7</v>
      </c>
    </row>
    <row r="1843">
      <c r="A1843" s="46" t="s">
        <v>18</v>
      </c>
      <c r="B1843" s="46" t="s">
        <v>14</v>
      </c>
      <c r="C1843" s="48">
        <v>118.6</v>
      </c>
      <c r="D1843" s="48">
        <v>101.2</v>
      </c>
      <c r="E1843" s="48">
        <v>112.8</v>
      </c>
    </row>
    <row r="1844">
      <c r="A1844" s="46" t="s">
        <v>18</v>
      </c>
      <c r="B1844" s="46" t="s">
        <v>14</v>
      </c>
      <c r="C1844" s="48">
        <v>99.0</v>
      </c>
      <c r="D1844" s="48">
        <v>82.2</v>
      </c>
      <c r="E1844" s="48">
        <v>93.9</v>
      </c>
    </row>
    <row r="1845">
      <c r="A1845" s="46" t="s">
        <v>18</v>
      </c>
      <c r="B1845" s="46" t="s">
        <v>14</v>
      </c>
      <c r="C1845" s="48">
        <v>109.3</v>
      </c>
      <c r="D1845" s="48">
        <v>107.0</v>
      </c>
      <c r="E1845" s="48">
        <v>108.2</v>
      </c>
    </row>
    <row r="1846">
      <c r="A1846" s="46" t="s">
        <v>18</v>
      </c>
      <c r="B1846" s="46" t="s">
        <v>13</v>
      </c>
      <c r="C1846" s="49"/>
      <c r="D1846" s="48">
        <v>93.5</v>
      </c>
      <c r="E1846" s="48">
        <v>93.5</v>
      </c>
    </row>
    <row r="1847">
      <c r="A1847" s="46" t="s">
        <v>18</v>
      </c>
      <c r="B1847" s="46" t="s">
        <v>14</v>
      </c>
      <c r="C1847" s="48">
        <v>111.6</v>
      </c>
      <c r="D1847" s="48">
        <v>87.9</v>
      </c>
      <c r="E1847" s="48">
        <v>105.0</v>
      </c>
    </row>
    <row r="1848">
      <c r="A1848" s="46" t="s">
        <v>18</v>
      </c>
      <c r="B1848" s="46" t="s">
        <v>13</v>
      </c>
      <c r="C1848" s="49"/>
      <c r="D1848" s="48">
        <v>86.8</v>
      </c>
      <c r="E1848" s="48">
        <v>86.8</v>
      </c>
    </row>
    <row r="1849">
      <c r="A1849" s="46" t="s">
        <v>18</v>
      </c>
      <c r="B1849" s="46" t="s">
        <v>14</v>
      </c>
      <c r="C1849" s="48">
        <v>115.0</v>
      </c>
      <c r="D1849" s="48">
        <v>86.3</v>
      </c>
      <c r="E1849" s="48">
        <v>109.7</v>
      </c>
    </row>
    <row r="1850">
      <c r="A1850" s="46" t="s">
        <v>18</v>
      </c>
      <c r="B1850" s="46" t="s">
        <v>13</v>
      </c>
      <c r="C1850" s="49"/>
      <c r="D1850" s="48">
        <v>85.6</v>
      </c>
      <c r="E1850" s="48">
        <v>85.6</v>
      </c>
    </row>
    <row r="1851">
      <c r="A1851" s="46" t="s">
        <v>18</v>
      </c>
      <c r="B1851" s="46" t="s">
        <v>13</v>
      </c>
      <c r="C1851" s="49"/>
      <c r="D1851" s="48">
        <v>73.7</v>
      </c>
      <c r="E1851" s="48">
        <v>73.7</v>
      </c>
    </row>
    <row r="1852">
      <c r="A1852" s="46" t="s">
        <v>18</v>
      </c>
      <c r="B1852" s="46" t="s">
        <v>15</v>
      </c>
      <c r="C1852" s="48">
        <v>117.4</v>
      </c>
      <c r="D1852" s="49"/>
      <c r="E1852" s="48">
        <v>117.4</v>
      </c>
    </row>
    <row r="1853">
      <c r="A1853" s="46" t="s">
        <v>18</v>
      </c>
      <c r="B1853" s="46" t="s">
        <v>13</v>
      </c>
      <c r="C1853" s="49"/>
      <c r="D1853" s="48">
        <v>74.2</v>
      </c>
      <c r="E1853" s="48">
        <v>74.2</v>
      </c>
    </row>
    <row r="1854">
      <c r="A1854" s="46" t="s">
        <v>18</v>
      </c>
      <c r="B1854" s="46" t="s">
        <v>13</v>
      </c>
      <c r="C1854" s="49"/>
      <c r="D1854" s="48">
        <v>73.5</v>
      </c>
      <c r="E1854" s="48">
        <v>73.5</v>
      </c>
    </row>
    <row r="1855">
      <c r="A1855" s="46" t="s">
        <v>18</v>
      </c>
      <c r="B1855" s="46" t="s">
        <v>13</v>
      </c>
      <c r="C1855" s="49"/>
      <c r="D1855" s="48">
        <v>89.4</v>
      </c>
      <c r="E1855" s="48">
        <v>89.4</v>
      </c>
    </row>
    <row r="1856">
      <c r="A1856" s="46" t="s">
        <v>18</v>
      </c>
      <c r="B1856" s="46" t="s">
        <v>13</v>
      </c>
      <c r="C1856" s="49"/>
      <c r="D1856" s="48">
        <v>81.2</v>
      </c>
      <c r="E1856" s="48">
        <v>81.2</v>
      </c>
    </row>
    <row r="1857">
      <c r="A1857" s="46" t="s">
        <v>18</v>
      </c>
      <c r="B1857" s="46" t="s">
        <v>15</v>
      </c>
      <c r="C1857" s="48">
        <v>120.6</v>
      </c>
      <c r="D1857" s="49"/>
      <c r="E1857" s="48">
        <v>120.6</v>
      </c>
    </row>
    <row r="1858">
      <c r="A1858" s="46" t="s">
        <v>18</v>
      </c>
      <c r="B1858" s="46" t="s">
        <v>15</v>
      </c>
      <c r="C1858" s="48">
        <v>111.6</v>
      </c>
      <c r="D1858" s="49"/>
      <c r="E1858" s="48">
        <v>111.6</v>
      </c>
    </row>
    <row r="1859">
      <c r="A1859" s="46" t="s">
        <v>18</v>
      </c>
      <c r="B1859" s="46" t="s">
        <v>14</v>
      </c>
      <c r="C1859" s="48">
        <v>115.8</v>
      </c>
      <c r="D1859" s="48">
        <v>89.6</v>
      </c>
      <c r="E1859" s="48">
        <v>111.1</v>
      </c>
    </row>
    <row r="1860">
      <c r="A1860" s="46" t="s">
        <v>18</v>
      </c>
      <c r="B1860" s="46" t="s">
        <v>14</v>
      </c>
      <c r="C1860" s="48">
        <v>115.1</v>
      </c>
      <c r="D1860" s="48">
        <v>89.1</v>
      </c>
      <c r="E1860" s="48">
        <v>107.6</v>
      </c>
    </row>
    <row r="1861">
      <c r="A1861" s="46" t="s">
        <v>18</v>
      </c>
      <c r="B1861" s="46" t="s">
        <v>15</v>
      </c>
      <c r="C1861" s="48">
        <v>130.4</v>
      </c>
      <c r="D1861" s="49"/>
      <c r="E1861" s="48">
        <v>130.4</v>
      </c>
    </row>
    <row r="1862">
      <c r="A1862" s="46" t="s">
        <v>18</v>
      </c>
      <c r="B1862" s="46" t="s">
        <v>13</v>
      </c>
      <c r="C1862" s="49"/>
      <c r="D1862" s="48">
        <v>101.5</v>
      </c>
      <c r="E1862" s="48">
        <v>101.5</v>
      </c>
    </row>
    <row r="1863">
      <c r="A1863" s="46" t="s">
        <v>18</v>
      </c>
      <c r="B1863" s="46" t="s">
        <v>13</v>
      </c>
      <c r="C1863" s="49"/>
      <c r="D1863" s="48">
        <v>82.0</v>
      </c>
      <c r="E1863" s="48">
        <v>82.0</v>
      </c>
    </row>
    <row r="1864">
      <c r="A1864" s="46" t="s">
        <v>18</v>
      </c>
      <c r="B1864" s="46" t="s">
        <v>15</v>
      </c>
      <c r="C1864" s="48">
        <v>122.8</v>
      </c>
      <c r="D1864" s="49"/>
      <c r="E1864" s="48">
        <v>122.8</v>
      </c>
    </row>
    <row r="1865">
      <c r="A1865" s="46" t="s">
        <v>18</v>
      </c>
      <c r="B1865" s="46" t="s">
        <v>13</v>
      </c>
      <c r="C1865" s="49"/>
      <c r="D1865" s="48">
        <v>80.0</v>
      </c>
      <c r="E1865" s="48">
        <v>80.0</v>
      </c>
    </row>
    <row r="1866">
      <c r="A1866" s="46" t="s">
        <v>18</v>
      </c>
      <c r="B1866" s="46" t="s">
        <v>14</v>
      </c>
      <c r="C1866" s="48">
        <v>120.7</v>
      </c>
      <c r="D1866" s="48">
        <v>84.5</v>
      </c>
      <c r="E1866" s="48">
        <v>113.0</v>
      </c>
    </row>
    <row r="1867">
      <c r="A1867" s="46" t="s">
        <v>18</v>
      </c>
      <c r="B1867" s="46" t="s">
        <v>14</v>
      </c>
      <c r="C1867" s="48">
        <v>127.8</v>
      </c>
      <c r="D1867" s="48">
        <v>89.1</v>
      </c>
      <c r="E1867" s="48">
        <v>116.3</v>
      </c>
    </row>
    <row r="1868">
      <c r="A1868" s="46" t="s">
        <v>18</v>
      </c>
      <c r="B1868" s="46" t="s">
        <v>15</v>
      </c>
      <c r="C1868" s="48">
        <v>103.7</v>
      </c>
      <c r="D1868" s="49"/>
      <c r="E1868" s="48">
        <v>103.7</v>
      </c>
    </row>
    <row r="1869">
      <c r="A1869" s="46" t="s">
        <v>18</v>
      </c>
      <c r="B1869" s="46" t="s">
        <v>15</v>
      </c>
      <c r="C1869" s="48">
        <v>103.5</v>
      </c>
      <c r="D1869" s="49"/>
      <c r="E1869" s="48">
        <v>103.5</v>
      </c>
    </row>
    <row r="1870">
      <c r="A1870" s="46" t="s">
        <v>18</v>
      </c>
      <c r="B1870" s="46" t="s">
        <v>15</v>
      </c>
      <c r="C1870" s="48">
        <v>117.5</v>
      </c>
      <c r="D1870" s="49"/>
      <c r="E1870" s="48">
        <v>117.5</v>
      </c>
    </row>
    <row r="1871">
      <c r="A1871" s="46" t="s">
        <v>18</v>
      </c>
      <c r="B1871" s="46" t="s">
        <v>14</v>
      </c>
      <c r="C1871" s="48">
        <v>111.7</v>
      </c>
      <c r="D1871" s="48">
        <v>89.1</v>
      </c>
      <c r="E1871" s="48">
        <v>104.4</v>
      </c>
    </row>
    <row r="1872">
      <c r="A1872" s="46" t="s">
        <v>18</v>
      </c>
      <c r="B1872" s="46" t="s">
        <v>14</v>
      </c>
      <c r="C1872" s="48">
        <v>119.2</v>
      </c>
      <c r="D1872" s="48">
        <v>100.7</v>
      </c>
      <c r="E1872" s="48">
        <v>103.3</v>
      </c>
    </row>
    <row r="1873">
      <c r="A1873" s="46" t="s">
        <v>18</v>
      </c>
      <c r="B1873" s="46" t="s">
        <v>15</v>
      </c>
      <c r="C1873" s="48">
        <v>117.7</v>
      </c>
      <c r="D1873" s="49"/>
      <c r="E1873" s="48">
        <v>117.7</v>
      </c>
    </row>
    <row r="1874">
      <c r="A1874" s="46" t="s">
        <v>18</v>
      </c>
      <c r="B1874" s="46" t="s">
        <v>15</v>
      </c>
      <c r="C1874" s="48">
        <v>111.7</v>
      </c>
      <c r="D1874" s="49"/>
      <c r="E1874" s="48">
        <v>111.7</v>
      </c>
    </row>
    <row r="1875">
      <c r="A1875" s="46" t="s">
        <v>18</v>
      </c>
      <c r="B1875" s="46" t="s">
        <v>13</v>
      </c>
      <c r="C1875" s="49"/>
      <c r="D1875" s="48">
        <v>86.3</v>
      </c>
      <c r="E1875" s="48">
        <v>86.3</v>
      </c>
    </row>
    <row r="1876">
      <c r="A1876" s="46" t="s">
        <v>18</v>
      </c>
      <c r="B1876" s="46" t="s">
        <v>13</v>
      </c>
      <c r="C1876" s="49"/>
      <c r="D1876" s="48">
        <v>81.4</v>
      </c>
      <c r="E1876" s="48">
        <v>81.4</v>
      </c>
    </row>
    <row r="1877">
      <c r="A1877" s="46" t="s">
        <v>18</v>
      </c>
      <c r="B1877" s="46" t="s">
        <v>15</v>
      </c>
      <c r="C1877" s="48">
        <v>123.9</v>
      </c>
      <c r="D1877" s="49"/>
      <c r="E1877" s="48">
        <v>123.9</v>
      </c>
    </row>
    <row r="1878">
      <c r="A1878" s="46" t="s">
        <v>18</v>
      </c>
      <c r="B1878" s="46" t="s">
        <v>13</v>
      </c>
      <c r="C1878" s="49"/>
      <c r="D1878" s="48">
        <v>79.4</v>
      </c>
      <c r="E1878" s="48">
        <v>79.4</v>
      </c>
    </row>
    <row r="1879">
      <c r="A1879" s="46" t="s">
        <v>18</v>
      </c>
      <c r="B1879" s="46" t="s">
        <v>15</v>
      </c>
      <c r="C1879" s="48">
        <v>112.2</v>
      </c>
      <c r="D1879" s="49"/>
      <c r="E1879" s="48">
        <v>112.2</v>
      </c>
    </row>
    <row r="1880">
      <c r="A1880" s="46" t="s">
        <v>18</v>
      </c>
      <c r="B1880" s="46" t="s">
        <v>14</v>
      </c>
      <c r="C1880" s="48">
        <v>108.0</v>
      </c>
      <c r="D1880" s="48">
        <v>83.9</v>
      </c>
      <c r="E1880" s="48">
        <v>103.7</v>
      </c>
    </row>
    <row r="1881">
      <c r="A1881" s="46" t="s">
        <v>18</v>
      </c>
      <c r="B1881" s="46" t="s">
        <v>14</v>
      </c>
      <c r="C1881" s="48">
        <v>106.4</v>
      </c>
      <c r="D1881" s="48">
        <v>94.5</v>
      </c>
      <c r="E1881" s="48">
        <v>96.5</v>
      </c>
    </row>
    <row r="1882">
      <c r="A1882" s="46" t="s">
        <v>18</v>
      </c>
      <c r="B1882" s="46" t="s">
        <v>15</v>
      </c>
      <c r="C1882" s="48">
        <v>118.6</v>
      </c>
      <c r="D1882" s="49"/>
      <c r="E1882" s="48">
        <v>118.6</v>
      </c>
    </row>
    <row r="1883">
      <c r="A1883" s="46" t="s">
        <v>18</v>
      </c>
      <c r="B1883" s="46" t="s">
        <v>15</v>
      </c>
      <c r="C1883" s="48">
        <v>91.8</v>
      </c>
      <c r="D1883" s="49"/>
      <c r="E1883" s="48">
        <v>91.8</v>
      </c>
    </row>
    <row r="1884">
      <c r="A1884" s="46" t="s">
        <v>18</v>
      </c>
      <c r="B1884" s="46" t="s">
        <v>13</v>
      </c>
      <c r="C1884" s="49"/>
      <c r="D1884" s="48">
        <v>78.2</v>
      </c>
      <c r="E1884" s="48">
        <v>78.2</v>
      </c>
    </row>
    <row r="1885">
      <c r="A1885" s="46" t="s">
        <v>18</v>
      </c>
      <c r="B1885" s="46" t="s">
        <v>14</v>
      </c>
      <c r="C1885" s="48">
        <v>99.8</v>
      </c>
      <c r="D1885" s="48">
        <v>79.1</v>
      </c>
      <c r="E1885" s="48">
        <v>92.2</v>
      </c>
    </row>
    <row r="1886">
      <c r="A1886" s="46" t="s">
        <v>18</v>
      </c>
      <c r="B1886" s="46" t="s">
        <v>13</v>
      </c>
      <c r="C1886" s="49"/>
      <c r="D1886" s="48">
        <v>94.4</v>
      </c>
      <c r="E1886" s="48">
        <v>94.4</v>
      </c>
    </row>
    <row r="1887">
      <c r="A1887" s="46" t="s">
        <v>18</v>
      </c>
      <c r="B1887" s="46" t="s">
        <v>14</v>
      </c>
      <c r="C1887" s="48">
        <v>108.2</v>
      </c>
      <c r="D1887" s="48">
        <v>81.7</v>
      </c>
      <c r="E1887" s="48">
        <v>97.9</v>
      </c>
    </row>
    <row r="1888">
      <c r="A1888" s="46" t="s">
        <v>18</v>
      </c>
      <c r="B1888" s="46" t="s">
        <v>15</v>
      </c>
      <c r="C1888" s="48">
        <v>126.0</v>
      </c>
      <c r="D1888" s="49"/>
      <c r="E1888" s="48">
        <v>126.0</v>
      </c>
    </row>
    <row r="1889">
      <c r="A1889" s="46" t="s">
        <v>18</v>
      </c>
      <c r="B1889" s="46" t="s">
        <v>15</v>
      </c>
      <c r="C1889" s="48">
        <v>115.5</v>
      </c>
      <c r="D1889" s="49"/>
      <c r="E1889" s="48">
        <v>115.5</v>
      </c>
    </row>
    <row r="1890">
      <c r="A1890" s="46" t="s">
        <v>18</v>
      </c>
      <c r="B1890" s="46" t="s">
        <v>13</v>
      </c>
      <c r="C1890" s="49"/>
      <c r="D1890" s="48">
        <v>75.7</v>
      </c>
      <c r="E1890" s="48">
        <v>75.7</v>
      </c>
    </row>
    <row r="1891">
      <c r="A1891" s="46" t="s">
        <v>18</v>
      </c>
      <c r="B1891" s="46" t="s">
        <v>13</v>
      </c>
      <c r="C1891" s="49"/>
      <c r="D1891" s="48">
        <v>79.7</v>
      </c>
      <c r="E1891" s="48">
        <v>79.7</v>
      </c>
    </row>
    <row r="1892">
      <c r="A1892" s="46" t="s">
        <v>18</v>
      </c>
      <c r="B1892" s="46" t="s">
        <v>13</v>
      </c>
      <c r="C1892" s="49"/>
      <c r="D1892" s="48">
        <v>77.6</v>
      </c>
      <c r="E1892" s="48">
        <v>77.6</v>
      </c>
    </row>
    <row r="1893">
      <c r="A1893" s="46" t="s">
        <v>18</v>
      </c>
      <c r="B1893" s="46" t="s">
        <v>14</v>
      </c>
      <c r="C1893" s="48">
        <v>109.6</v>
      </c>
      <c r="D1893" s="48">
        <v>89.2</v>
      </c>
      <c r="E1893" s="48">
        <v>103.9</v>
      </c>
    </row>
    <row r="1894">
      <c r="A1894" s="46" t="s">
        <v>18</v>
      </c>
      <c r="B1894" s="46" t="s">
        <v>13</v>
      </c>
      <c r="C1894" s="49"/>
      <c r="D1894" s="48">
        <v>92.4</v>
      </c>
      <c r="E1894" s="48">
        <v>92.4</v>
      </c>
    </row>
    <row r="1895">
      <c r="A1895" s="46" t="s">
        <v>18</v>
      </c>
      <c r="B1895" s="46" t="s">
        <v>13</v>
      </c>
      <c r="C1895" s="49"/>
      <c r="D1895" s="48">
        <v>87.4</v>
      </c>
      <c r="E1895" s="48">
        <v>87.4</v>
      </c>
    </row>
    <row r="1896">
      <c r="A1896" s="46" t="s">
        <v>18</v>
      </c>
      <c r="B1896" s="46" t="s">
        <v>15</v>
      </c>
      <c r="C1896" s="48">
        <v>121.9</v>
      </c>
      <c r="D1896" s="49"/>
      <c r="E1896" s="48">
        <v>121.9</v>
      </c>
    </row>
    <row r="1897">
      <c r="A1897" s="46" t="s">
        <v>18</v>
      </c>
      <c r="B1897" s="46" t="s">
        <v>14</v>
      </c>
      <c r="C1897" s="48">
        <v>108.2</v>
      </c>
      <c r="D1897" s="48">
        <v>87.4</v>
      </c>
      <c r="E1897" s="48">
        <v>104.6</v>
      </c>
    </row>
    <row r="1898">
      <c r="A1898" s="46" t="s">
        <v>18</v>
      </c>
      <c r="B1898" s="46" t="s">
        <v>15</v>
      </c>
      <c r="C1898" s="48">
        <v>107.1</v>
      </c>
      <c r="D1898" s="49"/>
      <c r="E1898" s="48">
        <v>107.1</v>
      </c>
    </row>
    <row r="1899">
      <c r="A1899" s="46" t="s">
        <v>18</v>
      </c>
      <c r="B1899" s="46" t="s">
        <v>14</v>
      </c>
      <c r="C1899" s="48">
        <v>108.0</v>
      </c>
      <c r="D1899" s="48">
        <v>84.4</v>
      </c>
      <c r="E1899" s="48">
        <v>105.2</v>
      </c>
    </row>
    <row r="1900">
      <c r="A1900" s="46" t="s">
        <v>18</v>
      </c>
      <c r="B1900" s="46" t="s">
        <v>15</v>
      </c>
      <c r="C1900" s="48">
        <v>112.7</v>
      </c>
      <c r="D1900" s="49"/>
      <c r="E1900" s="48">
        <v>112.7</v>
      </c>
    </row>
    <row r="1901">
      <c r="A1901" s="46" t="s">
        <v>18</v>
      </c>
      <c r="B1901" s="46" t="s">
        <v>14</v>
      </c>
      <c r="C1901" s="48">
        <v>102.2</v>
      </c>
      <c r="D1901" s="48">
        <v>80.8</v>
      </c>
      <c r="E1901" s="48">
        <v>94.9</v>
      </c>
    </row>
    <row r="1902">
      <c r="A1902" s="46" t="s">
        <v>18</v>
      </c>
      <c r="B1902" s="46" t="s">
        <v>13</v>
      </c>
      <c r="C1902" s="49"/>
      <c r="D1902" s="48">
        <v>73.7</v>
      </c>
      <c r="E1902" s="48">
        <v>73.7</v>
      </c>
    </row>
    <row r="1903">
      <c r="A1903" s="46" t="s">
        <v>18</v>
      </c>
      <c r="B1903" s="46" t="s">
        <v>14</v>
      </c>
      <c r="C1903" s="48">
        <v>106.8</v>
      </c>
      <c r="D1903" s="48">
        <v>87.3</v>
      </c>
      <c r="E1903" s="48">
        <v>102.1</v>
      </c>
    </row>
    <row r="1904">
      <c r="A1904" s="46" t="s">
        <v>18</v>
      </c>
      <c r="B1904" s="46" t="s">
        <v>13</v>
      </c>
      <c r="C1904" s="49"/>
      <c r="D1904" s="48">
        <v>82.9</v>
      </c>
      <c r="E1904" s="48">
        <v>82.9</v>
      </c>
    </row>
    <row r="1905">
      <c r="A1905" s="46" t="s">
        <v>18</v>
      </c>
      <c r="B1905" s="46" t="s">
        <v>13</v>
      </c>
      <c r="C1905" s="49"/>
      <c r="D1905" s="48">
        <v>68.7</v>
      </c>
      <c r="E1905" s="48">
        <v>68.7</v>
      </c>
    </row>
    <row r="1906">
      <c r="A1906" s="46" t="s">
        <v>18</v>
      </c>
      <c r="B1906" s="46" t="s">
        <v>14</v>
      </c>
      <c r="C1906" s="48">
        <v>102.9</v>
      </c>
      <c r="D1906" s="48">
        <v>71.9</v>
      </c>
      <c r="E1906" s="48">
        <v>97.9</v>
      </c>
    </row>
    <row r="1907">
      <c r="A1907" s="46" t="s">
        <v>18</v>
      </c>
      <c r="B1907" s="46" t="s">
        <v>15</v>
      </c>
      <c r="C1907" s="48">
        <v>108.4</v>
      </c>
      <c r="D1907" s="49"/>
      <c r="E1907" s="48">
        <v>108.4</v>
      </c>
    </row>
    <row r="1908">
      <c r="A1908" s="46" t="s">
        <v>18</v>
      </c>
      <c r="B1908" s="46" t="s">
        <v>15</v>
      </c>
      <c r="C1908" s="48">
        <v>119.7</v>
      </c>
      <c r="D1908" s="49"/>
      <c r="E1908" s="48">
        <v>119.7</v>
      </c>
    </row>
    <row r="1909">
      <c r="A1909" s="46" t="s">
        <v>18</v>
      </c>
      <c r="B1909" s="46" t="s">
        <v>13</v>
      </c>
      <c r="C1909" s="49"/>
      <c r="D1909" s="48">
        <v>68.9</v>
      </c>
      <c r="E1909" s="48">
        <v>68.9</v>
      </c>
    </row>
    <row r="1910">
      <c r="A1910" s="46" t="s">
        <v>18</v>
      </c>
      <c r="B1910" s="46" t="s">
        <v>15</v>
      </c>
      <c r="C1910" s="48">
        <v>115.2</v>
      </c>
      <c r="D1910" s="49"/>
      <c r="E1910" s="48">
        <v>115.2</v>
      </c>
    </row>
    <row r="1911">
      <c r="A1911" s="46" t="s">
        <v>18</v>
      </c>
      <c r="B1911" s="46" t="s">
        <v>15</v>
      </c>
      <c r="C1911" s="48">
        <v>102.6</v>
      </c>
      <c r="D1911" s="49"/>
      <c r="E1911" s="48">
        <v>102.6</v>
      </c>
    </row>
    <row r="1912">
      <c r="A1912" s="46" t="s">
        <v>18</v>
      </c>
      <c r="B1912" s="46" t="s">
        <v>15</v>
      </c>
      <c r="C1912" s="48">
        <v>114.3</v>
      </c>
      <c r="D1912" s="49"/>
      <c r="E1912" s="48">
        <v>114.3</v>
      </c>
    </row>
    <row r="1913">
      <c r="A1913" s="46" t="s">
        <v>18</v>
      </c>
      <c r="B1913" s="46" t="s">
        <v>13</v>
      </c>
      <c r="C1913" s="49"/>
      <c r="D1913" s="48">
        <v>84.1</v>
      </c>
      <c r="E1913" s="48">
        <v>84.1</v>
      </c>
    </row>
    <row r="1914">
      <c r="A1914" s="46" t="s">
        <v>18</v>
      </c>
      <c r="B1914" s="46" t="s">
        <v>13</v>
      </c>
      <c r="C1914" s="49"/>
      <c r="D1914" s="48">
        <v>69.9</v>
      </c>
      <c r="E1914" s="48">
        <v>69.9</v>
      </c>
    </row>
    <row r="1915">
      <c r="A1915" s="46" t="s">
        <v>18</v>
      </c>
      <c r="B1915" s="46" t="s">
        <v>15</v>
      </c>
      <c r="C1915" s="48">
        <v>116.1</v>
      </c>
      <c r="D1915" s="49"/>
      <c r="E1915" s="48">
        <v>116.1</v>
      </c>
    </row>
    <row r="1916">
      <c r="A1916" s="46" t="s">
        <v>18</v>
      </c>
      <c r="B1916" s="46" t="s">
        <v>15</v>
      </c>
      <c r="C1916" s="48">
        <v>95.6</v>
      </c>
      <c r="D1916" s="49"/>
      <c r="E1916" s="48">
        <v>95.6</v>
      </c>
    </row>
    <row r="1917">
      <c r="A1917" s="46" t="s">
        <v>18</v>
      </c>
      <c r="B1917" s="46" t="s">
        <v>13</v>
      </c>
      <c r="C1917" s="49"/>
      <c r="D1917" s="48">
        <v>83.9</v>
      </c>
      <c r="E1917" s="48">
        <v>83.9</v>
      </c>
    </row>
    <row r="1918">
      <c r="A1918" s="46" t="s">
        <v>18</v>
      </c>
      <c r="B1918" s="46" t="s">
        <v>13</v>
      </c>
      <c r="C1918" s="49"/>
      <c r="D1918" s="48">
        <v>76.1</v>
      </c>
      <c r="E1918" s="48">
        <v>76.1</v>
      </c>
    </row>
    <row r="1919">
      <c r="A1919" s="46" t="s">
        <v>18</v>
      </c>
      <c r="B1919" s="46" t="s">
        <v>13</v>
      </c>
      <c r="C1919" s="49"/>
      <c r="D1919" s="48">
        <v>75.4</v>
      </c>
      <c r="E1919" s="48">
        <v>75.4</v>
      </c>
    </row>
    <row r="1920">
      <c r="A1920" s="46" t="s">
        <v>18</v>
      </c>
      <c r="B1920" s="46" t="s">
        <v>13</v>
      </c>
      <c r="C1920" s="49"/>
      <c r="D1920" s="48">
        <v>73.1</v>
      </c>
      <c r="E1920" s="48">
        <v>73.1</v>
      </c>
    </row>
    <row r="1921">
      <c r="A1921" s="46" t="s">
        <v>18</v>
      </c>
      <c r="B1921" s="46" t="s">
        <v>15</v>
      </c>
      <c r="C1921" s="48">
        <v>130.1</v>
      </c>
      <c r="D1921" s="49"/>
      <c r="E1921" s="48">
        <v>130.1</v>
      </c>
    </row>
    <row r="1922">
      <c r="A1922" s="46" t="s">
        <v>18</v>
      </c>
      <c r="B1922" s="46" t="s">
        <v>13</v>
      </c>
      <c r="C1922" s="49"/>
      <c r="D1922" s="48">
        <v>73.9</v>
      </c>
      <c r="E1922" s="48">
        <v>73.9</v>
      </c>
    </row>
    <row r="1923">
      <c r="A1923" s="46" t="s">
        <v>18</v>
      </c>
      <c r="B1923" s="46" t="s">
        <v>15</v>
      </c>
      <c r="C1923" s="48">
        <v>101.9</v>
      </c>
      <c r="D1923" s="49"/>
      <c r="E1923" s="48">
        <v>101.9</v>
      </c>
    </row>
    <row r="1924">
      <c r="A1924" s="46" t="s">
        <v>18</v>
      </c>
      <c r="B1924" s="46" t="s">
        <v>13</v>
      </c>
      <c r="C1924" s="49"/>
      <c r="D1924" s="48">
        <v>67.4</v>
      </c>
      <c r="E1924" s="48">
        <v>67.4</v>
      </c>
    </row>
    <row r="1925">
      <c r="A1925" s="46" t="s">
        <v>18</v>
      </c>
      <c r="B1925" s="46" t="s">
        <v>15</v>
      </c>
      <c r="C1925" s="48">
        <v>99.5</v>
      </c>
      <c r="D1925" s="49"/>
      <c r="E1925" s="48">
        <v>99.5</v>
      </c>
    </row>
    <row r="1926">
      <c r="A1926" s="46" t="s">
        <v>18</v>
      </c>
      <c r="B1926" s="46" t="s">
        <v>13</v>
      </c>
      <c r="C1926" s="49"/>
      <c r="D1926" s="48">
        <v>71.3</v>
      </c>
      <c r="E1926" s="48">
        <v>71.3</v>
      </c>
    </row>
    <row r="1927">
      <c r="A1927" s="46" t="s">
        <v>18</v>
      </c>
      <c r="B1927" s="46" t="s">
        <v>13</v>
      </c>
      <c r="C1927" s="49"/>
      <c r="D1927" s="48">
        <v>76.9</v>
      </c>
      <c r="E1927" s="48">
        <v>76.9</v>
      </c>
    </row>
    <row r="1928">
      <c r="A1928" s="46" t="s">
        <v>18</v>
      </c>
      <c r="B1928" s="46" t="s">
        <v>13</v>
      </c>
      <c r="C1928" s="49"/>
      <c r="D1928" s="48">
        <v>82.3</v>
      </c>
      <c r="E1928" s="48">
        <v>82.3</v>
      </c>
    </row>
    <row r="1929">
      <c r="A1929" s="46" t="s">
        <v>18</v>
      </c>
      <c r="B1929" s="46" t="s">
        <v>13</v>
      </c>
      <c r="C1929" s="49"/>
      <c r="D1929" s="48">
        <v>86.0</v>
      </c>
      <c r="E1929" s="48">
        <v>86.0</v>
      </c>
    </row>
    <row r="1930">
      <c r="A1930" s="46" t="s">
        <v>18</v>
      </c>
      <c r="B1930" s="46" t="s">
        <v>13</v>
      </c>
      <c r="C1930" s="49"/>
      <c r="D1930" s="48">
        <v>77.1</v>
      </c>
      <c r="E1930" s="48">
        <v>77.1</v>
      </c>
    </row>
    <row r="1931">
      <c r="A1931" s="46" t="s">
        <v>18</v>
      </c>
      <c r="B1931" s="46" t="s">
        <v>15</v>
      </c>
      <c r="C1931" s="48">
        <v>107.2</v>
      </c>
      <c r="D1931" s="49"/>
      <c r="E1931" s="48">
        <v>107.2</v>
      </c>
    </row>
    <row r="1932">
      <c r="A1932" s="46" t="s">
        <v>18</v>
      </c>
      <c r="B1932" s="46" t="s">
        <v>14</v>
      </c>
      <c r="C1932" s="48">
        <v>112.2</v>
      </c>
      <c r="D1932" s="48">
        <v>87.2</v>
      </c>
      <c r="E1932" s="48">
        <v>106.5</v>
      </c>
    </row>
    <row r="1933">
      <c r="A1933" s="46" t="s">
        <v>18</v>
      </c>
      <c r="B1933" s="46" t="s">
        <v>13</v>
      </c>
      <c r="C1933" s="49"/>
      <c r="D1933" s="48">
        <v>77.3</v>
      </c>
      <c r="E1933" s="48">
        <v>77.3</v>
      </c>
    </row>
    <row r="1934">
      <c r="A1934" s="46" t="s">
        <v>18</v>
      </c>
      <c r="B1934" s="46" t="s">
        <v>14</v>
      </c>
      <c r="C1934" s="48">
        <v>103.6</v>
      </c>
      <c r="D1934" s="48">
        <v>80.2</v>
      </c>
      <c r="E1934" s="48">
        <v>96.3</v>
      </c>
    </row>
    <row r="1935">
      <c r="A1935" s="46" t="s">
        <v>18</v>
      </c>
      <c r="B1935" s="46" t="s">
        <v>13</v>
      </c>
      <c r="C1935" s="49"/>
      <c r="D1935" s="48">
        <v>76.3</v>
      </c>
      <c r="E1935" s="48">
        <v>76.3</v>
      </c>
    </row>
    <row r="1936">
      <c r="A1936" s="46" t="s">
        <v>18</v>
      </c>
      <c r="B1936" s="46" t="s">
        <v>14</v>
      </c>
      <c r="C1936" s="48">
        <v>85.5</v>
      </c>
      <c r="D1936" s="48">
        <v>68.2</v>
      </c>
      <c r="E1936" s="48">
        <v>84.3</v>
      </c>
    </row>
    <row r="1937">
      <c r="A1937" s="46" t="s">
        <v>18</v>
      </c>
      <c r="B1937" s="46" t="s">
        <v>15</v>
      </c>
      <c r="C1937" s="48">
        <v>119.6</v>
      </c>
      <c r="D1937" s="49"/>
      <c r="E1937" s="48">
        <v>119.6</v>
      </c>
    </row>
    <row r="1938">
      <c r="A1938" s="46" t="s">
        <v>18</v>
      </c>
      <c r="B1938" s="46" t="s">
        <v>15</v>
      </c>
      <c r="C1938" s="48">
        <v>104.0</v>
      </c>
      <c r="D1938" s="49"/>
      <c r="E1938" s="48">
        <v>104.0</v>
      </c>
    </row>
    <row r="1939">
      <c r="A1939" s="46" t="s">
        <v>18</v>
      </c>
      <c r="B1939" s="46" t="s">
        <v>15</v>
      </c>
      <c r="C1939" s="48">
        <v>100.0</v>
      </c>
      <c r="D1939" s="49"/>
      <c r="E1939" s="48">
        <v>100.0</v>
      </c>
    </row>
    <row r="1940">
      <c r="A1940" s="46" t="s">
        <v>18</v>
      </c>
      <c r="B1940" s="46" t="s">
        <v>13</v>
      </c>
      <c r="C1940" s="49"/>
      <c r="D1940" s="48">
        <v>71.2</v>
      </c>
      <c r="E1940" s="48">
        <v>71.2</v>
      </c>
    </row>
    <row r="1941">
      <c r="A1941" s="46" t="s">
        <v>18</v>
      </c>
      <c r="B1941" s="46" t="s">
        <v>15</v>
      </c>
      <c r="C1941" s="48">
        <v>99.5</v>
      </c>
      <c r="D1941" s="49"/>
      <c r="E1941" s="48">
        <v>99.5</v>
      </c>
    </row>
    <row r="1942">
      <c r="A1942" s="46" t="s">
        <v>18</v>
      </c>
      <c r="B1942" s="46" t="s">
        <v>13</v>
      </c>
      <c r="C1942" s="49"/>
      <c r="D1942" s="48">
        <v>74.3</v>
      </c>
      <c r="E1942" s="48">
        <v>74.3</v>
      </c>
    </row>
    <row r="1943">
      <c r="A1943" s="46" t="s">
        <v>18</v>
      </c>
      <c r="B1943" s="46" t="s">
        <v>13</v>
      </c>
      <c r="C1943" s="49"/>
      <c r="D1943" s="48">
        <v>69.8</v>
      </c>
      <c r="E1943" s="48">
        <v>69.8</v>
      </c>
    </row>
    <row r="1944">
      <c r="A1944" s="46" t="s">
        <v>18</v>
      </c>
      <c r="B1944" s="46" t="s">
        <v>13</v>
      </c>
      <c r="C1944" s="49"/>
      <c r="D1944" s="48">
        <v>77.5</v>
      </c>
      <c r="E1944" s="48">
        <v>77.5</v>
      </c>
    </row>
    <row r="1945">
      <c r="A1945" s="46" t="s">
        <v>18</v>
      </c>
      <c r="B1945" s="46" t="s">
        <v>13</v>
      </c>
      <c r="C1945" s="49"/>
      <c r="D1945" s="48">
        <v>77.4</v>
      </c>
      <c r="E1945" s="48">
        <v>77.4</v>
      </c>
    </row>
    <row r="1946">
      <c r="A1946" s="46" t="s">
        <v>18</v>
      </c>
      <c r="B1946" s="46" t="s">
        <v>13</v>
      </c>
      <c r="C1946" s="49"/>
      <c r="D1946" s="48">
        <v>70.4</v>
      </c>
      <c r="E1946" s="48">
        <v>70.4</v>
      </c>
    </row>
    <row r="1947">
      <c r="A1947" s="46" t="s">
        <v>18</v>
      </c>
      <c r="B1947" s="46" t="s">
        <v>13</v>
      </c>
      <c r="C1947" s="49"/>
      <c r="D1947" s="48">
        <v>66.1</v>
      </c>
      <c r="E1947" s="48">
        <v>66.1</v>
      </c>
    </row>
    <row r="1948">
      <c r="A1948" s="46" t="s">
        <v>18</v>
      </c>
      <c r="B1948" s="46" t="s">
        <v>14</v>
      </c>
      <c r="C1948" s="48">
        <v>105.4</v>
      </c>
      <c r="D1948" s="48">
        <v>95.9</v>
      </c>
      <c r="E1948" s="48">
        <v>105.3</v>
      </c>
    </row>
    <row r="1949">
      <c r="A1949" s="46" t="s">
        <v>18</v>
      </c>
      <c r="B1949" s="46" t="s">
        <v>13</v>
      </c>
      <c r="C1949" s="49"/>
      <c r="D1949" s="48">
        <v>83.2</v>
      </c>
      <c r="E1949" s="48">
        <v>83.2</v>
      </c>
    </row>
    <row r="1950">
      <c r="A1950" s="46" t="s">
        <v>18</v>
      </c>
      <c r="B1950" s="46" t="s">
        <v>13</v>
      </c>
      <c r="C1950" s="49"/>
      <c r="D1950" s="48">
        <v>68.5</v>
      </c>
      <c r="E1950" s="48">
        <v>68.5</v>
      </c>
    </row>
    <row r="1951">
      <c r="A1951" s="46" t="s">
        <v>18</v>
      </c>
      <c r="B1951" s="46" t="s">
        <v>14</v>
      </c>
      <c r="C1951" s="48">
        <v>105.9</v>
      </c>
      <c r="D1951" s="48">
        <v>78.2</v>
      </c>
      <c r="E1951" s="48">
        <v>98.8</v>
      </c>
    </row>
    <row r="1952">
      <c r="A1952" s="46" t="s">
        <v>18</v>
      </c>
      <c r="B1952" s="46" t="s">
        <v>13</v>
      </c>
      <c r="C1952" s="49"/>
      <c r="D1952" s="48">
        <v>92.3</v>
      </c>
      <c r="E1952" s="48">
        <v>92.3</v>
      </c>
    </row>
    <row r="1953">
      <c r="A1953" s="46" t="s">
        <v>18</v>
      </c>
      <c r="B1953" s="46" t="s">
        <v>15</v>
      </c>
      <c r="C1953" s="48">
        <v>107.9</v>
      </c>
      <c r="D1953" s="49"/>
      <c r="E1953" s="48">
        <v>107.9</v>
      </c>
    </row>
    <row r="1954">
      <c r="A1954" s="46" t="s">
        <v>18</v>
      </c>
      <c r="B1954" s="46" t="s">
        <v>13</v>
      </c>
      <c r="C1954" s="49"/>
      <c r="D1954" s="48">
        <v>70.0</v>
      </c>
      <c r="E1954" s="48">
        <v>70.0</v>
      </c>
    </row>
    <row r="1955">
      <c r="A1955" s="46" t="s">
        <v>18</v>
      </c>
      <c r="B1955" s="46" t="s">
        <v>14</v>
      </c>
      <c r="C1955" s="48">
        <v>110.5</v>
      </c>
      <c r="D1955" s="48">
        <v>84.0</v>
      </c>
      <c r="E1955" s="48">
        <v>101.9</v>
      </c>
    </row>
    <row r="1956">
      <c r="A1956" s="46" t="s">
        <v>18</v>
      </c>
      <c r="B1956" s="46" t="s">
        <v>15</v>
      </c>
      <c r="C1956" s="48">
        <v>122.4</v>
      </c>
      <c r="D1956" s="49"/>
      <c r="E1956" s="48">
        <v>122.4</v>
      </c>
    </row>
    <row r="1957">
      <c r="A1957" s="46" t="s">
        <v>18</v>
      </c>
      <c r="B1957" s="46" t="s">
        <v>14</v>
      </c>
      <c r="C1957" s="48">
        <v>117.3</v>
      </c>
      <c r="D1957" s="48">
        <v>91.4</v>
      </c>
      <c r="E1957" s="48">
        <v>108.4</v>
      </c>
    </row>
    <row r="1958">
      <c r="A1958" s="46" t="s">
        <v>18</v>
      </c>
      <c r="B1958" s="46" t="s">
        <v>13</v>
      </c>
      <c r="C1958" s="49"/>
      <c r="D1958" s="48">
        <v>90.9</v>
      </c>
      <c r="E1958" s="48">
        <v>90.9</v>
      </c>
    </row>
    <row r="1959">
      <c r="A1959" s="46" t="s">
        <v>18</v>
      </c>
      <c r="B1959" s="46" t="s">
        <v>13</v>
      </c>
      <c r="C1959" s="49"/>
      <c r="D1959" s="48">
        <v>80.1</v>
      </c>
      <c r="E1959" s="48">
        <v>80.1</v>
      </c>
    </row>
    <row r="1960">
      <c r="A1960" s="46" t="s">
        <v>18</v>
      </c>
      <c r="B1960" s="46" t="s">
        <v>14</v>
      </c>
      <c r="C1960" s="48">
        <v>92.6</v>
      </c>
      <c r="D1960" s="48">
        <v>86.7</v>
      </c>
      <c r="E1960" s="48">
        <v>86.8</v>
      </c>
    </row>
    <row r="1961">
      <c r="A1961" s="46" t="s">
        <v>18</v>
      </c>
      <c r="B1961" s="46" t="s">
        <v>14</v>
      </c>
      <c r="C1961" s="48">
        <v>129.2</v>
      </c>
      <c r="D1961" s="48">
        <v>101.1</v>
      </c>
      <c r="E1961" s="48">
        <v>120.9</v>
      </c>
    </row>
    <row r="1962">
      <c r="A1962" s="46" t="s">
        <v>18</v>
      </c>
      <c r="B1962" s="46" t="s">
        <v>13</v>
      </c>
      <c r="C1962" s="49"/>
      <c r="D1962" s="48">
        <v>98.9</v>
      </c>
      <c r="E1962" s="48">
        <v>98.9</v>
      </c>
    </row>
    <row r="1963">
      <c r="A1963" s="46" t="s">
        <v>18</v>
      </c>
      <c r="B1963" s="46" t="s">
        <v>15</v>
      </c>
      <c r="C1963" s="48">
        <v>126.4</v>
      </c>
      <c r="D1963" s="49"/>
      <c r="E1963" s="48">
        <v>126.4</v>
      </c>
    </row>
    <row r="1964">
      <c r="A1964" s="46" t="s">
        <v>18</v>
      </c>
      <c r="B1964" s="46" t="s">
        <v>13</v>
      </c>
      <c r="C1964" s="49"/>
      <c r="D1964" s="48">
        <v>101.5</v>
      </c>
      <c r="E1964" s="48">
        <v>101.5</v>
      </c>
    </row>
    <row r="1965">
      <c r="A1965" s="46" t="s">
        <v>18</v>
      </c>
      <c r="B1965" s="46" t="s">
        <v>15</v>
      </c>
      <c r="C1965" s="48">
        <v>125.4</v>
      </c>
      <c r="D1965" s="49"/>
      <c r="E1965" s="48">
        <v>125.4</v>
      </c>
    </row>
    <row r="1966">
      <c r="A1966" s="46" t="s">
        <v>18</v>
      </c>
      <c r="B1966" s="46" t="s">
        <v>13</v>
      </c>
      <c r="C1966" s="49"/>
      <c r="D1966" s="48">
        <v>97.2</v>
      </c>
      <c r="E1966" s="48">
        <v>97.2</v>
      </c>
    </row>
    <row r="1967">
      <c r="A1967" s="46" t="s">
        <v>18</v>
      </c>
      <c r="B1967" s="46" t="s">
        <v>13</v>
      </c>
      <c r="C1967" s="49"/>
      <c r="D1967" s="48">
        <v>86.1</v>
      </c>
      <c r="E1967" s="48">
        <v>86.1</v>
      </c>
    </row>
    <row r="1968">
      <c r="A1968" s="46" t="s">
        <v>18</v>
      </c>
      <c r="B1968" s="46" t="s">
        <v>15</v>
      </c>
      <c r="C1968" s="48">
        <v>116.9</v>
      </c>
      <c r="D1968" s="49"/>
      <c r="E1968" s="48">
        <v>116.9</v>
      </c>
    </row>
    <row r="1969">
      <c r="A1969" s="46" t="s">
        <v>18</v>
      </c>
      <c r="B1969" s="46" t="s">
        <v>13</v>
      </c>
      <c r="C1969" s="49"/>
      <c r="D1969" s="48">
        <v>86.6</v>
      </c>
      <c r="E1969" s="48">
        <v>86.6</v>
      </c>
    </row>
    <row r="1970">
      <c r="A1970" s="46" t="s">
        <v>18</v>
      </c>
      <c r="B1970" s="46" t="s">
        <v>14</v>
      </c>
      <c r="C1970" s="48">
        <v>112.3</v>
      </c>
      <c r="D1970" s="48">
        <v>85.0</v>
      </c>
      <c r="E1970" s="48">
        <v>100.9</v>
      </c>
    </row>
    <row r="1971">
      <c r="A1971" s="46" t="s">
        <v>18</v>
      </c>
      <c r="B1971" s="46" t="s">
        <v>13</v>
      </c>
      <c r="C1971" s="49"/>
      <c r="D1971" s="48">
        <v>78.9</v>
      </c>
      <c r="E1971" s="48">
        <v>78.9</v>
      </c>
    </row>
    <row r="1972">
      <c r="A1972" s="46" t="s">
        <v>18</v>
      </c>
      <c r="B1972" s="46" t="s">
        <v>14</v>
      </c>
      <c r="C1972" s="48">
        <v>108.6</v>
      </c>
      <c r="D1972" s="48">
        <v>91.0</v>
      </c>
      <c r="E1972" s="48">
        <v>105.4</v>
      </c>
    </row>
    <row r="1973">
      <c r="A1973" s="46" t="s">
        <v>18</v>
      </c>
      <c r="B1973" s="46" t="s">
        <v>13</v>
      </c>
      <c r="C1973" s="49"/>
      <c r="D1973" s="48">
        <v>76.9</v>
      </c>
      <c r="E1973" s="48">
        <v>76.9</v>
      </c>
    </row>
    <row r="1974">
      <c r="A1974" s="46" t="s">
        <v>18</v>
      </c>
      <c r="B1974" s="46" t="s">
        <v>14</v>
      </c>
      <c r="C1974" s="48">
        <v>117.9</v>
      </c>
      <c r="D1974" s="48">
        <v>84.8</v>
      </c>
      <c r="E1974" s="48">
        <v>105.8</v>
      </c>
    </row>
    <row r="1975">
      <c r="A1975" s="46" t="s">
        <v>18</v>
      </c>
      <c r="B1975" s="46" t="s">
        <v>14</v>
      </c>
      <c r="C1975" s="48">
        <v>120.7</v>
      </c>
      <c r="D1975" s="48">
        <v>100.2</v>
      </c>
      <c r="E1975" s="48">
        <v>118.1</v>
      </c>
    </row>
    <row r="1976">
      <c r="A1976" s="46" t="s">
        <v>18</v>
      </c>
      <c r="B1976" s="46" t="s">
        <v>14</v>
      </c>
      <c r="C1976" s="48">
        <v>118.0</v>
      </c>
      <c r="D1976" s="48">
        <v>90.1</v>
      </c>
      <c r="E1976" s="48">
        <v>109.6</v>
      </c>
    </row>
    <row r="1977">
      <c r="A1977" s="46" t="s">
        <v>18</v>
      </c>
      <c r="B1977" s="46" t="s">
        <v>14</v>
      </c>
      <c r="C1977" s="48">
        <v>108.1</v>
      </c>
      <c r="D1977" s="48">
        <v>82.2</v>
      </c>
      <c r="E1977" s="48">
        <v>99.1</v>
      </c>
    </row>
    <row r="1978">
      <c r="A1978" s="46" t="s">
        <v>18</v>
      </c>
      <c r="B1978" s="46" t="s">
        <v>15</v>
      </c>
      <c r="C1978" s="48">
        <v>103.4</v>
      </c>
      <c r="D1978" s="49"/>
      <c r="E1978" s="48">
        <v>103.4</v>
      </c>
    </row>
    <row r="1979">
      <c r="A1979" s="46" t="s">
        <v>18</v>
      </c>
      <c r="B1979" s="46" t="s">
        <v>13</v>
      </c>
      <c r="C1979" s="49"/>
      <c r="D1979" s="48">
        <v>72.5</v>
      </c>
      <c r="E1979" s="48">
        <v>72.5</v>
      </c>
    </row>
    <row r="1980">
      <c r="A1980" s="46" t="s">
        <v>18</v>
      </c>
      <c r="B1980" s="46" t="s">
        <v>14</v>
      </c>
      <c r="C1980" s="48">
        <v>111.2</v>
      </c>
      <c r="D1980" s="48">
        <v>83.0</v>
      </c>
      <c r="E1980" s="48">
        <v>105.0</v>
      </c>
    </row>
    <row r="1981">
      <c r="A1981" s="46" t="s">
        <v>18</v>
      </c>
      <c r="B1981" s="46" t="s">
        <v>13</v>
      </c>
      <c r="C1981" s="49"/>
      <c r="D1981" s="48">
        <v>82.4</v>
      </c>
      <c r="E1981" s="48">
        <v>82.4</v>
      </c>
    </row>
    <row r="1982">
      <c r="A1982" s="46" t="s">
        <v>18</v>
      </c>
      <c r="B1982" s="46" t="s">
        <v>13</v>
      </c>
      <c r="C1982" s="49"/>
      <c r="D1982" s="48">
        <v>81.0</v>
      </c>
      <c r="E1982" s="48">
        <v>81.0</v>
      </c>
    </row>
    <row r="1983">
      <c r="A1983" s="46" t="s">
        <v>18</v>
      </c>
      <c r="B1983" s="46" t="s">
        <v>15</v>
      </c>
      <c r="C1983" s="48">
        <v>129.1</v>
      </c>
      <c r="D1983" s="49"/>
      <c r="E1983" s="48">
        <v>129.1</v>
      </c>
    </row>
    <row r="1984">
      <c r="A1984" s="46" t="s">
        <v>18</v>
      </c>
      <c r="B1984" s="46" t="s">
        <v>15</v>
      </c>
      <c r="C1984" s="48">
        <v>131.8</v>
      </c>
      <c r="D1984" s="49"/>
      <c r="E1984" s="48">
        <v>131.8</v>
      </c>
    </row>
    <row r="1985">
      <c r="A1985" s="46" t="s">
        <v>18</v>
      </c>
      <c r="B1985" s="46" t="s">
        <v>15</v>
      </c>
      <c r="C1985" s="48">
        <v>105.6</v>
      </c>
      <c r="D1985" s="49"/>
      <c r="E1985" s="48">
        <v>105.6</v>
      </c>
    </row>
    <row r="1986">
      <c r="A1986" s="46" t="s">
        <v>18</v>
      </c>
      <c r="B1986" s="46" t="s">
        <v>15</v>
      </c>
      <c r="C1986" s="48">
        <v>90.2</v>
      </c>
      <c r="D1986" s="49"/>
      <c r="E1986" s="48">
        <v>90.2</v>
      </c>
    </row>
    <row r="1987">
      <c r="A1987" s="46" t="s">
        <v>18</v>
      </c>
      <c r="B1987" s="46" t="s">
        <v>14</v>
      </c>
      <c r="C1987" s="48">
        <v>105.2</v>
      </c>
      <c r="D1987" s="48">
        <v>85.3</v>
      </c>
      <c r="E1987" s="48">
        <v>87.3</v>
      </c>
    </row>
    <row r="1988">
      <c r="A1988" s="46" t="s">
        <v>18</v>
      </c>
      <c r="B1988" s="46" t="s">
        <v>14</v>
      </c>
      <c r="C1988" s="48">
        <v>116.8</v>
      </c>
      <c r="D1988" s="48">
        <v>85.1</v>
      </c>
      <c r="E1988" s="48">
        <v>109.4</v>
      </c>
    </row>
    <row r="1989">
      <c r="A1989" s="46" t="s">
        <v>18</v>
      </c>
      <c r="B1989" s="46" t="s">
        <v>13</v>
      </c>
      <c r="C1989" s="49"/>
      <c r="D1989" s="48">
        <v>75.8</v>
      </c>
      <c r="E1989" s="48">
        <v>75.8</v>
      </c>
    </row>
    <row r="1990">
      <c r="A1990" s="46" t="s">
        <v>18</v>
      </c>
      <c r="B1990" s="46" t="s">
        <v>14</v>
      </c>
      <c r="C1990" s="48">
        <v>102.5</v>
      </c>
      <c r="D1990" s="48">
        <v>88.4</v>
      </c>
      <c r="E1990" s="48">
        <v>99.9</v>
      </c>
    </row>
    <row r="1991">
      <c r="A1991" s="46" t="s">
        <v>18</v>
      </c>
      <c r="B1991" s="46" t="s">
        <v>14</v>
      </c>
      <c r="C1991" s="48">
        <v>90.6</v>
      </c>
      <c r="D1991" s="48">
        <v>81.2</v>
      </c>
      <c r="E1991" s="48">
        <v>89.0</v>
      </c>
    </row>
    <row r="1992">
      <c r="A1992" s="46" t="s">
        <v>18</v>
      </c>
      <c r="B1992" s="46" t="s">
        <v>13</v>
      </c>
      <c r="C1992" s="49"/>
      <c r="D1992" s="48">
        <v>80.5</v>
      </c>
      <c r="E1992" s="48">
        <v>80.5</v>
      </c>
    </row>
    <row r="1993">
      <c r="A1993" s="46" t="s">
        <v>18</v>
      </c>
      <c r="B1993" s="46" t="s">
        <v>13</v>
      </c>
      <c r="C1993" s="49"/>
      <c r="D1993" s="48">
        <v>93.9</v>
      </c>
      <c r="E1993" s="48">
        <v>93.9</v>
      </c>
    </row>
    <row r="1994">
      <c r="A1994" s="46" t="s">
        <v>18</v>
      </c>
      <c r="B1994" s="46" t="s">
        <v>13</v>
      </c>
      <c r="C1994" s="49"/>
      <c r="D1994" s="48">
        <v>78.4</v>
      </c>
      <c r="E1994" s="48">
        <v>78.4</v>
      </c>
    </row>
    <row r="1995">
      <c r="A1995" s="46" t="s">
        <v>18</v>
      </c>
      <c r="B1995" s="46" t="s">
        <v>14</v>
      </c>
      <c r="C1995" s="48">
        <v>106.7</v>
      </c>
      <c r="D1995" s="48">
        <v>82.7</v>
      </c>
      <c r="E1995" s="48">
        <v>101.7</v>
      </c>
    </row>
    <row r="1996">
      <c r="A1996" s="46" t="s">
        <v>18</v>
      </c>
      <c r="B1996" s="46" t="s">
        <v>15</v>
      </c>
      <c r="C1996" s="48">
        <v>134.6</v>
      </c>
      <c r="D1996" s="49"/>
      <c r="E1996" s="48">
        <v>134.6</v>
      </c>
    </row>
    <row r="1997">
      <c r="A1997" s="46" t="s">
        <v>18</v>
      </c>
      <c r="B1997" s="46" t="s">
        <v>15</v>
      </c>
      <c r="C1997" s="48">
        <v>113.2</v>
      </c>
      <c r="D1997" s="49"/>
      <c r="E1997" s="48">
        <v>113.2</v>
      </c>
    </row>
    <row r="1998">
      <c r="A1998" s="46" t="s">
        <v>18</v>
      </c>
      <c r="B1998" s="46" t="s">
        <v>13</v>
      </c>
      <c r="C1998" s="49"/>
      <c r="D1998" s="48">
        <v>90.9</v>
      </c>
      <c r="E1998" s="48">
        <v>90.9</v>
      </c>
    </row>
    <row r="1999">
      <c r="A1999" s="46" t="s">
        <v>18</v>
      </c>
      <c r="B1999" s="46" t="s">
        <v>14</v>
      </c>
      <c r="C1999" s="48">
        <v>112.0</v>
      </c>
      <c r="D1999" s="48">
        <v>87.7</v>
      </c>
      <c r="E1999" s="48">
        <v>106.9</v>
      </c>
    </row>
    <row r="2000">
      <c r="A2000" s="46" t="s">
        <v>18</v>
      </c>
      <c r="B2000" s="46" t="s">
        <v>14</v>
      </c>
      <c r="C2000" s="48">
        <v>106.6</v>
      </c>
      <c r="D2000" s="48">
        <v>82.1</v>
      </c>
      <c r="E2000" s="48">
        <v>96.6</v>
      </c>
    </row>
    <row r="2001">
      <c r="A2001" s="46" t="s">
        <v>18</v>
      </c>
      <c r="B2001" s="46" t="s">
        <v>13</v>
      </c>
      <c r="C2001" s="49"/>
      <c r="D2001" s="48">
        <v>86.6</v>
      </c>
      <c r="E2001" s="48">
        <v>86.6</v>
      </c>
    </row>
    <row r="2002">
      <c r="A2002" s="46" t="s">
        <v>18</v>
      </c>
      <c r="B2002" s="46" t="s">
        <v>13</v>
      </c>
      <c r="C2002" s="49"/>
      <c r="D2002" s="48">
        <v>82.8</v>
      </c>
      <c r="E2002" s="48">
        <v>82.8</v>
      </c>
    </row>
    <row r="2003">
      <c r="A2003" s="46" t="s">
        <v>18</v>
      </c>
      <c r="B2003" s="46" t="s">
        <v>13</v>
      </c>
      <c r="C2003" s="49"/>
      <c r="D2003" s="48">
        <v>81.3</v>
      </c>
      <c r="E2003" s="48">
        <v>81.3</v>
      </c>
    </row>
    <row r="2004">
      <c r="A2004" s="46" t="s">
        <v>18</v>
      </c>
      <c r="B2004" s="46" t="s">
        <v>14</v>
      </c>
      <c r="C2004" s="48">
        <v>111.7</v>
      </c>
      <c r="D2004" s="48">
        <v>85.3</v>
      </c>
      <c r="E2004" s="48">
        <v>104.3</v>
      </c>
    </row>
    <row r="2005">
      <c r="A2005" s="46" t="s">
        <v>18</v>
      </c>
      <c r="B2005" s="46" t="s">
        <v>14</v>
      </c>
      <c r="C2005" s="48">
        <v>103.8</v>
      </c>
      <c r="D2005" s="48">
        <v>82.8</v>
      </c>
      <c r="E2005" s="48">
        <v>93.8</v>
      </c>
    </row>
    <row r="2006">
      <c r="A2006" s="46" t="s">
        <v>18</v>
      </c>
      <c r="B2006" s="46" t="s">
        <v>15</v>
      </c>
      <c r="C2006" s="48">
        <v>129.0</v>
      </c>
      <c r="D2006" s="49"/>
      <c r="E2006" s="48">
        <v>129.0</v>
      </c>
    </row>
    <row r="2007">
      <c r="A2007" s="46" t="s">
        <v>18</v>
      </c>
      <c r="B2007" s="46" t="s">
        <v>14</v>
      </c>
      <c r="C2007" s="48">
        <v>106.2</v>
      </c>
      <c r="D2007" s="48">
        <v>87.5</v>
      </c>
      <c r="E2007" s="48">
        <v>100.5</v>
      </c>
    </row>
    <row r="2008">
      <c r="A2008" s="46" t="s">
        <v>18</v>
      </c>
      <c r="B2008" s="46" t="s">
        <v>15</v>
      </c>
      <c r="C2008" s="48">
        <v>112.3</v>
      </c>
      <c r="D2008" s="49"/>
      <c r="E2008" s="48">
        <v>112.3</v>
      </c>
    </row>
    <row r="2009">
      <c r="A2009" s="46" t="s">
        <v>18</v>
      </c>
      <c r="B2009" s="46" t="s">
        <v>14</v>
      </c>
      <c r="C2009" s="48">
        <v>122.1</v>
      </c>
      <c r="D2009" s="48">
        <v>87.1</v>
      </c>
      <c r="E2009" s="48">
        <v>117.0</v>
      </c>
    </row>
    <row r="2010">
      <c r="A2010" s="46" t="s">
        <v>18</v>
      </c>
      <c r="B2010" s="46" t="s">
        <v>13</v>
      </c>
      <c r="C2010" s="49"/>
      <c r="D2010" s="48">
        <v>87.4</v>
      </c>
      <c r="E2010" s="48">
        <v>87.4</v>
      </c>
    </row>
    <row r="2011">
      <c r="A2011" s="46" t="s">
        <v>18</v>
      </c>
      <c r="B2011" s="46" t="s">
        <v>14</v>
      </c>
      <c r="C2011" s="48">
        <v>119.9</v>
      </c>
      <c r="D2011" s="48">
        <v>92.3</v>
      </c>
      <c r="E2011" s="48">
        <v>113.0</v>
      </c>
    </row>
    <row r="2012">
      <c r="A2012" s="46" t="s">
        <v>18</v>
      </c>
      <c r="B2012" s="46" t="s">
        <v>13</v>
      </c>
      <c r="C2012" s="49"/>
      <c r="D2012" s="48">
        <v>92.1</v>
      </c>
      <c r="E2012" s="48">
        <v>92.1</v>
      </c>
    </row>
    <row r="2013">
      <c r="A2013" s="46" t="s">
        <v>18</v>
      </c>
      <c r="B2013" s="46" t="s">
        <v>15</v>
      </c>
      <c r="C2013" s="48">
        <v>123.8</v>
      </c>
      <c r="D2013" s="49"/>
      <c r="E2013" s="48">
        <v>123.8</v>
      </c>
    </row>
    <row r="2014">
      <c r="A2014" s="46" t="s">
        <v>18</v>
      </c>
      <c r="B2014" s="46" t="s">
        <v>14</v>
      </c>
      <c r="C2014" s="48">
        <v>102.6</v>
      </c>
      <c r="D2014" s="48">
        <v>81.3</v>
      </c>
      <c r="E2014" s="48">
        <v>98.3</v>
      </c>
    </row>
    <row r="2015">
      <c r="A2015" s="46" t="s">
        <v>18</v>
      </c>
      <c r="B2015" s="46" t="s">
        <v>13</v>
      </c>
      <c r="C2015" s="49"/>
      <c r="D2015" s="48">
        <v>97.3</v>
      </c>
      <c r="E2015" s="48">
        <v>97.3</v>
      </c>
    </row>
    <row r="2016">
      <c r="A2016" s="46" t="s">
        <v>18</v>
      </c>
      <c r="B2016" s="46" t="s">
        <v>13</v>
      </c>
      <c r="C2016" s="49"/>
      <c r="D2016" s="48">
        <v>95.2</v>
      </c>
      <c r="E2016" s="48">
        <v>95.2</v>
      </c>
    </row>
    <row r="2017">
      <c r="A2017" s="46" t="s">
        <v>18</v>
      </c>
      <c r="B2017" s="46" t="s">
        <v>13</v>
      </c>
      <c r="C2017" s="49"/>
      <c r="D2017" s="48">
        <v>87.0</v>
      </c>
      <c r="E2017" s="48">
        <v>87.0</v>
      </c>
    </row>
    <row r="2018">
      <c r="A2018" s="46" t="s">
        <v>18</v>
      </c>
      <c r="B2018" s="46" t="s">
        <v>14</v>
      </c>
      <c r="C2018" s="48">
        <v>108.2</v>
      </c>
      <c r="D2018" s="48">
        <v>76.7</v>
      </c>
      <c r="E2018" s="48">
        <v>102.7</v>
      </c>
    </row>
    <row r="2019">
      <c r="A2019" s="46" t="s">
        <v>18</v>
      </c>
      <c r="B2019" s="46" t="s">
        <v>15</v>
      </c>
      <c r="C2019" s="48">
        <v>120.3</v>
      </c>
      <c r="D2019" s="49"/>
      <c r="E2019" s="48">
        <v>120.3</v>
      </c>
    </row>
    <row r="2020">
      <c r="A2020" s="46" t="s">
        <v>18</v>
      </c>
      <c r="B2020" s="46" t="s">
        <v>15</v>
      </c>
      <c r="C2020" s="48">
        <v>125.6</v>
      </c>
      <c r="D2020" s="49"/>
      <c r="E2020" s="48">
        <v>125.6</v>
      </c>
    </row>
    <row r="2021">
      <c r="A2021" s="46" t="s">
        <v>18</v>
      </c>
      <c r="B2021" s="46" t="s">
        <v>14</v>
      </c>
      <c r="C2021" s="48">
        <v>115.8</v>
      </c>
      <c r="D2021" s="48">
        <v>83.3</v>
      </c>
      <c r="E2021" s="48">
        <v>103.0</v>
      </c>
    </row>
    <row r="2022">
      <c r="A2022" s="46" t="s">
        <v>18</v>
      </c>
      <c r="B2022" s="46" t="s">
        <v>15</v>
      </c>
      <c r="C2022" s="48">
        <v>132.7</v>
      </c>
      <c r="D2022" s="49"/>
      <c r="E2022" s="48">
        <v>132.7</v>
      </c>
    </row>
    <row r="2023">
      <c r="A2023" s="46" t="s">
        <v>18</v>
      </c>
      <c r="B2023" s="46" t="s">
        <v>15</v>
      </c>
      <c r="C2023" s="48">
        <v>145.9</v>
      </c>
      <c r="D2023" s="49"/>
      <c r="E2023" s="48">
        <v>145.9</v>
      </c>
    </row>
    <row r="2024">
      <c r="A2024" s="46" t="s">
        <v>18</v>
      </c>
      <c r="B2024" s="46" t="s">
        <v>14</v>
      </c>
      <c r="C2024" s="48">
        <v>101.2</v>
      </c>
      <c r="D2024" s="48">
        <v>82.3</v>
      </c>
      <c r="E2024" s="48">
        <v>91.3</v>
      </c>
    </row>
    <row r="2025">
      <c r="A2025" s="46" t="s">
        <v>18</v>
      </c>
      <c r="B2025" s="46" t="s">
        <v>15</v>
      </c>
      <c r="C2025" s="48">
        <v>105.6</v>
      </c>
      <c r="D2025" s="49"/>
      <c r="E2025" s="48">
        <v>105.6</v>
      </c>
    </row>
    <row r="2026">
      <c r="A2026" s="46" t="s">
        <v>18</v>
      </c>
      <c r="B2026" s="46" t="s">
        <v>14</v>
      </c>
      <c r="C2026" s="48">
        <v>141.3</v>
      </c>
      <c r="D2026" s="48">
        <v>134.9</v>
      </c>
      <c r="E2026" s="48">
        <v>138.5</v>
      </c>
    </row>
    <row r="2027">
      <c r="A2027" s="46" t="s">
        <v>18</v>
      </c>
      <c r="B2027" s="46" t="s">
        <v>15</v>
      </c>
      <c r="C2027" s="48">
        <v>120.2</v>
      </c>
      <c r="D2027" s="49"/>
      <c r="E2027" s="48">
        <v>120.2</v>
      </c>
    </row>
    <row r="2028">
      <c r="A2028" s="46" t="s">
        <v>18</v>
      </c>
      <c r="B2028" s="46" t="s">
        <v>15</v>
      </c>
      <c r="C2028" s="48">
        <v>118.8</v>
      </c>
      <c r="D2028" s="49"/>
      <c r="E2028" s="48">
        <v>118.8</v>
      </c>
    </row>
    <row r="2029">
      <c r="A2029" s="46" t="s">
        <v>18</v>
      </c>
      <c r="B2029" s="46" t="s">
        <v>15</v>
      </c>
      <c r="C2029" s="48">
        <v>90.4</v>
      </c>
      <c r="D2029" s="49"/>
      <c r="E2029" s="48">
        <v>90.4</v>
      </c>
    </row>
    <row r="2030">
      <c r="A2030" s="46" t="s">
        <v>18</v>
      </c>
      <c r="B2030" s="46" t="s">
        <v>15</v>
      </c>
      <c r="C2030" s="48">
        <v>129.8</v>
      </c>
      <c r="D2030" s="49"/>
      <c r="E2030" s="48">
        <v>129.8</v>
      </c>
    </row>
    <row r="2031">
      <c r="A2031" s="46" t="s">
        <v>18</v>
      </c>
      <c r="B2031" s="46" t="s">
        <v>14</v>
      </c>
      <c r="C2031" s="48">
        <v>101.3</v>
      </c>
      <c r="D2031" s="48">
        <v>81.5</v>
      </c>
      <c r="E2031" s="48">
        <v>93.6</v>
      </c>
    </row>
    <row r="2032">
      <c r="A2032" s="46" t="s">
        <v>18</v>
      </c>
      <c r="B2032" s="46" t="s">
        <v>15</v>
      </c>
      <c r="C2032" s="48">
        <v>95.5</v>
      </c>
      <c r="D2032" s="49"/>
      <c r="E2032" s="48">
        <v>95.5</v>
      </c>
    </row>
    <row r="2033">
      <c r="A2033" s="46" t="s">
        <v>18</v>
      </c>
      <c r="B2033" s="46" t="s">
        <v>15</v>
      </c>
      <c r="C2033" s="48">
        <v>98.4</v>
      </c>
      <c r="D2033" s="49"/>
      <c r="E2033" s="48">
        <v>98.4</v>
      </c>
    </row>
    <row r="2034">
      <c r="A2034" s="46" t="s">
        <v>18</v>
      </c>
      <c r="B2034" s="46" t="s">
        <v>15</v>
      </c>
      <c r="C2034" s="48">
        <v>129.8</v>
      </c>
      <c r="D2034" s="49"/>
      <c r="E2034" s="48">
        <v>129.8</v>
      </c>
    </row>
    <row r="2035">
      <c r="A2035" s="46" t="s">
        <v>18</v>
      </c>
      <c r="B2035" s="46" t="s">
        <v>15</v>
      </c>
      <c r="C2035" s="48">
        <v>129.9</v>
      </c>
      <c r="D2035" s="49"/>
      <c r="E2035" s="48">
        <v>129.9</v>
      </c>
    </row>
    <row r="2036">
      <c r="A2036" s="46" t="s">
        <v>18</v>
      </c>
      <c r="B2036" s="46" t="s">
        <v>13</v>
      </c>
      <c r="C2036" s="49"/>
      <c r="D2036" s="48">
        <v>81.2</v>
      </c>
      <c r="E2036" s="48">
        <v>81.2</v>
      </c>
    </row>
    <row r="2037">
      <c r="A2037" s="46" t="s">
        <v>18</v>
      </c>
      <c r="B2037" s="46" t="s">
        <v>13</v>
      </c>
      <c r="C2037" s="49"/>
      <c r="D2037" s="48">
        <v>80.0</v>
      </c>
      <c r="E2037" s="48">
        <v>80.0</v>
      </c>
    </row>
    <row r="2038">
      <c r="A2038" s="46" t="s">
        <v>18</v>
      </c>
      <c r="B2038" s="46" t="s">
        <v>14</v>
      </c>
      <c r="C2038" s="48">
        <v>93.1</v>
      </c>
      <c r="D2038" s="48">
        <v>83.9</v>
      </c>
      <c r="E2038" s="48">
        <v>89.3</v>
      </c>
    </row>
    <row r="2039">
      <c r="A2039" s="46" t="s">
        <v>18</v>
      </c>
      <c r="B2039" s="46" t="s">
        <v>15</v>
      </c>
      <c r="C2039" s="48">
        <v>146.0</v>
      </c>
      <c r="D2039" s="49"/>
      <c r="E2039" s="48">
        <v>146.0</v>
      </c>
    </row>
    <row r="2040">
      <c r="A2040" s="46" t="s">
        <v>18</v>
      </c>
      <c r="B2040" s="46" t="s">
        <v>13</v>
      </c>
      <c r="C2040" s="49"/>
      <c r="D2040" s="48">
        <v>84.7</v>
      </c>
      <c r="E2040" s="48">
        <v>84.7</v>
      </c>
    </row>
    <row r="2041">
      <c r="A2041" s="46" t="s">
        <v>18</v>
      </c>
      <c r="B2041" s="46" t="s">
        <v>13</v>
      </c>
      <c r="C2041" s="49"/>
      <c r="D2041" s="48">
        <v>83.2</v>
      </c>
      <c r="E2041" s="48">
        <v>83.2</v>
      </c>
    </row>
    <row r="2042">
      <c r="A2042" s="46" t="s">
        <v>18</v>
      </c>
      <c r="B2042" s="46" t="s">
        <v>15</v>
      </c>
      <c r="C2042" s="48">
        <v>117.7</v>
      </c>
      <c r="D2042" s="49"/>
      <c r="E2042" s="48">
        <v>117.7</v>
      </c>
    </row>
    <row r="2043">
      <c r="A2043" s="46" t="s">
        <v>18</v>
      </c>
      <c r="B2043" s="46" t="s">
        <v>14</v>
      </c>
      <c r="C2043" s="48">
        <v>86.3</v>
      </c>
      <c r="D2043" s="48">
        <v>79.5</v>
      </c>
      <c r="E2043" s="48">
        <v>82.0</v>
      </c>
    </row>
    <row r="2044">
      <c r="A2044" s="46" t="s">
        <v>18</v>
      </c>
      <c r="B2044" s="46" t="s">
        <v>15</v>
      </c>
      <c r="C2044" s="48">
        <v>119.2</v>
      </c>
      <c r="D2044" s="49"/>
      <c r="E2044" s="48">
        <v>119.2</v>
      </c>
    </row>
    <row r="2045">
      <c r="A2045" s="46" t="s">
        <v>18</v>
      </c>
      <c r="B2045" s="46" t="s">
        <v>15</v>
      </c>
      <c r="C2045" s="48">
        <v>106.5</v>
      </c>
      <c r="D2045" s="49"/>
      <c r="E2045" s="48">
        <v>106.5</v>
      </c>
    </row>
    <row r="2046">
      <c r="A2046" s="46" t="s">
        <v>18</v>
      </c>
      <c r="B2046" s="46" t="s">
        <v>15</v>
      </c>
      <c r="C2046" s="48">
        <v>92.9</v>
      </c>
      <c r="D2046" s="49"/>
      <c r="E2046" s="48">
        <v>92.9</v>
      </c>
    </row>
    <row r="2047">
      <c r="A2047" s="46" t="s">
        <v>18</v>
      </c>
      <c r="B2047" s="46" t="s">
        <v>14</v>
      </c>
      <c r="C2047" s="48">
        <v>110.4</v>
      </c>
      <c r="D2047" s="48">
        <v>89.6</v>
      </c>
      <c r="E2047" s="48">
        <v>106.6</v>
      </c>
    </row>
    <row r="2048">
      <c r="A2048" s="46" t="s">
        <v>18</v>
      </c>
      <c r="B2048" s="46" t="s">
        <v>13</v>
      </c>
      <c r="C2048" s="49"/>
      <c r="D2048" s="48">
        <v>77.9</v>
      </c>
      <c r="E2048" s="48">
        <v>77.9</v>
      </c>
    </row>
    <row r="2049">
      <c r="A2049" s="46" t="s">
        <v>18</v>
      </c>
      <c r="B2049" s="46" t="s">
        <v>15</v>
      </c>
      <c r="C2049" s="48">
        <v>109.7</v>
      </c>
      <c r="D2049" s="49"/>
      <c r="E2049" s="48">
        <v>109.7</v>
      </c>
    </row>
    <row r="2050">
      <c r="A2050" s="46" t="s">
        <v>18</v>
      </c>
      <c r="B2050" s="46" t="s">
        <v>14</v>
      </c>
      <c r="C2050" s="48">
        <v>109.5</v>
      </c>
      <c r="D2050" s="48">
        <v>90.2</v>
      </c>
      <c r="E2050" s="48">
        <v>102.2</v>
      </c>
    </row>
    <row r="2051">
      <c r="A2051" s="46" t="s">
        <v>18</v>
      </c>
      <c r="B2051" s="46" t="s">
        <v>15</v>
      </c>
      <c r="C2051" s="48">
        <v>129.8</v>
      </c>
      <c r="D2051" s="49"/>
      <c r="E2051" s="48">
        <v>129.8</v>
      </c>
    </row>
    <row r="2052">
      <c r="A2052" s="46" t="s">
        <v>18</v>
      </c>
      <c r="B2052" s="46" t="s">
        <v>15</v>
      </c>
      <c r="C2052" s="48">
        <v>137.8</v>
      </c>
      <c r="D2052" s="49"/>
      <c r="E2052" s="48">
        <v>137.8</v>
      </c>
    </row>
    <row r="2053">
      <c r="A2053" s="46" t="s">
        <v>18</v>
      </c>
      <c r="B2053" s="46" t="s">
        <v>14</v>
      </c>
      <c r="C2053" s="48">
        <v>119.4</v>
      </c>
      <c r="D2053" s="48">
        <v>92.1</v>
      </c>
      <c r="E2053" s="48">
        <v>94.2</v>
      </c>
    </row>
    <row r="2054">
      <c r="A2054" s="46" t="s">
        <v>18</v>
      </c>
      <c r="B2054" s="46" t="s">
        <v>13</v>
      </c>
      <c r="C2054" s="49"/>
      <c r="D2054" s="48">
        <v>91.2</v>
      </c>
      <c r="E2054" s="48">
        <v>91.2</v>
      </c>
    </row>
    <row r="2055">
      <c r="A2055" s="46" t="s">
        <v>18</v>
      </c>
      <c r="B2055" s="46" t="s">
        <v>14</v>
      </c>
      <c r="C2055" s="48">
        <v>116.6</v>
      </c>
      <c r="D2055" s="48">
        <v>95.0</v>
      </c>
      <c r="E2055" s="48">
        <v>101.1</v>
      </c>
    </row>
    <row r="2056">
      <c r="A2056" s="46" t="s">
        <v>18</v>
      </c>
      <c r="B2056" s="46" t="s">
        <v>14</v>
      </c>
      <c r="C2056" s="48">
        <v>112.4</v>
      </c>
      <c r="D2056" s="48">
        <v>92.4</v>
      </c>
      <c r="E2056" s="48">
        <v>107.8</v>
      </c>
    </row>
    <row r="2057">
      <c r="A2057" s="46" t="s">
        <v>18</v>
      </c>
      <c r="B2057" s="46" t="s">
        <v>15</v>
      </c>
      <c r="C2057" s="48">
        <v>114.1</v>
      </c>
      <c r="D2057" s="49"/>
      <c r="E2057" s="48">
        <v>114.1</v>
      </c>
    </row>
    <row r="2058">
      <c r="A2058" s="46" t="s">
        <v>18</v>
      </c>
      <c r="B2058" s="46" t="s">
        <v>14</v>
      </c>
      <c r="C2058" s="48">
        <v>115.8</v>
      </c>
      <c r="D2058" s="48">
        <v>87.8</v>
      </c>
      <c r="E2058" s="48">
        <v>89.2</v>
      </c>
    </row>
    <row r="2059">
      <c r="A2059" s="46" t="s">
        <v>18</v>
      </c>
      <c r="B2059" s="46" t="s">
        <v>14</v>
      </c>
      <c r="C2059" s="48">
        <v>81.7</v>
      </c>
      <c r="D2059" s="48">
        <v>80.7</v>
      </c>
      <c r="E2059" s="48">
        <v>80.9</v>
      </c>
    </row>
    <row r="2060">
      <c r="A2060" s="46" t="s">
        <v>18</v>
      </c>
      <c r="B2060" s="46" t="s">
        <v>14</v>
      </c>
      <c r="C2060" s="48">
        <v>121.2</v>
      </c>
      <c r="D2060" s="48">
        <v>92.2</v>
      </c>
      <c r="E2060" s="48">
        <v>109.4</v>
      </c>
    </row>
    <row r="2061">
      <c r="A2061" s="46" t="s">
        <v>18</v>
      </c>
      <c r="B2061" s="46" t="s">
        <v>15</v>
      </c>
      <c r="C2061" s="48">
        <v>103.6</v>
      </c>
      <c r="D2061" s="49"/>
      <c r="E2061" s="48">
        <v>103.6</v>
      </c>
    </row>
    <row r="2062">
      <c r="A2062" s="46" t="s">
        <v>18</v>
      </c>
      <c r="B2062" s="46" t="s">
        <v>15</v>
      </c>
      <c r="C2062" s="48">
        <v>121.0</v>
      </c>
      <c r="D2062" s="49"/>
      <c r="E2062" s="48">
        <v>121.0</v>
      </c>
    </row>
    <row r="2063">
      <c r="A2063" s="46" t="s">
        <v>18</v>
      </c>
      <c r="B2063" s="46" t="s">
        <v>15</v>
      </c>
      <c r="C2063" s="48">
        <v>138.3</v>
      </c>
      <c r="D2063" s="49"/>
      <c r="E2063" s="48">
        <v>138.3</v>
      </c>
    </row>
    <row r="2064">
      <c r="A2064" s="46" t="s">
        <v>18</v>
      </c>
      <c r="B2064" s="46" t="s">
        <v>15</v>
      </c>
      <c r="C2064" s="48">
        <v>143.1</v>
      </c>
      <c r="D2064" s="49"/>
      <c r="E2064" s="48">
        <v>143.1</v>
      </c>
    </row>
    <row r="2065">
      <c r="A2065" s="46" t="s">
        <v>18</v>
      </c>
      <c r="B2065" s="46" t="s">
        <v>13</v>
      </c>
      <c r="C2065" s="49"/>
      <c r="D2065" s="48">
        <v>92.1</v>
      </c>
      <c r="E2065" s="48">
        <v>92.1</v>
      </c>
    </row>
    <row r="2066">
      <c r="A2066" s="46" t="s">
        <v>18</v>
      </c>
      <c r="B2066" s="46" t="s">
        <v>15</v>
      </c>
      <c r="C2066" s="48">
        <v>120.2</v>
      </c>
      <c r="D2066" s="49"/>
      <c r="E2066" s="48">
        <v>120.2</v>
      </c>
    </row>
    <row r="2067">
      <c r="A2067" s="46" t="s">
        <v>18</v>
      </c>
      <c r="B2067" s="46" t="s">
        <v>14</v>
      </c>
      <c r="C2067" s="48">
        <v>103.6</v>
      </c>
      <c r="D2067" s="48">
        <v>86.5</v>
      </c>
      <c r="E2067" s="48">
        <v>87.3</v>
      </c>
    </row>
    <row r="2068">
      <c r="A2068" s="46" t="s">
        <v>18</v>
      </c>
      <c r="B2068" s="46" t="s">
        <v>15</v>
      </c>
      <c r="C2068" s="48">
        <v>107.3</v>
      </c>
      <c r="D2068" s="49"/>
      <c r="E2068" s="48">
        <v>107.3</v>
      </c>
    </row>
    <row r="2069">
      <c r="A2069" s="46" t="s">
        <v>18</v>
      </c>
      <c r="B2069" s="46" t="s">
        <v>13</v>
      </c>
      <c r="C2069" s="49"/>
      <c r="D2069" s="48">
        <v>80.4</v>
      </c>
      <c r="E2069" s="48">
        <v>80.4</v>
      </c>
    </row>
    <row r="2070">
      <c r="A2070" s="46" t="s">
        <v>18</v>
      </c>
      <c r="B2070" s="46" t="s">
        <v>15</v>
      </c>
      <c r="C2070" s="48">
        <v>103.6</v>
      </c>
      <c r="D2070" s="49"/>
      <c r="E2070" s="48">
        <v>103.6</v>
      </c>
    </row>
    <row r="2071">
      <c r="A2071" s="46" t="s">
        <v>18</v>
      </c>
      <c r="B2071" s="46" t="s">
        <v>14</v>
      </c>
      <c r="C2071" s="48">
        <v>106.9</v>
      </c>
      <c r="D2071" s="48">
        <v>80.0</v>
      </c>
      <c r="E2071" s="48">
        <v>97.7</v>
      </c>
    </row>
    <row r="2072">
      <c r="A2072" s="46" t="s">
        <v>18</v>
      </c>
      <c r="B2072" s="46" t="s">
        <v>15</v>
      </c>
      <c r="C2072" s="48">
        <v>93.6</v>
      </c>
      <c r="D2072" s="49"/>
      <c r="E2072" s="48">
        <v>93.6</v>
      </c>
    </row>
    <row r="2073">
      <c r="A2073" s="46" t="s">
        <v>18</v>
      </c>
      <c r="B2073" s="46" t="s">
        <v>13</v>
      </c>
      <c r="C2073" s="49"/>
      <c r="D2073" s="48">
        <v>78.0</v>
      </c>
      <c r="E2073" s="48">
        <v>78.0</v>
      </c>
    </row>
    <row r="2074">
      <c r="A2074" s="46" t="s">
        <v>18</v>
      </c>
      <c r="B2074" s="46" t="s">
        <v>13</v>
      </c>
      <c r="C2074" s="49"/>
      <c r="D2074" s="48">
        <v>75.6</v>
      </c>
      <c r="E2074" s="48">
        <v>75.6</v>
      </c>
    </row>
    <row r="2075">
      <c r="A2075" s="46" t="s">
        <v>18</v>
      </c>
      <c r="B2075" s="46" t="s">
        <v>13</v>
      </c>
      <c r="C2075" s="49"/>
      <c r="D2075" s="48">
        <v>74.0</v>
      </c>
      <c r="E2075" s="48">
        <v>74.0</v>
      </c>
    </row>
    <row r="2076">
      <c r="A2076" s="46" t="s">
        <v>18</v>
      </c>
      <c r="B2076" s="46" t="s">
        <v>15</v>
      </c>
      <c r="C2076" s="48">
        <v>118.1</v>
      </c>
      <c r="D2076" s="49"/>
      <c r="E2076" s="48">
        <v>118.1</v>
      </c>
    </row>
    <row r="2077">
      <c r="A2077" s="46" t="s">
        <v>18</v>
      </c>
      <c r="B2077" s="46" t="s">
        <v>13</v>
      </c>
      <c r="C2077" s="49"/>
      <c r="D2077" s="48">
        <v>79.2</v>
      </c>
      <c r="E2077" s="48">
        <v>79.2</v>
      </c>
    </row>
    <row r="2078">
      <c r="A2078" s="46" t="s">
        <v>18</v>
      </c>
      <c r="B2078" s="46" t="s">
        <v>14</v>
      </c>
      <c r="C2078" s="48">
        <v>97.3</v>
      </c>
      <c r="D2078" s="48">
        <v>88.3</v>
      </c>
      <c r="E2078" s="48">
        <v>88.5</v>
      </c>
    </row>
    <row r="2079">
      <c r="A2079" s="46" t="s">
        <v>18</v>
      </c>
      <c r="B2079" s="46" t="s">
        <v>15</v>
      </c>
      <c r="C2079" s="48">
        <v>128.3</v>
      </c>
      <c r="D2079" s="49"/>
      <c r="E2079" s="48">
        <v>128.3</v>
      </c>
    </row>
    <row r="2080">
      <c r="A2080" s="46" t="s">
        <v>18</v>
      </c>
      <c r="B2080" s="46" t="s">
        <v>14</v>
      </c>
      <c r="C2080" s="48">
        <v>103.9</v>
      </c>
      <c r="D2080" s="48">
        <v>79.1</v>
      </c>
      <c r="E2080" s="48">
        <v>92.2</v>
      </c>
    </row>
    <row r="2081">
      <c r="A2081" s="46" t="s">
        <v>18</v>
      </c>
      <c r="B2081" s="46" t="s">
        <v>14</v>
      </c>
      <c r="C2081" s="48">
        <v>111.3</v>
      </c>
      <c r="D2081" s="48">
        <v>98.6</v>
      </c>
      <c r="E2081" s="48">
        <v>110.3</v>
      </c>
    </row>
    <row r="2082">
      <c r="A2082" s="46" t="s">
        <v>18</v>
      </c>
      <c r="B2082" s="46" t="s">
        <v>15</v>
      </c>
      <c r="C2082" s="48">
        <v>109.1</v>
      </c>
      <c r="D2082" s="49"/>
      <c r="E2082" s="48">
        <v>109.1</v>
      </c>
    </row>
    <row r="2083">
      <c r="A2083" s="46" t="s">
        <v>18</v>
      </c>
      <c r="B2083" s="46" t="s">
        <v>14</v>
      </c>
      <c r="C2083" s="48">
        <v>105.7</v>
      </c>
      <c r="D2083" s="48">
        <v>91.9</v>
      </c>
      <c r="E2083" s="48">
        <v>103.2</v>
      </c>
    </row>
    <row r="2084">
      <c r="A2084" s="46" t="s">
        <v>18</v>
      </c>
      <c r="B2084" s="46" t="s">
        <v>15</v>
      </c>
      <c r="C2084" s="48">
        <v>115.9</v>
      </c>
      <c r="D2084" s="49"/>
      <c r="E2084" s="48">
        <v>115.9</v>
      </c>
    </row>
    <row r="2085">
      <c r="A2085" s="46" t="s">
        <v>18</v>
      </c>
      <c r="B2085" s="46" t="s">
        <v>14</v>
      </c>
      <c r="C2085" s="48">
        <v>114.2</v>
      </c>
      <c r="D2085" s="48">
        <v>92.3</v>
      </c>
      <c r="E2085" s="48">
        <v>110.5</v>
      </c>
    </row>
    <row r="2086">
      <c r="A2086" s="46" t="s">
        <v>18</v>
      </c>
      <c r="B2086" s="46" t="s">
        <v>15</v>
      </c>
      <c r="C2086" s="48">
        <v>107.6</v>
      </c>
      <c r="D2086" s="49"/>
      <c r="E2086" s="48">
        <v>107.6</v>
      </c>
    </row>
    <row r="2087">
      <c r="A2087" s="46" t="s">
        <v>18</v>
      </c>
      <c r="B2087" s="46" t="s">
        <v>15</v>
      </c>
      <c r="C2087" s="48">
        <v>104.8</v>
      </c>
      <c r="D2087" s="49"/>
      <c r="E2087" s="48">
        <v>104.8</v>
      </c>
    </row>
    <row r="2088">
      <c r="A2088" s="46" t="s">
        <v>18</v>
      </c>
      <c r="B2088" s="46" t="s">
        <v>13</v>
      </c>
      <c r="C2088" s="49"/>
      <c r="D2088" s="48">
        <v>74.2</v>
      </c>
      <c r="E2088" s="48">
        <v>74.2</v>
      </c>
    </row>
    <row r="2089">
      <c r="A2089" s="46" t="s">
        <v>18</v>
      </c>
      <c r="B2089" s="46" t="s">
        <v>14</v>
      </c>
      <c r="C2089" s="48">
        <v>123.4</v>
      </c>
      <c r="D2089" s="48">
        <v>93.2</v>
      </c>
      <c r="E2089" s="48">
        <v>121.1</v>
      </c>
    </row>
    <row r="2090">
      <c r="A2090" s="46" t="s">
        <v>18</v>
      </c>
      <c r="B2090" s="46" t="s">
        <v>15</v>
      </c>
      <c r="C2090" s="48">
        <v>113.9</v>
      </c>
      <c r="D2090" s="49"/>
      <c r="E2090" s="48">
        <v>113.9</v>
      </c>
    </row>
    <row r="2091">
      <c r="A2091" s="46" t="s">
        <v>18</v>
      </c>
      <c r="B2091" s="46" t="s">
        <v>15</v>
      </c>
      <c r="C2091" s="48">
        <v>96.7</v>
      </c>
      <c r="D2091" s="49"/>
      <c r="E2091" s="48">
        <v>96.7</v>
      </c>
    </row>
    <row r="2092">
      <c r="A2092" s="46" t="s">
        <v>18</v>
      </c>
      <c r="B2092" s="46" t="s">
        <v>15</v>
      </c>
      <c r="C2092" s="48">
        <v>113.1</v>
      </c>
      <c r="D2092" s="49"/>
      <c r="E2092" s="48">
        <v>113.1</v>
      </c>
    </row>
    <row r="2093">
      <c r="A2093" s="46" t="s">
        <v>18</v>
      </c>
      <c r="B2093" s="46" t="s">
        <v>14</v>
      </c>
      <c r="C2093" s="48">
        <v>119.4</v>
      </c>
      <c r="D2093" s="48">
        <v>105.7</v>
      </c>
      <c r="E2093" s="48">
        <v>119.2</v>
      </c>
    </row>
    <row r="2094">
      <c r="A2094" s="46" t="s">
        <v>18</v>
      </c>
      <c r="B2094" s="46" t="s">
        <v>15</v>
      </c>
      <c r="C2094" s="48">
        <v>117.1</v>
      </c>
      <c r="D2094" s="49"/>
      <c r="E2094" s="48">
        <v>117.1</v>
      </c>
    </row>
    <row r="2095">
      <c r="A2095" s="46" t="s">
        <v>18</v>
      </c>
      <c r="B2095" s="46" t="s">
        <v>15</v>
      </c>
      <c r="C2095" s="48">
        <v>109.3</v>
      </c>
      <c r="D2095" s="49"/>
      <c r="E2095" s="48">
        <v>109.3</v>
      </c>
    </row>
    <row r="2096">
      <c r="A2096" s="46" t="s">
        <v>18</v>
      </c>
      <c r="B2096" s="46" t="s">
        <v>13</v>
      </c>
      <c r="C2096" s="49"/>
      <c r="D2096" s="48">
        <v>86.7</v>
      </c>
      <c r="E2096" s="48">
        <v>86.7</v>
      </c>
    </row>
    <row r="2097">
      <c r="A2097" s="46" t="s">
        <v>18</v>
      </c>
      <c r="B2097" s="46" t="s">
        <v>14</v>
      </c>
      <c r="C2097" s="48">
        <v>116.1</v>
      </c>
      <c r="D2097" s="48">
        <v>90.5</v>
      </c>
      <c r="E2097" s="48">
        <v>105.9</v>
      </c>
    </row>
    <row r="2098">
      <c r="A2098" s="46" t="s">
        <v>18</v>
      </c>
      <c r="B2098" s="46" t="s">
        <v>15</v>
      </c>
      <c r="C2098" s="48">
        <v>103.0</v>
      </c>
      <c r="D2098" s="49"/>
      <c r="E2098" s="48">
        <v>103.0</v>
      </c>
    </row>
    <row r="2099">
      <c r="A2099" s="46" t="s">
        <v>18</v>
      </c>
      <c r="B2099" s="46" t="s">
        <v>13</v>
      </c>
      <c r="C2099" s="49"/>
      <c r="D2099" s="48">
        <v>86.1</v>
      </c>
      <c r="E2099" s="48">
        <v>86.1</v>
      </c>
    </row>
    <row r="2100">
      <c r="A2100" s="46" t="s">
        <v>18</v>
      </c>
      <c r="B2100" s="46" t="s">
        <v>15</v>
      </c>
      <c r="C2100" s="48">
        <v>117.4</v>
      </c>
      <c r="D2100" s="49"/>
      <c r="E2100" s="48">
        <v>117.4</v>
      </c>
    </row>
    <row r="2101">
      <c r="A2101" s="46" t="s">
        <v>18</v>
      </c>
      <c r="B2101" s="46" t="s">
        <v>13</v>
      </c>
      <c r="C2101" s="49"/>
      <c r="D2101" s="48">
        <v>84.6</v>
      </c>
      <c r="E2101" s="48">
        <v>84.6</v>
      </c>
    </row>
    <row r="2102">
      <c r="A2102" s="46" t="s">
        <v>18</v>
      </c>
      <c r="B2102" s="46" t="s">
        <v>13</v>
      </c>
      <c r="C2102" s="49"/>
      <c r="D2102" s="48">
        <v>82.7</v>
      </c>
      <c r="E2102" s="48">
        <v>82.7</v>
      </c>
    </row>
    <row r="2103">
      <c r="A2103" s="46" t="s">
        <v>18</v>
      </c>
      <c r="B2103" s="46" t="s">
        <v>14</v>
      </c>
      <c r="C2103" s="48">
        <v>114.4</v>
      </c>
      <c r="D2103" s="48">
        <v>85.9</v>
      </c>
      <c r="E2103" s="48">
        <v>104.3</v>
      </c>
    </row>
    <row r="2104">
      <c r="A2104" s="46" t="s">
        <v>18</v>
      </c>
      <c r="B2104" s="46" t="s">
        <v>14</v>
      </c>
      <c r="C2104" s="48">
        <v>111.8</v>
      </c>
      <c r="D2104" s="48">
        <v>101.5</v>
      </c>
      <c r="E2104" s="48">
        <v>111.2</v>
      </c>
    </row>
    <row r="2105">
      <c r="A2105" s="46" t="s">
        <v>18</v>
      </c>
      <c r="B2105" s="46" t="s">
        <v>14</v>
      </c>
      <c r="C2105" s="48">
        <v>103.2</v>
      </c>
      <c r="D2105" s="48">
        <v>83.7</v>
      </c>
      <c r="E2105" s="48">
        <v>86.4</v>
      </c>
    </row>
    <row r="2106">
      <c r="A2106" s="46" t="s">
        <v>18</v>
      </c>
      <c r="B2106" s="46" t="s">
        <v>13</v>
      </c>
      <c r="C2106" s="49"/>
      <c r="D2106" s="48">
        <v>86.3</v>
      </c>
      <c r="E2106" s="48">
        <v>86.3</v>
      </c>
    </row>
    <row r="2107">
      <c r="A2107" s="46" t="s">
        <v>18</v>
      </c>
      <c r="B2107" s="46" t="s">
        <v>14</v>
      </c>
      <c r="C2107" s="48">
        <v>103.3</v>
      </c>
      <c r="D2107" s="48">
        <v>82.8</v>
      </c>
      <c r="E2107" s="48">
        <v>98.5</v>
      </c>
    </row>
    <row r="2108">
      <c r="A2108" s="46" t="s">
        <v>18</v>
      </c>
      <c r="B2108" s="46" t="s">
        <v>14</v>
      </c>
      <c r="C2108" s="48">
        <v>114.8</v>
      </c>
      <c r="D2108" s="48">
        <v>86.2</v>
      </c>
      <c r="E2108" s="48">
        <v>112.4</v>
      </c>
    </row>
    <row r="2109">
      <c r="A2109" s="46" t="s">
        <v>18</v>
      </c>
      <c r="B2109" s="46" t="s">
        <v>15</v>
      </c>
      <c r="C2109" s="48">
        <v>115.6</v>
      </c>
      <c r="D2109" s="49"/>
      <c r="E2109" s="48">
        <v>115.6</v>
      </c>
    </row>
    <row r="2110">
      <c r="A2110" s="46" t="s">
        <v>18</v>
      </c>
      <c r="B2110" s="46" t="s">
        <v>14</v>
      </c>
      <c r="C2110" s="48">
        <v>118.0</v>
      </c>
      <c r="D2110" s="48">
        <v>87.7</v>
      </c>
      <c r="E2110" s="48">
        <v>113.9</v>
      </c>
    </row>
    <row r="2111">
      <c r="A2111" s="46" t="s">
        <v>18</v>
      </c>
      <c r="B2111" s="46" t="s">
        <v>14</v>
      </c>
      <c r="C2111" s="48">
        <v>121.7</v>
      </c>
      <c r="D2111" s="48">
        <v>89.7</v>
      </c>
      <c r="E2111" s="48">
        <v>106.2</v>
      </c>
    </row>
    <row r="2112">
      <c r="A2112" s="46" t="s">
        <v>18</v>
      </c>
      <c r="B2112" s="46" t="s">
        <v>15</v>
      </c>
      <c r="C2112" s="48">
        <v>129.9</v>
      </c>
      <c r="D2112" s="49"/>
      <c r="E2112" s="48">
        <v>129.9</v>
      </c>
    </row>
    <row r="2113">
      <c r="A2113" s="46" t="s">
        <v>18</v>
      </c>
      <c r="B2113" s="46" t="s">
        <v>13</v>
      </c>
      <c r="C2113" s="49"/>
      <c r="D2113" s="48">
        <v>87.0</v>
      </c>
      <c r="E2113" s="48">
        <v>87.0</v>
      </c>
    </row>
    <row r="2114">
      <c r="A2114" s="46" t="s">
        <v>18</v>
      </c>
      <c r="B2114" s="46" t="s">
        <v>13</v>
      </c>
      <c r="C2114" s="49"/>
      <c r="D2114" s="48">
        <v>98.1</v>
      </c>
      <c r="E2114" s="48">
        <v>98.1</v>
      </c>
    </row>
    <row r="2115">
      <c r="A2115" s="46" t="s">
        <v>18</v>
      </c>
      <c r="B2115" s="46" t="s">
        <v>15</v>
      </c>
      <c r="C2115" s="48">
        <v>137.4</v>
      </c>
      <c r="D2115" s="49"/>
      <c r="E2115" s="48">
        <v>137.4</v>
      </c>
    </row>
    <row r="2116">
      <c r="A2116" s="46" t="s">
        <v>18</v>
      </c>
      <c r="B2116" s="46" t="s">
        <v>15</v>
      </c>
      <c r="C2116" s="48">
        <v>108.4</v>
      </c>
      <c r="D2116" s="49"/>
      <c r="E2116" s="48">
        <v>108.4</v>
      </c>
    </row>
    <row r="2117">
      <c r="A2117" s="46" t="s">
        <v>18</v>
      </c>
      <c r="B2117" s="46" t="s">
        <v>13</v>
      </c>
      <c r="C2117" s="49"/>
      <c r="D2117" s="48">
        <v>74.2</v>
      </c>
      <c r="E2117" s="48">
        <v>74.2</v>
      </c>
    </row>
    <row r="2118">
      <c r="A2118" s="46" t="s">
        <v>18</v>
      </c>
      <c r="B2118" s="46" t="s">
        <v>14</v>
      </c>
      <c r="C2118" s="48">
        <v>127.1</v>
      </c>
      <c r="D2118" s="48">
        <v>94.7</v>
      </c>
      <c r="E2118" s="48">
        <v>112.1</v>
      </c>
    </row>
    <row r="2119">
      <c r="A2119" s="46" t="s">
        <v>18</v>
      </c>
      <c r="B2119" s="46" t="s">
        <v>13</v>
      </c>
      <c r="C2119" s="49"/>
      <c r="D2119" s="48">
        <v>108.9</v>
      </c>
      <c r="E2119" s="48">
        <v>108.9</v>
      </c>
    </row>
    <row r="2120">
      <c r="A2120" s="46" t="s">
        <v>18</v>
      </c>
      <c r="B2120" s="46" t="s">
        <v>13</v>
      </c>
      <c r="C2120" s="49"/>
      <c r="D2120" s="48">
        <v>86.6</v>
      </c>
      <c r="E2120" s="48">
        <v>86.6</v>
      </c>
    </row>
    <row r="2121">
      <c r="A2121" s="46" t="s">
        <v>18</v>
      </c>
      <c r="B2121" s="46" t="s">
        <v>15</v>
      </c>
      <c r="C2121" s="48">
        <v>87.1</v>
      </c>
      <c r="D2121" s="49"/>
      <c r="E2121" s="48">
        <v>87.1</v>
      </c>
    </row>
    <row r="2122">
      <c r="A2122" s="46" t="s">
        <v>18</v>
      </c>
      <c r="B2122" s="46" t="s">
        <v>15</v>
      </c>
      <c r="C2122" s="48">
        <v>99.5</v>
      </c>
      <c r="D2122" s="49"/>
      <c r="E2122" s="48">
        <v>99.5</v>
      </c>
    </row>
    <row r="2123">
      <c r="A2123" s="46" t="s">
        <v>18</v>
      </c>
      <c r="B2123" s="46" t="s">
        <v>15</v>
      </c>
      <c r="C2123" s="48">
        <v>81.3</v>
      </c>
      <c r="D2123" s="49"/>
      <c r="E2123" s="48">
        <v>81.3</v>
      </c>
    </row>
    <row r="2124">
      <c r="A2124" s="46" t="s">
        <v>18</v>
      </c>
      <c r="B2124" s="46" t="s">
        <v>13</v>
      </c>
      <c r="C2124" s="49"/>
      <c r="D2124" s="48">
        <v>83.7</v>
      </c>
      <c r="E2124" s="48">
        <v>83.7</v>
      </c>
    </row>
    <row r="2125">
      <c r="A2125" s="46" t="s">
        <v>18</v>
      </c>
      <c r="B2125" s="46" t="s">
        <v>15</v>
      </c>
      <c r="C2125" s="48">
        <v>113.1</v>
      </c>
      <c r="D2125" s="49"/>
      <c r="E2125" s="48">
        <v>113.1</v>
      </c>
    </row>
    <row r="2126">
      <c r="A2126" s="46" t="s">
        <v>18</v>
      </c>
      <c r="B2126" s="46" t="s">
        <v>14</v>
      </c>
      <c r="C2126" s="48">
        <v>52.5</v>
      </c>
      <c r="D2126" s="48">
        <v>79.5</v>
      </c>
      <c r="E2126" s="48">
        <v>79.2</v>
      </c>
    </row>
    <row r="2127">
      <c r="A2127" s="46" t="s">
        <v>18</v>
      </c>
      <c r="B2127" s="46" t="s">
        <v>13</v>
      </c>
      <c r="C2127" s="49"/>
      <c r="D2127" s="48">
        <v>78.4</v>
      </c>
      <c r="E2127" s="48">
        <v>78.4</v>
      </c>
    </row>
    <row r="2128">
      <c r="A2128" s="46" t="s">
        <v>18</v>
      </c>
      <c r="B2128" s="46" t="s">
        <v>14</v>
      </c>
      <c r="C2128" s="48">
        <v>92.3</v>
      </c>
      <c r="D2128" s="48">
        <v>79.4</v>
      </c>
      <c r="E2128" s="48">
        <v>91.6</v>
      </c>
    </row>
    <row r="2129">
      <c r="A2129" s="46" t="s">
        <v>18</v>
      </c>
      <c r="B2129" s="46" t="s">
        <v>14</v>
      </c>
      <c r="C2129" s="48">
        <v>53.8</v>
      </c>
      <c r="D2129" s="48">
        <v>71.5</v>
      </c>
      <c r="E2129" s="48">
        <v>71.2</v>
      </c>
    </row>
    <row r="2130">
      <c r="A2130" s="46" t="s">
        <v>18</v>
      </c>
      <c r="B2130" s="46" t="s">
        <v>14</v>
      </c>
      <c r="C2130" s="48">
        <v>78.9</v>
      </c>
      <c r="D2130" s="48">
        <v>72.4</v>
      </c>
      <c r="E2130" s="48">
        <v>77.5</v>
      </c>
    </row>
    <row r="2131">
      <c r="A2131" s="46" t="s">
        <v>18</v>
      </c>
      <c r="B2131" s="46" t="s">
        <v>14</v>
      </c>
      <c r="C2131" s="48">
        <v>112.8</v>
      </c>
      <c r="D2131" s="48">
        <v>88.1</v>
      </c>
      <c r="E2131" s="48">
        <v>109.5</v>
      </c>
    </row>
    <row r="2132">
      <c r="A2132" s="46" t="s">
        <v>18</v>
      </c>
      <c r="B2132" s="46" t="s">
        <v>14</v>
      </c>
      <c r="C2132" s="48">
        <v>109.7</v>
      </c>
      <c r="D2132" s="48">
        <v>82.1</v>
      </c>
      <c r="E2132" s="48">
        <v>91.6</v>
      </c>
    </row>
    <row r="2133">
      <c r="A2133" s="46" t="s">
        <v>18</v>
      </c>
      <c r="B2133" s="46" t="s">
        <v>14</v>
      </c>
      <c r="C2133" s="48">
        <v>90.5</v>
      </c>
      <c r="D2133" s="48">
        <v>79.9</v>
      </c>
      <c r="E2133" s="48">
        <v>86.1</v>
      </c>
    </row>
    <row r="2134">
      <c r="A2134" s="46" t="s">
        <v>18</v>
      </c>
      <c r="B2134" s="46" t="s">
        <v>13</v>
      </c>
      <c r="C2134" s="49"/>
      <c r="D2134" s="48">
        <v>72.0</v>
      </c>
      <c r="E2134" s="48">
        <v>72.0</v>
      </c>
    </row>
    <row r="2135">
      <c r="A2135" s="46" t="s">
        <v>18</v>
      </c>
      <c r="B2135" s="46" t="s">
        <v>14</v>
      </c>
      <c r="C2135" s="48">
        <v>84.4</v>
      </c>
      <c r="D2135" s="48">
        <v>75.8</v>
      </c>
      <c r="E2135" s="48">
        <v>78.2</v>
      </c>
    </row>
    <row r="2136">
      <c r="A2136" s="46" t="s">
        <v>18</v>
      </c>
      <c r="B2136" s="46" t="s">
        <v>14</v>
      </c>
      <c r="C2136" s="48">
        <v>78.2</v>
      </c>
      <c r="D2136" s="48">
        <v>73.9</v>
      </c>
      <c r="E2136" s="48">
        <v>77.1</v>
      </c>
    </row>
    <row r="2137">
      <c r="A2137" s="46" t="s">
        <v>18</v>
      </c>
      <c r="B2137" s="46" t="s">
        <v>15</v>
      </c>
      <c r="C2137" s="48">
        <v>120.6</v>
      </c>
      <c r="D2137" s="49"/>
      <c r="E2137" s="48">
        <v>120.6</v>
      </c>
    </row>
    <row r="2138">
      <c r="A2138" s="46" t="s">
        <v>18</v>
      </c>
      <c r="B2138" s="46" t="s">
        <v>15</v>
      </c>
      <c r="C2138" s="48">
        <v>136.6</v>
      </c>
      <c r="D2138" s="49"/>
      <c r="E2138" s="48">
        <v>136.6</v>
      </c>
    </row>
    <row r="2139">
      <c r="A2139" s="46" t="s">
        <v>18</v>
      </c>
      <c r="B2139" s="46" t="s">
        <v>14</v>
      </c>
      <c r="C2139" s="48">
        <v>87.8</v>
      </c>
      <c r="D2139" s="48">
        <v>79.1</v>
      </c>
      <c r="E2139" s="48">
        <v>85.3</v>
      </c>
    </row>
    <row r="2140">
      <c r="A2140" s="46" t="s">
        <v>18</v>
      </c>
      <c r="B2140" s="46" t="s">
        <v>14</v>
      </c>
      <c r="C2140" s="48">
        <v>57.0</v>
      </c>
      <c r="D2140" s="48">
        <v>80.9</v>
      </c>
      <c r="E2140" s="48">
        <v>80.8</v>
      </c>
    </row>
    <row r="2141">
      <c r="A2141" s="46" t="s">
        <v>18</v>
      </c>
      <c r="B2141" s="46" t="s">
        <v>14</v>
      </c>
      <c r="C2141" s="48">
        <v>92.6</v>
      </c>
      <c r="D2141" s="48">
        <v>82.2</v>
      </c>
      <c r="E2141" s="48">
        <v>83.6</v>
      </c>
    </row>
    <row r="2142">
      <c r="A2142" s="46" t="s">
        <v>18</v>
      </c>
      <c r="B2142" s="46" t="s">
        <v>13</v>
      </c>
      <c r="C2142" s="49"/>
      <c r="D2142" s="48">
        <v>76.7</v>
      </c>
      <c r="E2142" s="48">
        <v>76.7</v>
      </c>
    </row>
    <row r="2143">
      <c r="A2143" s="46" t="s">
        <v>18</v>
      </c>
      <c r="B2143" s="46" t="s">
        <v>13</v>
      </c>
      <c r="C2143" s="49"/>
      <c r="D2143" s="48">
        <v>83.2</v>
      </c>
      <c r="E2143" s="48">
        <v>83.2</v>
      </c>
    </row>
    <row r="2144">
      <c r="A2144" s="46" t="s">
        <v>18</v>
      </c>
      <c r="B2144" s="46" t="s">
        <v>14</v>
      </c>
      <c r="C2144" s="48">
        <v>95.6</v>
      </c>
      <c r="D2144" s="48">
        <v>83.4</v>
      </c>
      <c r="E2144" s="48">
        <v>92.5</v>
      </c>
    </row>
    <row r="2145">
      <c r="A2145" s="46" t="s">
        <v>18</v>
      </c>
      <c r="B2145" s="46" t="s">
        <v>14</v>
      </c>
      <c r="C2145" s="48">
        <v>86.9</v>
      </c>
      <c r="D2145" s="48">
        <v>79.4</v>
      </c>
      <c r="E2145" s="48">
        <v>84.2</v>
      </c>
    </row>
    <row r="2146">
      <c r="A2146" s="46" t="s">
        <v>18</v>
      </c>
      <c r="B2146" s="46" t="s">
        <v>14</v>
      </c>
      <c r="C2146" s="48">
        <v>107.8</v>
      </c>
      <c r="D2146" s="48">
        <v>88.3</v>
      </c>
      <c r="E2146" s="48">
        <v>91.3</v>
      </c>
    </row>
    <row r="2147">
      <c r="A2147" s="46" t="s">
        <v>18</v>
      </c>
      <c r="B2147" s="46" t="s">
        <v>15</v>
      </c>
      <c r="C2147" s="48">
        <v>123.5</v>
      </c>
      <c r="D2147" s="49"/>
      <c r="E2147" s="48">
        <v>123.5</v>
      </c>
    </row>
    <row r="2148">
      <c r="A2148" s="46" t="s">
        <v>18</v>
      </c>
      <c r="B2148" s="46" t="s">
        <v>13</v>
      </c>
      <c r="C2148" s="49"/>
      <c r="D2148" s="48">
        <v>78.5</v>
      </c>
      <c r="E2148" s="48">
        <v>78.5</v>
      </c>
    </row>
    <row r="2149">
      <c r="A2149" s="46" t="s">
        <v>18</v>
      </c>
      <c r="B2149" s="46" t="s">
        <v>13</v>
      </c>
      <c r="C2149" s="49"/>
      <c r="D2149" s="48">
        <v>91.8</v>
      </c>
      <c r="E2149" s="48">
        <v>91.8</v>
      </c>
    </row>
    <row r="2150">
      <c r="A2150" s="46" t="s">
        <v>18</v>
      </c>
      <c r="B2150" s="46" t="s">
        <v>15</v>
      </c>
      <c r="C2150" s="48">
        <v>124.5</v>
      </c>
      <c r="D2150" s="49"/>
      <c r="E2150" s="48">
        <v>124.5</v>
      </c>
    </row>
    <row r="2151">
      <c r="A2151" s="46" t="s">
        <v>18</v>
      </c>
      <c r="B2151" s="46" t="s">
        <v>14</v>
      </c>
      <c r="C2151" s="48">
        <v>107.0</v>
      </c>
      <c r="D2151" s="48">
        <v>89.8</v>
      </c>
      <c r="E2151" s="48">
        <v>101.5</v>
      </c>
    </row>
    <row r="2152">
      <c r="A2152" s="46" t="s">
        <v>18</v>
      </c>
      <c r="B2152" s="46" t="s">
        <v>14</v>
      </c>
      <c r="C2152" s="48">
        <v>114.6</v>
      </c>
      <c r="D2152" s="48">
        <v>89.0</v>
      </c>
      <c r="E2152" s="48">
        <v>102.6</v>
      </c>
    </row>
    <row r="2153">
      <c r="A2153" s="46" t="s">
        <v>18</v>
      </c>
      <c r="B2153" s="46" t="s">
        <v>14</v>
      </c>
      <c r="C2153" s="48">
        <v>124.3</v>
      </c>
      <c r="D2153" s="48">
        <v>90.6</v>
      </c>
      <c r="E2153" s="48">
        <v>115.1</v>
      </c>
    </row>
    <row r="2154">
      <c r="A2154" s="46" t="s">
        <v>18</v>
      </c>
      <c r="B2154" s="46" t="s">
        <v>14</v>
      </c>
      <c r="C2154" s="48">
        <v>93.6</v>
      </c>
      <c r="D2154" s="48">
        <v>76.8</v>
      </c>
      <c r="E2154" s="48">
        <v>87.6</v>
      </c>
    </row>
    <row r="2155">
      <c r="A2155" s="46" t="s">
        <v>18</v>
      </c>
      <c r="B2155" s="46" t="s">
        <v>15</v>
      </c>
      <c r="C2155" s="48">
        <v>111.8</v>
      </c>
      <c r="D2155" s="49"/>
      <c r="E2155" s="48">
        <v>111.8</v>
      </c>
    </row>
    <row r="2156">
      <c r="A2156" s="46" t="s">
        <v>18</v>
      </c>
      <c r="B2156" s="46" t="s">
        <v>13</v>
      </c>
      <c r="C2156" s="49"/>
      <c r="D2156" s="48">
        <v>84.8</v>
      </c>
      <c r="E2156" s="48">
        <v>84.8</v>
      </c>
    </row>
    <row r="2157">
      <c r="A2157" s="46" t="s">
        <v>18</v>
      </c>
      <c r="B2157" s="46" t="s">
        <v>15</v>
      </c>
      <c r="C2157" s="48">
        <v>90.4</v>
      </c>
      <c r="D2157" s="49"/>
      <c r="E2157" s="48">
        <v>90.4</v>
      </c>
    </row>
    <row r="2158">
      <c r="A2158" s="46" t="s">
        <v>18</v>
      </c>
      <c r="B2158" s="46" t="s">
        <v>13</v>
      </c>
      <c r="C2158" s="49"/>
      <c r="D2158" s="48">
        <v>72.3</v>
      </c>
      <c r="E2158" s="48">
        <v>72.3</v>
      </c>
    </row>
    <row r="2159">
      <c r="A2159" s="46" t="s">
        <v>18</v>
      </c>
      <c r="B2159" s="46" t="s">
        <v>15</v>
      </c>
      <c r="C2159" s="48">
        <v>98.1</v>
      </c>
      <c r="D2159" s="49"/>
      <c r="E2159" s="48">
        <v>98.1</v>
      </c>
    </row>
    <row r="2160">
      <c r="A2160" s="46" t="s">
        <v>18</v>
      </c>
      <c r="B2160" s="46" t="s">
        <v>15</v>
      </c>
      <c r="C2160" s="48">
        <v>101.3</v>
      </c>
      <c r="D2160" s="49"/>
      <c r="E2160" s="48">
        <v>101.3</v>
      </c>
    </row>
    <row r="2161">
      <c r="A2161" s="46" t="s">
        <v>18</v>
      </c>
      <c r="B2161" s="46" t="s">
        <v>15</v>
      </c>
      <c r="C2161" s="48">
        <v>105.7</v>
      </c>
      <c r="D2161" s="49"/>
      <c r="E2161" s="48">
        <v>105.7</v>
      </c>
    </row>
    <row r="2162">
      <c r="A2162" s="46" t="s">
        <v>18</v>
      </c>
      <c r="B2162" s="46" t="s">
        <v>14</v>
      </c>
      <c r="C2162" s="48">
        <v>119.6</v>
      </c>
      <c r="D2162" s="48">
        <v>81.3</v>
      </c>
      <c r="E2162" s="48">
        <v>113.6</v>
      </c>
    </row>
    <row r="2163">
      <c r="A2163" s="46" t="s">
        <v>18</v>
      </c>
      <c r="B2163" s="46" t="s">
        <v>14</v>
      </c>
      <c r="C2163" s="48">
        <v>91.4</v>
      </c>
      <c r="D2163" s="48">
        <v>74.2</v>
      </c>
      <c r="E2163" s="48">
        <v>81.9</v>
      </c>
    </row>
    <row r="2164">
      <c r="A2164" s="46" t="s">
        <v>18</v>
      </c>
      <c r="B2164" s="46" t="s">
        <v>14</v>
      </c>
      <c r="C2164" s="48">
        <v>86.9</v>
      </c>
      <c r="D2164" s="48">
        <v>73.5</v>
      </c>
      <c r="E2164" s="48">
        <v>78.8</v>
      </c>
    </row>
    <row r="2165">
      <c r="A2165" s="46" t="s">
        <v>18</v>
      </c>
      <c r="B2165" s="46" t="s">
        <v>15</v>
      </c>
      <c r="C2165" s="48">
        <v>88.9</v>
      </c>
      <c r="D2165" s="49"/>
      <c r="E2165" s="48">
        <v>88.9</v>
      </c>
    </row>
    <row r="2166">
      <c r="A2166" s="46" t="s">
        <v>18</v>
      </c>
      <c r="B2166" s="46" t="s">
        <v>14</v>
      </c>
      <c r="C2166" s="48">
        <v>98.1</v>
      </c>
      <c r="D2166" s="48">
        <v>70.8</v>
      </c>
      <c r="E2166" s="48">
        <v>90.5</v>
      </c>
    </row>
    <row r="2167">
      <c r="A2167" s="46" t="s">
        <v>18</v>
      </c>
      <c r="B2167" s="46" t="s">
        <v>14</v>
      </c>
      <c r="C2167" s="48">
        <v>105.8</v>
      </c>
      <c r="D2167" s="48">
        <v>79.3</v>
      </c>
      <c r="E2167" s="48">
        <v>100.3</v>
      </c>
    </row>
    <row r="2168">
      <c r="A2168" s="46" t="s">
        <v>18</v>
      </c>
      <c r="B2168" s="46" t="s">
        <v>14</v>
      </c>
      <c r="C2168" s="48">
        <v>104.1</v>
      </c>
      <c r="D2168" s="48">
        <v>75.1</v>
      </c>
      <c r="E2168" s="48">
        <v>92.7</v>
      </c>
    </row>
    <row r="2169">
      <c r="A2169" s="46" t="s">
        <v>18</v>
      </c>
      <c r="B2169" s="46" t="s">
        <v>13</v>
      </c>
      <c r="C2169" s="49"/>
      <c r="D2169" s="48">
        <v>66.2</v>
      </c>
      <c r="E2169" s="48">
        <v>66.2</v>
      </c>
    </row>
    <row r="2170">
      <c r="A2170" s="46" t="s">
        <v>18</v>
      </c>
      <c r="B2170" s="46" t="s">
        <v>14</v>
      </c>
      <c r="C2170" s="48">
        <v>71.3</v>
      </c>
      <c r="D2170" s="48">
        <v>55.2</v>
      </c>
      <c r="E2170" s="48">
        <v>58.0</v>
      </c>
    </row>
    <row r="2171">
      <c r="A2171" s="46" t="s">
        <v>18</v>
      </c>
      <c r="B2171" s="46" t="s">
        <v>15</v>
      </c>
      <c r="C2171" s="48">
        <v>89.5</v>
      </c>
      <c r="D2171" s="49"/>
      <c r="E2171" s="48">
        <v>89.5</v>
      </c>
    </row>
    <row r="2172">
      <c r="A2172" s="46" t="s">
        <v>18</v>
      </c>
      <c r="B2172" s="46" t="s">
        <v>13</v>
      </c>
      <c r="C2172" s="49"/>
      <c r="D2172" s="48">
        <v>66.2</v>
      </c>
      <c r="E2172" s="48">
        <v>66.2</v>
      </c>
    </row>
    <row r="2173">
      <c r="A2173" s="46" t="s">
        <v>18</v>
      </c>
      <c r="B2173" s="46" t="s">
        <v>13</v>
      </c>
      <c r="C2173" s="49"/>
      <c r="D2173" s="48">
        <v>63.4</v>
      </c>
      <c r="E2173" s="48">
        <v>63.4</v>
      </c>
    </row>
    <row r="2174">
      <c r="A2174" s="46" t="s">
        <v>18</v>
      </c>
      <c r="B2174" s="46" t="s">
        <v>14</v>
      </c>
      <c r="C2174" s="48">
        <v>99.0</v>
      </c>
      <c r="D2174" s="48">
        <v>76.9</v>
      </c>
      <c r="E2174" s="48">
        <v>79.9</v>
      </c>
    </row>
    <row r="2175">
      <c r="A2175" s="46" t="s">
        <v>18</v>
      </c>
      <c r="B2175" s="46" t="s">
        <v>13</v>
      </c>
      <c r="C2175" s="49"/>
      <c r="D2175" s="48">
        <v>66.8</v>
      </c>
      <c r="E2175" s="48">
        <v>66.8</v>
      </c>
    </row>
    <row r="2176">
      <c r="A2176" s="46" t="s">
        <v>18</v>
      </c>
      <c r="B2176" s="46" t="s">
        <v>14</v>
      </c>
      <c r="C2176" s="48">
        <v>97.8</v>
      </c>
      <c r="D2176" s="48">
        <v>64.8</v>
      </c>
      <c r="E2176" s="48">
        <v>89.4</v>
      </c>
    </row>
    <row r="2177">
      <c r="A2177" s="46" t="s">
        <v>18</v>
      </c>
      <c r="B2177" s="46" t="s">
        <v>15</v>
      </c>
      <c r="C2177" s="48">
        <v>89.3</v>
      </c>
      <c r="D2177" s="49"/>
      <c r="E2177" s="48">
        <v>89.3</v>
      </c>
    </row>
    <row r="2178">
      <c r="A2178" s="46" t="s">
        <v>18</v>
      </c>
      <c r="B2178" s="46" t="s">
        <v>14</v>
      </c>
      <c r="C2178" s="48">
        <v>103.4</v>
      </c>
      <c r="D2178" s="48">
        <v>72.6</v>
      </c>
      <c r="E2178" s="48">
        <v>93.8</v>
      </c>
    </row>
    <row r="2179">
      <c r="A2179" s="46" t="s">
        <v>18</v>
      </c>
      <c r="B2179" s="46" t="s">
        <v>13</v>
      </c>
      <c r="C2179" s="49"/>
      <c r="D2179" s="48">
        <v>60.3</v>
      </c>
      <c r="E2179" s="48">
        <v>60.3</v>
      </c>
    </row>
    <row r="2180">
      <c r="A2180" s="46" t="s">
        <v>18</v>
      </c>
      <c r="B2180" s="46" t="s">
        <v>14</v>
      </c>
      <c r="C2180" s="48">
        <v>72.2</v>
      </c>
      <c r="D2180" s="48">
        <v>59.0</v>
      </c>
      <c r="E2180" s="48">
        <v>69.5</v>
      </c>
    </row>
    <row r="2181">
      <c r="A2181" s="46" t="s">
        <v>18</v>
      </c>
      <c r="B2181" s="46" t="s">
        <v>13</v>
      </c>
      <c r="C2181" s="49"/>
      <c r="D2181" s="48">
        <v>91.1</v>
      </c>
      <c r="E2181" s="48">
        <v>91.1</v>
      </c>
    </row>
    <row r="2182">
      <c r="A2182" s="46" t="s">
        <v>18</v>
      </c>
      <c r="B2182" s="46" t="s">
        <v>15</v>
      </c>
      <c r="C2182" s="48">
        <v>110.2</v>
      </c>
      <c r="D2182" s="49"/>
      <c r="E2182" s="48">
        <v>110.2</v>
      </c>
    </row>
    <row r="2183">
      <c r="A2183" s="46" t="s">
        <v>18</v>
      </c>
      <c r="B2183" s="46" t="s">
        <v>15</v>
      </c>
      <c r="C2183" s="48">
        <v>121.7</v>
      </c>
      <c r="D2183" s="49"/>
      <c r="E2183" s="48">
        <v>121.7</v>
      </c>
    </row>
    <row r="2184">
      <c r="A2184" s="46" t="s">
        <v>18</v>
      </c>
      <c r="B2184" s="46" t="s">
        <v>15</v>
      </c>
      <c r="C2184" s="48">
        <v>112.2</v>
      </c>
      <c r="D2184" s="49"/>
      <c r="E2184" s="48">
        <v>112.2</v>
      </c>
    </row>
    <row r="2185">
      <c r="A2185" s="46" t="s">
        <v>18</v>
      </c>
      <c r="B2185" s="46" t="s">
        <v>14</v>
      </c>
      <c r="C2185" s="48">
        <v>88.6</v>
      </c>
      <c r="D2185" s="48">
        <v>74.2</v>
      </c>
      <c r="E2185" s="48">
        <v>84.2</v>
      </c>
    </row>
    <row r="2186">
      <c r="A2186" s="46" t="s">
        <v>18</v>
      </c>
      <c r="B2186" s="46" t="s">
        <v>13</v>
      </c>
      <c r="C2186" s="49"/>
      <c r="D2186" s="48">
        <v>84.3</v>
      </c>
      <c r="E2186" s="48">
        <v>84.3</v>
      </c>
    </row>
    <row r="2187">
      <c r="A2187" s="46" t="s">
        <v>18</v>
      </c>
      <c r="B2187" s="46" t="s">
        <v>15</v>
      </c>
      <c r="C2187" s="48">
        <v>126.7</v>
      </c>
      <c r="D2187" s="49"/>
      <c r="E2187" s="48">
        <v>126.7</v>
      </c>
    </row>
    <row r="2188">
      <c r="A2188" s="46" t="s">
        <v>18</v>
      </c>
      <c r="B2188" s="46" t="s">
        <v>13</v>
      </c>
      <c r="C2188" s="49"/>
      <c r="D2188" s="48">
        <v>86.4</v>
      </c>
      <c r="E2188" s="48">
        <v>86.4</v>
      </c>
    </row>
    <row r="2189">
      <c r="A2189" s="46" t="s">
        <v>18</v>
      </c>
      <c r="B2189" s="46" t="s">
        <v>15</v>
      </c>
      <c r="C2189" s="48">
        <v>102.9</v>
      </c>
      <c r="D2189" s="49"/>
      <c r="E2189" s="48">
        <v>102.9</v>
      </c>
    </row>
    <row r="2190">
      <c r="A2190" s="46" t="s">
        <v>18</v>
      </c>
      <c r="B2190" s="46" t="s">
        <v>14</v>
      </c>
      <c r="C2190" s="48">
        <v>110.8</v>
      </c>
      <c r="D2190" s="48">
        <v>80.6</v>
      </c>
      <c r="E2190" s="48">
        <v>100.1</v>
      </c>
    </row>
    <row r="2191">
      <c r="A2191" s="46" t="s">
        <v>18</v>
      </c>
      <c r="B2191" s="46" t="s">
        <v>15</v>
      </c>
      <c r="C2191" s="48">
        <v>92.0</v>
      </c>
      <c r="D2191" s="49"/>
      <c r="E2191" s="48">
        <v>92.0</v>
      </c>
    </row>
    <row r="2192">
      <c r="A2192" s="46" t="s">
        <v>18</v>
      </c>
      <c r="B2192" s="46" t="s">
        <v>13</v>
      </c>
      <c r="C2192" s="49"/>
      <c r="D2192" s="48">
        <v>74.8</v>
      </c>
      <c r="E2192" s="48">
        <v>74.8</v>
      </c>
    </row>
    <row r="2193">
      <c r="A2193" s="46" t="s">
        <v>18</v>
      </c>
      <c r="B2193" s="46" t="s">
        <v>14</v>
      </c>
      <c r="C2193" s="48">
        <v>97.4</v>
      </c>
      <c r="D2193" s="48">
        <v>84.6</v>
      </c>
      <c r="E2193" s="48">
        <v>91.6</v>
      </c>
    </row>
    <row r="2194">
      <c r="A2194" s="46" t="s">
        <v>18</v>
      </c>
      <c r="B2194" s="46" t="s">
        <v>14</v>
      </c>
      <c r="C2194" s="48">
        <v>85.5</v>
      </c>
      <c r="D2194" s="48">
        <v>71.8</v>
      </c>
      <c r="E2194" s="48">
        <v>74.5</v>
      </c>
    </row>
    <row r="2195">
      <c r="A2195" s="46" t="s">
        <v>18</v>
      </c>
      <c r="B2195" s="46" t="s">
        <v>15</v>
      </c>
      <c r="C2195" s="48">
        <v>114.0</v>
      </c>
      <c r="D2195" s="49"/>
      <c r="E2195" s="48">
        <v>114.0</v>
      </c>
    </row>
    <row r="2196">
      <c r="A2196" s="46" t="s">
        <v>18</v>
      </c>
      <c r="B2196" s="46" t="s">
        <v>14</v>
      </c>
      <c r="C2196" s="48">
        <v>105.0</v>
      </c>
      <c r="D2196" s="48">
        <v>84.0</v>
      </c>
      <c r="E2196" s="48">
        <v>94.1</v>
      </c>
    </row>
    <row r="2197">
      <c r="A2197" s="46" t="s">
        <v>18</v>
      </c>
      <c r="B2197" s="46" t="s">
        <v>13</v>
      </c>
      <c r="C2197" s="49"/>
      <c r="D2197" s="48">
        <v>93.2</v>
      </c>
      <c r="E2197" s="48">
        <v>93.2</v>
      </c>
    </row>
    <row r="2198">
      <c r="A2198" s="46" t="s">
        <v>18</v>
      </c>
      <c r="B2198" s="46" t="s">
        <v>13</v>
      </c>
      <c r="C2198" s="49"/>
      <c r="D2198" s="48">
        <v>74.7</v>
      </c>
      <c r="E2198" s="48">
        <v>74.7</v>
      </c>
    </row>
    <row r="2199">
      <c r="A2199" s="46" t="s">
        <v>18</v>
      </c>
      <c r="B2199" s="46" t="s">
        <v>15</v>
      </c>
      <c r="C2199" s="48">
        <v>117.3</v>
      </c>
      <c r="D2199" s="49"/>
      <c r="E2199" s="48">
        <v>117.3</v>
      </c>
    </row>
    <row r="2200">
      <c r="A2200" s="46" t="s">
        <v>18</v>
      </c>
      <c r="B2200" s="46" t="s">
        <v>13</v>
      </c>
      <c r="C2200" s="49"/>
      <c r="D2200" s="48">
        <v>93.0</v>
      </c>
      <c r="E2200" s="48">
        <v>93.0</v>
      </c>
    </row>
    <row r="2201">
      <c r="A2201" s="46" t="s">
        <v>18</v>
      </c>
      <c r="B2201" s="46" t="s">
        <v>15</v>
      </c>
      <c r="C2201" s="48">
        <v>115.5</v>
      </c>
      <c r="D2201" s="49"/>
      <c r="E2201" s="48">
        <v>115.5</v>
      </c>
    </row>
    <row r="2202">
      <c r="A2202" s="46" t="s">
        <v>18</v>
      </c>
      <c r="B2202" s="46" t="s">
        <v>15</v>
      </c>
      <c r="C2202" s="48">
        <v>106.8</v>
      </c>
      <c r="D2202" s="49"/>
      <c r="E2202" s="48">
        <v>106.8</v>
      </c>
    </row>
    <row r="2203">
      <c r="A2203" s="46" t="s">
        <v>18</v>
      </c>
      <c r="B2203" s="46" t="s">
        <v>15</v>
      </c>
      <c r="C2203" s="48">
        <v>117.4</v>
      </c>
      <c r="D2203" s="49"/>
      <c r="E2203" s="48">
        <v>117.4</v>
      </c>
    </row>
    <row r="2204">
      <c r="A2204" s="46" t="s">
        <v>18</v>
      </c>
      <c r="B2204" s="46" t="s">
        <v>15</v>
      </c>
      <c r="C2204" s="48">
        <v>145.6</v>
      </c>
      <c r="D2204" s="49"/>
      <c r="E2204" s="48">
        <v>145.6</v>
      </c>
    </row>
    <row r="2205">
      <c r="A2205" s="46" t="s">
        <v>18</v>
      </c>
      <c r="B2205" s="46" t="s">
        <v>15</v>
      </c>
      <c r="C2205" s="48">
        <v>102.6</v>
      </c>
      <c r="D2205" s="49"/>
      <c r="E2205" s="48">
        <v>102.6</v>
      </c>
    </row>
    <row r="2206">
      <c r="A2206" s="46" t="s">
        <v>18</v>
      </c>
      <c r="B2206" s="46" t="s">
        <v>15</v>
      </c>
      <c r="C2206" s="48">
        <v>119.8</v>
      </c>
      <c r="D2206" s="49"/>
      <c r="E2206" s="48">
        <v>119.8</v>
      </c>
    </row>
    <row r="2207">
      <c r="A2207" s="46" t="s">
        <v>18</v>
      </c>
      <c r="B2207" s="46" t="s">
        <v>14</v>
      </c>
      <c r="C2207" s="48">
        <v>113.4</v>
      </c>
      <c r="D2207" s="48">
        <v>89.3</v>
      </c>
      <c r="E2207" s="48">
        <v>101.0</v>
      </c>
    </row>
    <row r="2208">
      <c r="A2208" s="46" t="s">
        <v>18</v>
      </c>
      <c r="B2208" s="46" t="s">
        <v>13</v>
      </c>
      <c r="C2208" s="49"/>
      <c r="D2208" s="48">
        <v>85.6</v>
      </c>
      <c r="E2208" s="48">
        <v>85.6</v>
      </c>
    </row>
    <row r="2209">
      <c r="A2209" s="46" t="s">
        <v>18</v>
      </c>
      <c r="B2209" s="46" t="s">
        <v>15</v>
      </c>
      <c r="C2209" s="48">
        <v>86.3</v>
      </c>
      <c r="D2209" s="49"/>
      <c r="E2209" s="48">
        <v>86.3</v>
      </c>
    </row>
    <row r="2210">
      <c r="A2210" s="46" t="s">
        <v>18</v>
      </c>
      <c r="B2210" s="46" t="s">
        <v>13</v>
      </c>
      <c r="C2210" s="49"/>
      <c r="D2210" s="48">
        <v>83.1</v>
      </c>
      <c r="E2210" s="48">
        <v>83.1</v>
      </c>
    </row>
    <row r="2211">
      <c r="A2211" s="46" t="s">
        <v>18</v>
      </c>
      <c r="B2211" s="46" t="s">
        <v>14</v>
      </c>
      <c r="C2211" s="48">
        <v>96.7</v>
      </c>
      <c r="D2211" s="48">
        <v>74.8</v>
      </c>
      <c r="E2211" s="48">
        <v>91.0</v>
      </c>
    </row>
    <row r="2212">
      <c r="A2212" s="46" t="s">
        <v>18</v>
      </c>
      <c r="B2212" s="46" t="s">
        <v>13</v>
      </c>
      <c r="C2212" s="49"/>
      <c r="D2212" s="48">
        <v>82.6</v>
      </c>
      <c r="E2212" s="48">
        <v>82.6</v>
      </c>
    </row>
    <row r="2213">
      <c r="A2213" s="46" t="s">
        <v>18</v>
      </c>
      <c r="B2213" s="46" t="s">
        <v>14</v>
      </c>
      <c r="C2213" s="48">
        <v>105.0</v>
      </c>
      <c r="D2213" s="48">
        <v>83.5</v>
      </c>
      <c r="E2213" s="48">
        <v>97.4</v>
      </c>
    </row>
    <row r="2214">
      <c r="A2214" s="46" t="s">
        <v>18</v>
      </c>
      <c r="B2214" s="46" t="s">
        <v>14</v>
      </c>
      <c r="C2214" s="48">
        <v>107.7</v>
      </c>
      <c r="D2214" s="48">
        <v>88.5</v>
      </c>
      <c r="E2214" s="48">
        <v>101.7</v>
      </c>
    </row>
    <row r="2215">
      <c r="A2215" s="46" t="s">
        <v>18</v>
      </c>
      <c r="B2215" s="46" t="s">
        <v>13</v>
      </c>
      <c r="C2215" s="49"/>
      <c r="D2215" s="48">
        <v>87.9</v>
      </c>
      <c r="E2215" s="48">
        <v>87.9</v>
      </c>
    </row>
    <row r="2216">
      <c r="A2216" s="46" t="s">
        <v>18</v>
      </c>
      <c r="B2216" s="46" t="s">
        <v>13</v>
      </c>
      <c r="C2216" s="49"/>
      <c r="D2216" s="48">
        <v>79.2</v>
      </c>
      <c r="E2216" s="48">
        <v>79.2</v>
      </c>
    </row>
    <row r="2217">
      <c r="A2217" s="46" t="s">
        <v>18</v>
      </c>
      <c r="B2217" s="46" t="s">
        <v>14</v>
      </c>
      <c r="C2217" s="48">
        <v>109.0</v>
      </c>
      <c r="D2217" s="48">
        <v>81.0</v>
      </c>
      <c r="E2217" s="48">
        <v>99.1</v>
      </c>
    </row>
    <row r="2218">
      <c r="A2218" s="46" t="s">
        <v>18</v>
      </c>
      <c r="B2218" s="46" t="s">
        <v>14</v>
      </c>
      <c r="C2218" s="48">
        <v>109.7</v>
      </c>
      <c r="D2218" s="48">
        <v>90.9</v>
      </c>
      <c r="E2218" s="48">
        <v>104.6</v>
      </c>
    </row>
    <row r="2219">
      <c r="A2219" s="46" t="s">
        <v>18</v>
      </c>
      <c r="B2219" s="46" t="s">
        <v>14</v>
      </c>
      <c r="C2219" s="48">
        <v>128.6</v>
      </c>
      <c r="D2219" s="48">
        <v>92.6</v>
      </c>
      <c r="E2219" s="48">
        <v>119.2</v>
      </c>
    </row>
    <row r="2220">
      <c r="A2220" s="46" t="s">
        <v>18</v>
      </c>
      <c r="B2220" s="46" t="s">
        <v>14</v>
      </c>
      <c r="C2220" s="48">
        <v>104.1</v>
      </c>
      <c r="D2220" s="48">
        <v>79.9</v>
      </c>
      <c r="E2220" s="48">
        <v>94.2</v>
      </c>
    </row>
    <row r="2221">
      <c r="A2221" s="46" t="s">
        <v>18</v>
      </c>
      <c r="B2221" s="46" t="s">
        <v>15</v>
      </c>
      <c r="C2221" s="48">
        <v>108.4</v>
      </c>
      <c r="D2221" s="49"/>
      <c r="E2221" s="48">
        <v>108.4</v>
      </c>
    </row>
    <row r="2222">
      <c r="A2222" s="46" t="s">
        <v>18</v>
      </c>
      <c r="B2222" s="46" t="s">
        <v>15</v>
      </c>
      <c r="C2222" s="48">
        <v>90.7</v>
      </c>
      <c r="D2222" s="49"/>
      <c r="E2222" s="48">
        <v>90.7</v>
      </c>
    </row>
    <row r="2223">
      <c r="A2223" s="46" t="s">
        <v>18</v>
      </c>
      <c r="B2223" s="46" t="s">
        <v>15</v>
      </c>
      <c r="C2223" s="48">
        <v>104.8</v>
      </c>
      <c r="D2223" s="49"/>
      <c r="E2223" s="48">
        <v>104.8</v>
      </c>
    </row>
    <row r="2224">
      <c r="A2224" s="46" t="s">
        <v>18</v>
      </c>
      <c r="B2224" s="46" t="s">
        <v>15</v>
      </c>
      <c r="C2224" s="48">
        <v>72.6</v>
      </c>
      <c r="D2224" s="49"/>
      <c r="E2224" s="48">
        <v>72.6</v>
      </c>
    </row>
    <row r="2225">
      <c r="A2225" s="46" t="s">
        <v>18</v>
      </c>
      <c r="B2225" s="46" t="s">
        <v>13</v>
      </c>
      <c r="C2225" s="49"/>
      <c r="D2225" s="48">
        <v>63.1</v>
      </c>
      <c r="E2225" s="48">
        <v>63.1</v>
      </c>
    </row>
    <row r="2226">
      <c r="A2226" s="46" t="s">
        <v>18</v>
      </c>
      <c r="B2226" s="46" t="s">
        <v>13</v>
      </c>
      <c r="C2226" s="49"/>
      <c r="D2226" s="48">
        <v>72.5</v>
      </c>
      <c r="E2226" s="48">
        <v>72.5</v>
      </c>
    </row>
    <row r="2227">
      <c r="A2227" s="46" t="s">
        <v>18</v>
      </c>
      <c r="B2227" s="46" t="s">
        <v>13</v>
      </c>
      <c r="C2227" s="49"/>
      <c r="D2227" s="48">
        <v>79.3</v>
      </c>
      <c r="E2227" s="48">
        <v>79.3</v>
      </c>
    </row>
    <row r="2228">
      <c r="A2228" s="46" t="s">
        <v>18</v>
      </c>
      <c r="B2228" s="46" t="s">
        <v>15</v>
      </c>
      <c r="C2228" s="48">
        <v>99.2</v>
      </c>
      <c r="D2228" s="49"/>
      <c r="E2228" s="48">
        <v>99.2</v>
      </c>
    </row>
    <row r="2229">
      <c r="A2229" s="46" t="s">
        <v>18</v>
      </c>
      <c r="B2229" s="46" t="s">
        <v>15</v>
      </c>
      <c r="C2229" s="48">
        <v>118.2</v>
      </c>
      <c r="D2229" s="49"/>
      <c r="E2229" s="48">
        <v>118.2</v>
      </c>
    </row>
    <row r="2230">
      <c r="A2230" s="46" t="s">
        <v>18</v>
      </c>
      <c r="B2230" s="46" t="s">
        <v>14</v>
      </c>
      <c r="C2230" s="48">
        <v>125.5</v>
      </c>
      <c r="D2230" s="48">
        <v>82.6</v>
      </c>
      <c r="E2230" s="48">
        <v>119.3</v>
      </c>
    </row>
    <row r="2231">
      <c r="A2231" s="46" t="s">
        <v>18</v>
      </c>
      <c r="B2231" s="46" t="s">
        <v>14</v>
      </c>
      <c r="C2231" s="48">
        <v>108.5</v>
      </c>
      <c r="D2231" s="48">
        <v>75.3</v>
      </c>
      <c r="E2231" s="48">
        <v>104.8</v>
      </c>
    </row>
    <row r="2232">
      <c r="A2232" s="46" t="s">
        <v>18</v>
      </c>
      <c r="B2232" s="46" t="s">
        <v>15</v>
      </c>
      <c r="C2232" s="48">
        <v>104.7</v>
      </c>
      <c r="D2232" s="49"/>
      <c r="E2232" s="48">
        <v>104.7</v>
      </c>
    </row>
    <row r="2233">
      <c r="A2233" s="46" t="s">
        <v>18</v>
      </c>
      <c r="B2233" s="46" t="s">
        <v>15</v>
      </c>
      <c r="C2233" s="48">
        <v>107.7</v>
      </c>
      <c r="D2233" s="49"/>
      <c r="E2233" s="48">
        <v>107.7</v>
      </c>
    </row>
    <row r="2234">
      <c r="A2234" s="46" t="s">
        <v>18</v>
      </c>
      <c r="B2234" s="46" t="s">
        <v>15</v>
      </c>
      <c r="C2234" s="48">
        <v>111.1</v>
      </c>
      <c r="D2234" s="49"/>
      <c r="E2234" s="48">
        <v>111.1</v>
      </c>
    </row>
    <row r="2235">
      <c r="A2235" s="46" t="s">
        <v>18</v>
      </c>
      <c r="B2235" s="46" t="s">
        <v>15</v>
      </c>
      <c r="C2235" s="48">
        <v>115.1</v>
      </c>
      <c r="D2235" s="49"/>
      <c r="E2235" s="48">
        <v>115.1</v>
      </c>
    </row>
    <row r="2236">
      <c r="A2236" s="46" t="s">
        <v>18</v>
      </c>
      <c r="B2236" s="46" t="s">
        <v>15</v>
      </c>
      <c r="C2236" s="48">
        <v>124.2</v>
      </c>
      <c r="D2236" s="49"/>
      <c r="E2236" s="48">
        <v>124.2</v>
      </c>
    </row>
    <row r="2237">
      <c r="A2237" s="46" t="s">
        <v>18</v>
      </c>
      <c r="B2237" s="46" t="s">
        <v>14</v>
      </c>
      <c r="C2237" s="48">
        <v>109.0</v>
      </c>
      <c r="D2237" s="48">
        <v>92.4</v>
      </c>
      <c r="E2237" s="48">
        <v>100.2</v>
      </c>
    </row>
    <row r="2238">
      <c r="A2238" s="46" t="s">
        <v>18</v>
      </c>
      <c r="B2238" s="46" t="s">
        <v>14</v>
      </c>
      <c r="C2238" s="48">
        <v>121.2</v>
      </c>
      <c r="D2238" s="48">
        <v>88.3</v>
      </c>
      <c r="E2238" s="48">
        <v>116.9</v>
      </c>
    </row>
    <row r="2239">
      <c r="A2239" s="46" t="s">
        <v>18</v>
      </c>
      <c r="B2239" s="46" t="s">
        <v>13</v>
      </c>
      <c r="C2239" s="49"/>
      <c r="D2239" s="48">
        <v>100.8</v>
      </c>
      <c r="E2239" s="48">
        <v>100.8</v>
      </c>
    </row>
    <row r="2240">
      <c r="A2240" s="46" t="s">
        <v>18</v>
      </c>
      <c r="B2240" s="46" t="s">
        <v>14</v>
      </c>
      <c r="C2240" s="48">
        <v>113.5</v>
      </c>
      <c r="D2240" s="48">
        <v>86.8</v>
      </c>
      <c r="E2240" s="48">
        <v>111.6</v>
      </c>
    </row>
    <row r="2241">
      <c r="A2241" s="46" t="s">
        <v>18</v>
      </c>
      <c r="B2241" s="46" t="s">
        <v>14</v>
      </c>
      <c r="C2241" s="48">
        <v>101.6</v>
      </c>
      <c r="D2241" s="48">
        <v>87.3</v>
      </c>
      <c r="E2241" s="48">
        <v>100.4</v>
      </c>
    </row>
    <row r="2242">
      <c r="A2242" s="46" t="s">
        <v>18</v>
      </c>
      <c r="B2242" s="46" t="s">
        <v>13</v>
      </c>
      <c r="C2242" s="49"/>
      <c r="D2242" s="48">
        <v>97.0</v>
      </c>
      <c r="E2242" s="48">
        <v>97.0</v>
      </c>
    </row>
    <row r="2243">
      <c r="A2243" s="46" t="s">
        <v>18</v>
      </c>
      <c r="B2243" s="46" t="s">
        <v>13</v>
      </c>
      <c r="C2243" s="49"/>
      <c r="D2243" s="48">
        <v>88.5</v>
      </c>
      <c r="E2243" s="48">
        <v>88.5</v>
      </c>
    </row>
    <row r="2244">
      <c r="A2244" s="46" t="s">
        <v>18</v>
      </c>
      <c r="B2244" s="46" t="s">
        <v>13</v>
      </c>
      <c r="C2244" s="49"/>
      <c r="D2244" s="48">
        <v>90.0</v>
      </c>
      <c r="E2244" s="48">
        <v>90.0</v>
      </c>
    </row>
    <row r="2245">
      <c r="A2245" s="46" t="s">
        <v>18</v>
      </c>
      <c r="B2245" s="46" t="s">
        <v>15</v>
      </c>
      <c r="C2245" s="48">
        <v>116.8</v>
      </c>
      <c r="D2245" s="49"/>
      <c r="E2245" s="48">
        <v>116.8</v>
      </c>
    </row>
    <row r="2246">
      <c r="A2246" s="46" t="s">
        <v>18</v>
      </c>
      <c r="B2246" s="46" t="s">
        <v>14</v>
      </c>
      <c r="C2246" s="48">
        <v>106.4</v>
      </c>
      <c r="D2246" s="48">
        <v>90.2</v>
      </c>
      <c r="E2246" s="48">
        <v>101.3</v>
      </c>
    </row>
    <row r="2247">
      <c r="A2247" s="46" t="s">
        <v>18</v>
      </c>
      <c r="B2247" s="46" t="s">
        <v>13</v>
      </c>
      <c r="C2247" s="49"/>
      <c r="D2247" s="48">
        <v>93.2</v>
      </c>
      <c r="E2247" s="48">
        <v>93.2</v>
      </c>
    </row>
    <row r="2248">
      <c r="A2248" s="46" t="s">
        <v>18</v>
      </c>
      <c r="B2248" s="46" t="s">
        <v>14</v>
      </c>
      <c r="C2248" s="48">
        <v>103.1</v>
      </c>
      <c r="D2248" s="48">
        <v>85.6</v>
      </c>
      <c r="E2248" s="48">
        <v>99.4</v>
      </c>
    </row>
    <row r="2249">
      <c r="A2249" s="46" t="s">
        <v>18</v>
      </c>
      <c r="B2249" s="46" t="s">
        <v>13</v>
      </c>
      <c r="C2249" s="49"/>
      <c r="D2249" s="48">
        <v>95.4</v>
      </c>
      <c r="E2249" s="48">
        <v>95.4</v>
      </c>
    </row>
    <row r="2250">
      <c r="A2250" s="46" t="s">
        <v>18</v>
      </c>
      <c r="B2250" s="46" t="s">
        <v>14</v>
      </c>
      <c r="C2250" s="48">
        <v>109.0</v>
      </c>
      <c r="D2250" s="48">
        <v>96.9</v>
      </c>
      <c r="E2250" s="48">
        <v>106.9</v>
      </c>
    </row>
    <row r="2251">
      <c r="A2251" s="46" t="s">
        <v>18</v>
      </c>
      <c r="B2251" s="46" t="s">
        <v>15</v>
      </c>
      <c r="C2251" s="48">
        <v>111.7</v>
      </c>
      <c r="D2251" s="49"/>
      <c r="E2251" s="48">
        <v>111.7</v>
      </c>
    </row>
    <row r="2252">
      <c r="A2252" s="46" t="s">
        <v>18</v>
      </c>
      <c r="B2252" s="46" t="s">
        <v>13</v>
      </c>
      <c r="C2252" s="49"/>
      <c r="D2252" s="48">
        <v>83.3</v>
      </c>
      <c r="E2252" s="48">
        <v>83.3</v>
      </c>
    </row>
    <row r="2253">
      <c r="A2253" s="46" t="s">
        <v>18</v>
      </c>
      <c r="B2253" s="46" t="s">
        <v>13</v>
      </c>
      <c r="C2253" s="49"/>
      <c r="D2253" s="48">
        <v>82.1</v>
      </c>
      <c r="E2253" s="48">
        <v>82.1</v>
      </c>
    </row>
    <row r="2254">
      <c r="A2254" s="46" t="s">
        <v>18</v>
      </c>
      <c r="B2254" s="46" t="s">
        <v>13</v>
      </c>
      <c r="C2254" s="49"/>
      <c r="D2254" s="48">
        <v>88.0</v>
      </c>
      <c r="E2254" s="48">
        <v>88.0</v>
      </c>
    </row>
    <row r="2255">
      <c r="A2255" s="46" t="s">
        <v>18</v>
      </c>
      <c r="B2255" s="46" t="s">
        <v>15</v>
      </c>
      <c r="C2255" s="48">
        <v>114.6</v>
      </c>
      <c r="D2255" s="49"/>
      <c r="E2255" s="48">
        <v>114.6</v>
      </c>
    </row>
    <row r="2256">
      <c r="A2256" s="46" t="s">
        <v>18</v>
      </c>
      <c r="B2256" s="46" t="s">
        <v>13</v>
      </c>
      <c r="C2256" s="49"/>
      <c r="D2256" s="48">
        <v>89.1</v>
      </c>
      <c r="E2256" s="48">
        <v>89.1</v>
      </c>
    </row>
    <row r="2257">
      <c r="A2257" s="46" t="s">
        <v>18</v>
      </c>
      <c r="B2257" s="46" t="s">
        <v>13</v>
      </c>
      <c r="C2257" s="49"/>
      <c r="D2257" s="48">
        <v>93.8</v>
      </c>
      <c r="E2257" s="48">
        <v>93.8</v>
      </c>
    </row>
    <row r="2258">
      <c r="A2258" s="46" t="s">
        <v>18</v>
      </c>
      <c r="B2258" s="46" t="s">
        <v>13</v>
      </c>
      <c r="C2258" s="49"/>
      <c r="D2258" s="48">
        <v>84.3</v>
      </c>
      <c r="E2258" s="48">
        <v>84.3</v>
      </c>
    </row>
    <row r="2259">
      <c r="A2259" s="46" t="s">
        <v>18</v>
      </c>
      <c r="B2259" s="46" t="s">
        <v>14</v>
      </c>
      <c r="C2259" s="48">
        <v>108.8</v>
      </c>
      <c r="D2259" s="48">
        <v>83.1</v>
      </c>
      <c r="E2259" s="48">
        <v>105.5</v>
      </c>
    </row>
    <row r="2260">
      <c r="A2260" s="46" t="s">
        <v>18</v>
      </c>
      <c r="B2260" s="46" t="s">
        <v>14</v>
      </c>
      <c r="C2260" s="48">
        <v>112.9</v>
      </c>
      <c r="D2260" s="48">
        <v>89.9</v>
      </c>
      <c r="E2260" s="48">
        <v>105.5</v>
      </c>
    </row>
    <row r="2261">
      <c r="A2261" s="46" t="s">
        <v>18</v>
      </c>
      <c r="B2261" s="46" t="s">
        <v>14</v>
      </c>
      <c r="C2261" s="48">
        <v>117.6</v>
      </c>
      <c r="D2261" s="48">
        <v>87.2</v>
      </c>
      <c r="E2261" s="48">
        <v>102.5</v>
      </c>
    </row>
    <row r="2262">
      <c r="A2262" s="46" t="s">
        <v>18</v>
      </c>
      <c r="B2262" s="46" t="s">
        <v>13</v>
      </c>
      <c r="C2262" s="49"/>
      <c r="D2262" s="48">
        <v>92.1</v>
      </c>
      <c r="E2262" s="48">
        <v>92.1</v>
      </c>
    </row>
    <row r="2263">
      <c r="A2263" s="46" t="s">
        <v>18</v>
      </c>
      <c r="B2263" s="46" t="s">
        <v>14</v>
      </c>
      <c r="C2263" s="48">
        <v>116.8</v>
      </c>
      <c r="D2263" s="48">
        <v>103.8</v>
      </c>
      <c r="E2263" s="48">
        <v>116.6</v>
      </c>
    </row>
    <row r="2264">
      <c r="A2264" s="46" t="s">
        <v>18</v>
      </c>
      <c r="B2264" s="46" t="s">
        <v>14</v>
      </c>
      <c r="C2264" s="48">
        <v>115.4</v>
      </c>
      <c r="D2264" s="48">
        <v>88.8</v>
      </c>
      <c r="E2264" s="48">
        <v>111.4</v>
      </c>
    </row>
    <row r="2265">
      <c r="A2265" s="46" t="s">
        <v>18</v>
      </c>
      <c r="B2265" s="46" t="s">
        <v>14</v>
      </c>
      <c r="C2265" s="48">
        <v>117.4</v>
      </c>
      <c r="D2265" s="48">
        <v>102.3</v>
      </c>
      <c r="E2265" s="48">
        <v>117.1</v>
      </c>
    </row>
    <row r="2266">
      <c r="A2266" s="46" t="s">
        <v>18</v>
      </c>
      <c r="B2266" s="46" t="s">
        <v>13</v>
      </c>
      <c r="C2266" s="49"/>
      <c r="D2266" s="48">
        <v>85.2</v>
      </c>
      <c r="E2266" s="48">
        <v>85.2</v>
      </c>
    </row>
    <row r="2267">
      <c r="A2267" s="46" t="s">
        <v>18</v>
      </c>
      <c r="B2267" s="46" t="s">
        <v>13</v>
      </c>
      <c r="C2267" s="49"/>
      <c r="D2267" s="48">
        <v>89.9</v>
      </c>
      <c r="E2267" s="48">
        <v>89.9</v>
      </c>
    </row>
    <row r="2268">
      <c r="A2268" s="46" t="s">
        <v>18</v>
      </c>
      <c r="B2268" s="46" t="s">
        <v>13</v>
      </c>
      <c r="C2268" s="49"/>
      <c r="D2268" s="48">
        <v>81.2</v>
      </c>
      <c r="E2268" s="48">
        <v>81.2</v>
      </c>
    </row>
    <row r="2269">
      <c r="A2269" s="46" t="s">
        <v>18</v>
      </c>
      <c r="B2269" s="46" t="s">
        <v>13</v>
      </c>
      <c r="C2269" s="49"/>
      <c r="D2269" s="48">
        <v>99.8</v>
      </c>
      <c r="E2269" s="48">
        <v>99.8</v>
      </c>
    </row>
    <row r="2270">
      <c r="A2270" s="46" t="s">
        <v>18</v>
      </c>
      <c r="B2270" s="46" t="s">
        <v>14</v>
      </c>
      <c r="C2270" s="48">
        <v>113.9</v>
      </c>
      <c r="D2270" s="48">
        <v>90.9</v>
      </c>
      <c r="E2270" s="48">
        <v>110.6</v>
      </c>
    </row>
    <row r="2271">
      <c r="A2271" s="46" t="s">
        <v>18</v>
      </c>
      <c r="B2271" s="46" t="s">
        <v>15</v>
      </c>
      <c r="C2271" s="48">
        <v>119.8</v>
      </c>
      <c r="D2271" s="49"/>
      <c r="E2271" s="48">
        <v>119.8</v>
      </c>
    </row>
    <row r="2272">
      <c r="A2272" s="46" t="s">
        <v>18</v>
      </c>
      <c r="B2272" s="46" t="s">
        <v>15</v>
      </c>
      <c r="C2272" s="48">
        <v>113.7</v>
      </c>
      <c r="D2272" s="49"/>
      <c r="E2272" s="48">
        <v>113.7</v>
      </c>
    </row>
    <row r="2273">
      <c r="A2273" s="46" t="s">
        <v>18</v>
      </c>
      <c r="B2273" s="46" t="s">
        <v>14</v>
      </c>
      <c r="C2273" s="48">
        <v>102.8</v>
      </c>
      <c r="D2273" s="48">
        <v>92.2</v>
      </c>
      <c r="E2273" s="48">
        <v>93.1</v>
      </c>
    </row>
    <row r="2274">
      <c r="A2274" s="46" t="s">
        <v>18</v>
      </c>
      <c r="B2274" s="46" t="s">
        <v>14</v>
      </c>
      <c r="C2274" s="48">
        <v>113.7</v>
      </c>
      <c r="D2274" s="48">
        <v>93.7</v>
      </c>
      <c r="E2274" s="48">
        <v>107.5</v>
      </c>
    </row>
    <row r="2275">
      <c r="A2275" s="46" t="s">
        <v>18</v>
      </c>
      <c r="B2275" s="46" t="s">
        <v>13</v>
      </c>
      <c r="C2275" s="49"/>
      <c r="D2275" s="48">
        <v>80.2</v>
      </c>
      <c r="E2275" s="48">
        <v>80.2</v>
      </c>
    </row>
    <row r="2276">
      <c r="A2276" s="46" t="s">
        <v>18</v>
      </c>
      <c r="B2276" s="46" t="s">
        <v>13</v>
      </c>
      <c r="C2276" s="49"/>
      <c r="D2276" s="48">
        <v>88.0</v>
      </c>
      <c r="E2276" s="48">
        <v>88.0</v>
      </c>
    </row>
    <row r="2277">
      <c r="A2277" s="46" t="s">
        <v>18</v>
      </c>
      <c r="B2277" s="46" t="s">
        <v>14</v>
      </c>
      <c r="C2277" s="48">
        <v>119.8</v>
      </c>
      <c r="D2277" s="48">
        <v>87.5</v>
      </c>
      <c r="E2277" s="48">
        <v>103.7</v>
      </c>
    </row>
    <row r="2278">
      <c r="A2278" s="46" t="s">
        <v>18</v>
      </c>
      <c r="B2278" s="46" t="s">
        <v>14</v>
      </c>
      <c r="C2278" s="48">
        <v>117.0</v>
      </c>
      <c r="D2278" s="48">
        <v>96.8</v>
      </c>
      <c r="E2278" s="48">
        <v>112.1</v>
      </c>
    </row>
    <row r="2279">
      <c r="A2279" s="46" t="s">
        <v>18</v>
      </c>
      <c r="B2279" s="46" t="s">
        <v>15</v>
      </c>
      <c r="C2279" s="48">
        <v>115.1</v>
      </c>
      <c r="D2279" s="49"/>
      <c r="E2279" s="48">
        <v>115.1</v>
      </c>
    </row>
    <row r="2280">
      <c r="A2280" s="46" t="s">
        <v>18</v>
      </c>
      <c r="B2280" s="46" t="s">
        <v>15</v>
      </c>
      <c r="C2280" s="48">
        <v>115.5</v>
      </c>
      <c r="D2280" s="49"/>
      <c r="E2280" s="48">
        <v>115.5</v>
      </c>
    </row>
    <row r="2281">
      <c r="A2281" s="46" t="s">
        <v>18</v>
      </c>
      <c r="B2281" s="46" t="s">
        <v>13</v>
      </c>
      <c r="C2281" s="49"/>
      <c r="D2281" s="48">
        <v>96.7</v>
      </c>
      <c r="E2281" s="48">
        <v>96.7</v>
      </c>
    </row>
    <row r="2282">
      <c r="A2282" s="46" t="s">
        <v>18</v>
      </c>
      <c r="B2282" s="46" t="s">
        <v>15</v>
      </c>
      <c r="C2282" s="48">
        <v>125.4</v>
      </c>
      <c r="D2282" s="49"/>
      <c r="E2282" s="48">
        <v>125.4</v>
      </c>
    </row>
    <row r="2283">
      <c r="A2283" s="46" t="s">
        <v>18</v>
      </c>
      <c r="B2283" s="46" t="s">
        <v>14</v>
      </c>
      <c r="C2283" s="48">
        <v>106.4</v>
      </c>
      <c r="D2283" s="48">
        <v>86.0</v>
      </c>
      <c r="E2283" s="48">
        <v>101.1</v>
      </c>
    </row>
    <row r="2284">
      <c r="A2284" s="46" t="s">
        <v>18</v>
      </c>
      <c r="B2284" s="46" t="s">
        <v>14</v>
      </c>
      <c r="C2284" s="48">
        <v>111.6</v>
      </c>
      <c r="D2284" s="48">
        <v>96.1</v>
      </c>
      <c r="E2284" s="48">
        <v>104.8</v>
      </c>
    </row>
    <row r="2285">
      <c r="A2285" s="46" t="s">
        <v>18</v>
      </c>
      <c r="B2285" s="46" t="s">
        <v>15</v>
      </c>
      <c r="C2285" s="48">
        <v>119.5</v>
      </c>
      <c r="D2285" s="49"/>
      <c r="E2285" s="48">
        <v>119.5</v>
      </c>
    </row>
    <row r="2286">
      <c r="A2286" s="46" t="s">
        <v>18</v>
      </c>
      <c r="B2286" s="46" t="s">
        <v>15</v>
      </c>
      <c r="C2286" s="48">
        <v>112.7</v>
      </c>
      <c r="D2286" s="49"/>
      <c r="E2286" s="48">
        <v>112.7</v>
      </c>
    </row>
    <row r="2287">
      <c r="A2287" s="46" t="s">
        <v>18</v>
      </c>
      <c r="B2287" s="46" t="s">
        <v>15</v>
      </c>
      <c r="C2287" s="48">
        <v>133.9</v>
      </c>
      <c r="D2287" s="49"/>
      <c r="E2287" s="48">
        <v>133.9</v>
      </c>
    </row>
    <row r="2288">
      <c r="A2288" s="46" t="s">
        <v>18</v>
      </c>
      <c r="B2288" s="46" t="s">
        <v>13</v>
      </c>
      <c r="C2288" s="49"/>
      <c r="D2288" s="48">
        <v>89.9</v>
      </c>
      <c r="E2288" s="48">
        <v>89.9</v>
      </c>
    </row>
    <row r="2289">
      <c r="A2289" s="46" t="s">
        <v>18</v>
      </c>
      <c r="B2289" s="46" t="s">
        <v>15</v>
      </c>
      <c r="C2289" s="48">
        <v>119.3</v>
      </c>
      <c r="D2289" s="49"/>
      <c r="E2289" s="48">
        <v>119.3</v>
      </c>
    </row>
    <row r="2290">
      <c r="A2290" s="46" t="s">
        <v>18</v>
      </c>
      <c r="B2290" s="46" t="s">
        <v>15</v>
      </c>
      <c r="C2290" s="48">
        <v>112.8</v>
      </c>
      <c r="D2290" s="49"/>
      <c r="E2290" s="48">
        <v>112.8</v>
      </c>
    </row>
    <row r="2291">
      <c r="A2291" s="46" t="s">
        <v>18</v>
      </c>
      <c r="B2291" s="46" t="s">
        <v>15</v>
      </c>
      <c r="C2291" s="48">
        <v>140.2</v>
      </c>
      <c r="D2291" s="49"/>
      <c r="E2291" s="48">
        <v>140.2</v>
      </c>
    </row>
    <row r="2292">
      <c r="A2292" s="46" t="s">
        <v>18</v>
      </c>
      <c r="B2292" s="46" t="s">
        <v>14</v>
      </c>
      <c r="C2292" s="48">
        <v>127.9</v>
      </c>
      <c r="D2292" s="48">
        <v>97.6</v>
      </c>
      <c r="E2292" s="48">
        <v>121.0</v>
      </c>
    </row>
    <row r="2293">
      <c r="A2293" s="46" t="s">
        <v>18</v>
      </c>
      <c r="B2293" s="46" t="s">
        <v>14</v>
      </c>
      <c r="C2293" s="48">
        <v>84.0</v>
      </c>
      <c r="D2293" s="48">
        <v>78.5</v>
      </c>
      <c r="E2293" s="48">
        <v>79.2</v>
      </c>
    </row>
    <row r="2294">
      <c r="A2294" s="46" t="s">
        <v>18</v>
      </c>
      <c r="B2294" s="46" t="s">
        <v>14</v>
      </c>
      <c r="C2294" s="48">
        <v>122.8</v>
      </c>
      <c r="D2294" s="48">
        <v>95.0</v>
      </c>
      <c r="E2294" s="48">
        <v>114.0</v>
      </c>
    </row>
    <row r="2295">
      <c r="A2295" s="46" t="s">
        <v>18</v>
      </c>
      <c r="B2295" s="46" t="s">
        <v>14</v>
      </c>
      <c r="C2295" s="48">
        <v>130.8</v>
      </c>
      <c r="D2295" s="48">
        <v>99.2</v>
      </c>
      <c r="E2295" s="48">
        <v>128.4</v>
      </c>
    </row>
    <row r="2296">
      <c r="A2296" s="46" t="s">
        <v>18</v>
      </c>
      <c r="B2296" s="46" t="s">
        <v>14</v>
      </c>
      <c r="C2296" s="48">
        <v>118.1</v>
      </c>
      <c r="D2296" s="48">
        <v>79.8</v>
      </c>
      <c r="E2296" s="48">
        <v>115.7</v>
      </c>
    </row>
    <row r="2297">
      <c r="A2297" s="46" t="s">
        <v>18</v>
      </c>
      <c r="B2297" s="46" t="s">
        <v>15</v>
      </c>
      <c r="C2297" s="48">
        <v>120.9</v>
      </c>
      <c r="D2297" s="49"/>
      <c r="E2297" s="48">
        <v>120.9</v>
      </c>
    </row>
    <row r="2298">
      <c r="A2298" s="46" t="s">
        <v>18</v>
      </c>
      <c r="B2298" s="46" t="s">
        <v>14</v>
      </c>
      <c r="C2298" s="48">
        <v>120.5</v>
      </c>
      <c r="D2298" s="48">
        <v>95.0</v>
      </c>
      <c r="E2298" s="48">
        <v>112.8</v>
      </c>
    </row>
    <row r="2299">
      <c r="A2299" s="46" t="s">
        <v>18</v>
      </c>
      <c r="B2299" s="46" t="s">
        <v>14</v>
      </c>
      <c r="C2299" s="48">
        <v>110.7</v>
      </c>
      <c r="D2299" s="48">
        <v>94.8</v>
      </c>
      <c r="E2299" s="48">
        <v>97.4</v>
      </c>
    </row>
    <row r="2300">
      <c r="A2300" s="46" t="s">
        <v>18</v>
      </c>
      <c r="B2300" s="46" t="s">
        <v>14</v>
      </c>
      <c r="C2300" s="48">
        <v>127.1</v>
      </c>
      <c r="D2300" s="48">
        <v>96.4</v>
      </c>
      <c r="E2300" s="48">
        <v>125.6</v>
      </c>
    </row>
    <row r="2301">
      <c r="A2301" s="46" t="s">
        <v>18</v>
      </c>
      <c r="B2301" s="46" t="s">
        <v>15</v>
      </c>
      <c r="C2301" s="48">
        <v>119.7</v>
      </c>
      <c r="D2301" s="49"/>
      <c r="E2301" s="48">
        <v>119.7</v>
      </c>
    </row>
    <row r="2302">
      <c r="A2302" s="46" t="s">
        <v>18</v>
      </c>
      <c r="B2302" s="46" t="s">
        <v>13</v>
      </c>
      <c r="C2302" s="49"/>
      <c r="D2302" s="48">
        <v>85.9</v>
      </c>
      <c r="E2302" s="48">
        <v>85.9</v>
      </c>
    </row>
    <row r="2303">
      <c r="A2303" s="46" t="s">
        <v>18</v>
      </c>
      <c r="B2303" s="46" t="s">
        <v>15</v>
      </c>
      <c r="C2303" s="48">
        <v>100.6</v>
      </c>
      <c r="D2303" s="49"/>
      <c r="E2303" s="48">
        <v>100.6</v>
      </c>
    </row>
    <row r="2304">
      <c r="A2304" s="46" t="s">
        <v>18</v>
      </c>
      <c r="B2304" s="46" t="s">
        <v>13</v>
      </c>
      <c r="C2304" s="49"/>
      <c r="D2304" s="48">
        <v>75.4</v>
      </c>
      <c r="E2304" s="48">
        <v>75.4</v>
      </c>
    </row>
    <row r="2305">
      <c r="A2305" s="46" t="s">
        <v>18</v>
      </c>
      <c r="B2305" s="46" t="s">
        <v>13</v>
      </c>
      <c r="C2305" s="49"/>
      <c r="D2305" s="48">
        <v>85.5</v>
      </c>
      <c r="E2305" s="48">
        <v>85.5</v>
      </c>
    </row>
    <row r="2306">
      <c r="A2306" s="46" t="s">
        <v>18</v>
      </c>
      <c r="B2306" s="46" t="s">
        <v>13</v>
      </c>
      <c r="C2306" s="49"/>
      <c r="D2306" s="48">
        <v>92.6</v>
      </c>
      <c r="E2306" s="48">
        <v>92.6</v>
      </c>
    </row>
    <row r="2307">
      <c r="A2307" s="46" t="s">
        <v>18</v>
      </c>
      <c r="B2307" s="46" t="s">
        <v>14</v>
      </c>
      <c r="C2307" s="48">
        <v>119.8</v>
      </c>
      <c r="D2307" s="48">
        <v>95.2</v>
      </c>
      <c r="E2307" s="48">
        <v>103.6</v>
      </c>
    </row>
    <row r="2308">
      <c r="A2308" s="46" t="s">
        <v>18</v>
      </c>
      <c r="B2308" s="46" t="s">
        <v>13</v>
      </c>
      <c r="C2308" s="49"/>
      <c r="D2308" s="48">
        <v>87.9</v>
      </c>
      <c r="E2308" s="48">
        <v>87.9</v>
      </c>
    </row>
    <row r="2309">
      <c r="A2309" s="46" t="s">
        <v>18</v>
      </c>
      <c r="B2309" s="46" t="s">
        <v>15</v>
      </c>
      <c r="C2309" s="48">
        <v>108.9</v>
      </c>
      <c r="D2309" s="49"/>
      <c r="E2309" s="48">
        <v>108.9</v>
      </c>
    </row>
    <row r="2310">
      <c r="A2310" s="46" t="s">
        <v>18</v>
      </c>
      <c r="B2310" s="46" t="s">
        <v>13</v>
      </c>
      <c r="C2310" s="49"/>
      <c r="D2310" s="48">
        <v>91.3</v>
      </c>
      <c r="E2310" s="48">
        <v>91.3</v>
      </c>
    </row>
    <row r="2311">
      <c r="A2311" s="46" t="s">
        <v>18</v>
      </c>
      <c r="B2311" s="46" t="s">
        <v>14</v>
      </c>
      <c r="C2311" s="48">
        <v>92.6</v>
      </c>
      <c r="D2311" s="48">
        <v>79.8</v>
      </c>
      <c r="E2311" s="48">
        <v>88.1</v>
      </c>
    </row>
    <row r="2312">
      <c r="A2312" s="46" t="s">
        <v>18</v>
      </c>
      <c r="B2312" s="46" t="s">
        <v>13</v>
      </c>
      <c r="C2312" s="49"/>
      <c r="D2312" s="48">
        <v>73.4</v>
      </c>
      <c r="E2312" s="48">
        <v>73.4</v>
      </c>
    </row>
    <row r="2313">
      <c r="A2313" s="46" t="s">
        <v>18</v>
      </c>
      <c r="B2313" s="46" t="s">
        <v>14</v>
      </c>
      <c r="C2313" s="48">
        <v>105.7</v>
      </c>
      <c r="D2313" s="48">
        <v>82.3</v>
      </c>
      <c r="E2313" s="48">
        <v>99.7</v>
      </c>
    </row>
    <row r="2314">
      <c r="A2314" s="46" t="s">
        <v>18</v>
      </c>
      <c r="B2314" s="46" t="s">
        <v>14</v>
      </c>
      <c r="C2314" s="48">
        <v>113.4</v>
      </c>
      <c r="D2314" s="48">
        <v>73.5</v>
      </c>
      <c r="E2314" s="48">
        <v>110.0</v>
      </c>
    </row>
    <row r="2315">
      <c r="A2315" s="46" t="s">
        <v>18</v>
      </c>
      <c r="B2315" s="46" t="s">
        <v>13</v>
      </c>
      <c r="C2315" s="49"/>
      <c r="D2315" s="48">
        <v>79.0</v>
      </c>
      <c r="E2315" s="48">
        <v>79.0</v>
      </c>
    </row>
    <row r="2316">
      <c r="A2316" s="46" t="s">
        <v>18</v>
      </c>
      <c r="B2316" s="46" t="s">
        <v>13</v>
      </c>
      <c r="C2316" s="49"/>
      <c r="D2316" s="48">
        <v>88.1</v>
      </c>
      <c r="E2316" s="48">
        <v>88.1</v>
      </c>
    </row>
    <row r="2317">
      <c r="A2317" s="46" t="s">
        <v>18</v>
      </c>
      <c r="B2317" s="46" t="s">
        <v>13</v>
      </c>
      <c r="C2317" s="49"/>
      <c r="D2317" s="48">
        <v>93.4</v>
      </c>
      <c r="E2317" s="48">
        <v>93.4</v>
      </c>
    </row>
    <row r="2318">
      <c r="A2318" s="46" t="s">
        <v>18</v>
      </c>
      <c r="B2318" s="46" t="s">
        <v>14</v>
      </c>
      <c r="C2318" s="48">
        <v>133.2</v>
      </c>
      <c r="D2318" s="48">
        <v>87.7</v>
      </c>
      <c r="E2318" s="48">
        <v>126.3</v>
      </c>
    </row>
    <row r="2319">
      <c r="A2319" s="46" t="s">
        <v>18</v>
      </c>
      <c r="B2319" s="46" t="s">
        <v>14</v>
      </c>
      <c r="C2319" s="48">
        <v>119.6</v>
      </c>
      <c r="D2319" s="48">
        <v>97.2</v>
      </c>
      <c r="E2319" s="48">
        <v>115.4</v>
      </c>
    </row>
    <row r="2320">
      <c r="A2320" s="46" t="s">
        <v>18</v>
      </c>
      <c r="B2320" s="46" t="s">
        <v>13</v>
      </c>
      <c r="C2320" s="49"/>
      <c r="D2320" s="48">
        <v>87.6</v>
      </c>
      <c r="E2320" s="48">
        <v>87.6</v>
      </c>
    </row>
    <row r="2321">
      <c r="A2321" s="46" t="s">
        <v>18</v>
      </c>
      <c r="B2321" s="46" t="s">
        <v>15</v>
      </c>
      <c r="C2321" s="48">
        <v>127.5</v>
      </c>
      <c r="D2321" s="49"/>
      <c r="E2321" s="48">
        <v>127.5</v>
      </c>
    </row>
    <row r="2322">
      <c r="A2322" s="46" t="s">
        <v>18</v>
      </c>
      <c r="B2322" s="46" t="s">
        <v>14</v>
      </c>
      <c r="C2322" s="48">
        <v>125.2</v>
      </c>
      <c r="D2322" s="48">
        <v>88.9</v>
      </c>
      <c r="E2322" s="48">
        <v>106.4</v>
      </c>
    </row>
    <row r="2323">
      <c r="A2323" s="46" t="s">
        <v>18</v>
      </c>
      <c r="B2323" s="46" t="s">
        <v>13</v>
      </c>
      <c r="C2323" s="49"/>
      <c r="D2323" s="48">
        <v>91.3</v>
      </c>
      <c r="E2323" s="48">
        <v>91.3</v>
      </c>
    </row>
    <row r="2324">
      <c r="A2324" s="46" t="s">
        <v>18</v>
      </c>
      <c r="B2324" s="46" t="s">
        <v>13</v>
      </c>
      <c r="C2324" s="49"/>
      <c r="D2324" s="48">
        <v>91.7</v>
      </c>
      <c r="E2324" s="48">
        <v>91.7</v>
      </c>
    </row>
    <row r="2325">
      <c r="A2325" s="46" t="s">
        <v>18</v>
      </c>
      <c r="B2325" s="46" t="s">
        <v>14</v>
      </c>
      <c r="C2325" s="48">
        <v>116.3</v>
      </c>
      <c r="D2325" s="48">
        <v>89.2</v>
      </c>
      <c r="E2325" s="48">
        <v>110.9</v>
      </c>
    </row>
    <row r="2326">
      <c r="A2326" s="46" t="s">
        <v>18</v>
      </c>
      <c r="B2326" s="46" t="s">
        <v>15</v>
      </c>
      <c r="C2326" s="48">
        <v>111.8</v>
      </c>
      <c r="D2326" s="49"/>
      <c r="E2326" s="48">
        <v>111.8</v>
      </c>
    </row>
    <row r="2327">
      <c r="A2327" s="46" t="s">
        <v>18</v>
      </c>
      <c r="B2327" s="46" t="s">
        <v>13</v>
      </c>
      <c r="C2327" s="49"/>
      <c r="D2327" s="48">
        <v>83.6</v>
      </c>
      <c r="E2327" s="48">
        <v>83.6</v>
      </c>
    </row>
    <row r="2328">
      <c r="A2328" s="46" t="s">
        <v>18</v>
      </c>
      <c r="B2328" s="46" t="s">
        <v>13</v>
      </c>
      <c r="C2328" s="49"/>
      <c r="D2328" s="48">
        <v>91.8</v>
      </c>
      <c r="E2328" s="48">
        <v>91.8</v>
      </c>
    </row>
    <row r="2329">
      <c r="A2329" s="46" t="s">
        <v>18</v>
      </c>
      <c r="B2329" s="46" t="s">
        <v>13</v>
      </c>
      <c r="C2329" s="49"/>
      <c r="D2329" s="48">
        <v>89.5</v>
      </c>
      <c r="E2329" s="48">
        <v>89.5</v>
      </c>
    </row>
    <row r="2330">
      <c r="A2330" s="46" t="s">
        <v>18</v>
      </c>
      <c r="B2330" s="46" t="s">
        <v>15</v>
      </c>
      <c r="C2330" s="48">
        <v>119.3</v>
      </c>
      <c r="D2330" s="49"/>
      <c r="E2330" s="48">
        <v>119.3</v>
      </c>
    </row>
    <row r="2331">
      <c r="A2331" s="46" t="s">
        <v>18</v>
      </c>
      <c r="B2331" s="46" t="s">
        <v>15</v>
      </c>
      <c r="C2331" s="48">
        <v>120.7</v>
      </c>
      <c r="D2331" s="49"/>
      <c r="E2331" s="48">
        <v>120.7</v>
      </c>
    </row>
    <row r="2332">
      <c r="A2332" s="46" t="s">
        <v>18</v>
      </c>
      <c r="B2332" s="46" t="s">
        <v>15</v>
      </c>
      <c r="C2332" s="48">
        <v>118.2</v>
      </c>
      <c r="D2332" s="49"/>
      <c r="E2332" s="48">
        <v>118.2</v>
      </c>
    </row>
    <row r="2333">
      <c r="A2333" s="46" t="s">
        <v>18</v>
      </c>
      <c r="B2333" s="46" t="s">
        <v>14</v>
      </c>
      <c r="C2333" s="48">
        <v>114.6</v>
      </c>
      <c r="D2333" s="48">
        <v>90.4</v>
      </c>
      <c r="E2333" s="48">
        <v>109.1</v>
      </c>
    </row>
    <row r="2334">
      <c r="A2334" s="46" t="s">
        <v>18</v>
      </c>
      <c r="B2334" s="46" t="s">
        <v>13</v>
      </c>
      <c r="C2334" s="49"/>
      <c r="D2334" s="48">
        <v>94.1</v>
      </c>
      <c r="E2334" s="48">
        <v>94.1</v>
      </c>
    </row>
    <row r="2335">
      <c r="A2335" s="46" t="s">
        <v>18</v>
      </c>
      <c r="B2335" s="46" t="s">
        <v>15</v>
      </c>
      <c r="C2335" s="48">
        <v>116.0</v>
      </c>
      <c r="D2335" s="49"/>
      <c r="E2335" s="48">
        <v>116.0</v>
      </c>
    </row>
    <row r="2336">
      <c r="A2336" s="46" t="s">
        <v>18</v>
      </c>
      <c r="B2336" s="46" t="s">
        <v>14</v>
      </c>
      <c r="C2336" s="48">
        <v>122.7</v>
      </c>
      <c r="D2336" s="48">
        <v>91.8</v>
      </c>
      <c r="E2336" s="48">
        <v>114.4</v>
      </c>
    </row>
    <row r="2337">
      <c r="A2337" s="46" t="s">
        <v>18</v>
      </c>
      <c r="B2337" s="46" t="s">
        <v>14</v>
      </c>
      <c r="C2337" s="48">
        <v>117.8</v>
      </c>
      <c r="D2337" s="48">
        <v>91.6</v>
      </c>
      <c r="E2337" s="48">
        <v>113.1</v>
      </c>
    </row>
    <row r="2338">
      <c r="A2338" s="46" t="s">
        <v>18</v>
      </c>
      <c r="B2338" s="46" t="s">
        <v>15</v>
      </c>
      <c r="C2338" s="48">
        <v>130.9</v>
      </c>
      <c r="D2338" s="49"/>
      <c r="E2338" s="48">
        <v>130.9</v>
      </c>
    </row>
    <row r="2339">
      <c r="A2339" s="46" t="s">
        <v>18</v>
      </c>
      <c r="B2339" s="46" t="s">
        <v>13</v>
      </c>
      <c r="C2339" s="49"/>
      <c r="D2339" s="48">
        <v>89.7</v>
      </c>
      <c r="E2339" s="48">
        <v>89.7</v>
      </c>
    </row>
    <row r="2340">
      <c r="A2340" s="46" t="s">
        <v>18</v>
      </c>
      <c r="B2340" s="46" t="s">
        <v>14</v>
      </c>
      <c r="C2340" s="48">
        <v>144.6</v>
      </c>
      <c r="D2340" s="48">
        <v>118.1</v>
      </c>
      <c r="E2340" s="48">
        <v>143.8</v>
      </c>
    </row>
    <row r="2341">
      <c r="A2341" s="46" t="s">
        <v>18</v>
      </c>
      <c r="B2341" s="46" t="s">
        <v>15</v>
      </c>
      <c r="C2341" s="48">
        <v>123.6</v>
      </c>
      <c r="D2341" s="49"/>
      <c r="E2341" s="48">
        <v>123.6</v>
      </c>
    </row>
    <row r="2342">
      <c r="A2342" s="46" t="s">
        <v>18</v>
      </c>
      <c r="B2342" s="46" t="s">
        <v>14</v>
      </c>
      <c r="C2342" s="48">
        <v>108.8</v>
      </c>
      <c r="D2342" s="48">
        <v>97.1</v>
      </c>
      <c r="E2342" s="48">
        <v>106.8</v>
      </c>
    </row>
    <row r="2343">
      <c r="A2343" s="46" t="s">
        <v>18</v>
      </c>
      <c r="B2343" s="46" t="s">
        <v>13</v>
      </c>
      <c r="C2343" s="49"/>
      <c r="D2343" s="48">
        <v>94.9</v>
      </c>
      <c r="E2343" s="48">
        <v>94.9</v>
      </c>
    </row>
    <row r="2344">
      <c r="A2344" s="46" t="s">
        <v>18</v>
      </c>
      <c r="B2344" s="46" t="s">
        <v>13</v>
      </c>
      <c r="C2344" s="49"/>
      <c r="D2344" s="48">
        <v>89.2</v>
      </c>
      <c r="E2344" s="48">
        <v>89.2</v>
      </c>
    </row>
    <row r="2345">
      <c r="A2345" s="46" t="s">
        <v>18</v>
      </c>
      <c r="B2345" s="46" t="s">
        <v>13</v>
      </c>
      <c r="C2345" s="49"/>
      <c r="D2345" s="48">
        <v>83.5</v>
      </c>
      <c r="E2345" s="48">
        <v>83.5</v>
      </c>
    </row>
    <row r="2346">
      <c r="A2346" s="46" t="s">
        <v>18</v>
      </c>
      <c r="B2346" s="46" t="s">
        <v>13</v>
      </c>
      <c r="C2346" s="49"/>
      <c r="D2346" s="48">
        <v>83.0</v>
      </c>
      <c r="E2346" s="48">
        <v>83.0</v>
      </c>
    </row>
    <row r="2347">
      <c r="A2347" s="46" t="s">
        <v>18</v>
      </c>
      <c r="B2347" s="46" t="s">
        <v>13</v>
      </c>
      <c r="C2347" s="49"/>
      <c r="D2347" s="48">
        <v>89.0</v>
      </c>
      <c r="E2347" s="48">
        <v>89.0</v>
      </c>
    </row>
    <row r="2348">
      <c r="A2348" s="46" t="s">
        <v>18</v>
      </c>
      <c r="B2348" s="46" t="s">
        <v>15</v>
      </c>
      <c r="C2348" s="48">
        <v>122.8</v>
      </c>
      <c r="D2348" s="49"/>
      <c r="E2348" s="48">
        <v>122.8</v>
      </c>
    </row>
    <row r="2349">
      <c r="A2349" s="46" t="s">
        <v>18</v>
      </c>
      <c r="B2349" s="46" t="s">
        <v>15</v>
      </c>
      <c r="C2349" s="48">
        <v>111.5</v>
      </c>
      <c r="D2349" s="49"/>
      <c r="E2349" s="48">
        <v>111.5</v>
      </c>
    </row>
    <row r="2350">
      <c r="A2350" s="46" t="s">
        <v>18</v>
      </c>
      <c r="B2350" s="46" t="s">
        <v>15</v>
      </c>
      <c r="C2350" s="48">
        <v>113.4</v>
      </c>
      <c r="D2350" s="49"/>
      <c r="E2350" s="48">
        <v>113.4</v>
      </c>
    </row>
    <row r="2351">
      <c r="A2351" s="46" t="s">
        <v>18</v>
      </c>
      <c r="B2351" s="46" t="s">
        <v>15</v>
      </c>
      <c r="C2351" s="48">
        <v>102.1</v>
      </c>
      <c r="D2351" s="49"/>
      <c r="E2351" s="48">
        <v>102.1</v>
      </c>
    </row>
    <row r="2352">
      <c r="A2352" s="46" t="s">
        <v>18</v>
      </c>
      <c r="B2352" s="46" t="s">
        <v>15</v>
      </c>
      <c r="C2352" s="48">
        <v>114.9</v>
      </c>
      <c r="D2352" s="49"/>
      <c r="E2352" s="48">
        <v>114.9</v>
      </c>
    </row>
    <row r="2353">
      <c r="A2353" s="46" t="s">
        <v>18</v>
      </c>
      <c r="B2353" s="46" t="s">
        <v>13</v>
      </c>
      <c r="C2353" s="49"/>
      <c r="D2353" s="48">
        <v>84.0</v>
      </c>
      <c r="E2353" s="48">
        <v>84.0</v>
      </c>
    </row>
    <row r="2354">
      <c r="A2354" s="46" t="s">
        <v>18</v>
      </c>
      <c r="B2354" s="46" t="s">
        <v>13</v>
      </c>
      <c r="C2354" s="49"/>
      <c r="D2354" s="48">
        <v>87.0</v>
      </c>
      <c r="E2354" s="48">
        <v>87.0</v>
      </c>
    </row>
    <row r="2355">
      <c r="A2355" s="46" t="s">
        <v>18</v>
      </c>
      <c r="B2355" s="46" t="s">
        <v>13</v>
      </c>
      <c r="C2355" s="49"/>
      <c r="D2355" s="48">
        <v>78.3</v>
      </c>
      <c r="E2355" s="48">
        <v>78.3</v>
      </c>
    </row>
    <row r="2356">
      <c r="A2356" s="46" t="s">
        <v>18</v>
      </c>
      <c r="B2356" s="46" t="s">
        <v>13</v>
      </c>
      <c r="C2356" s="49"/>
      <c r="D2356" s="48">
        <v>85.4</v>
      </c>
      <c r="E2356" s="48">
        <v>85.4</v>
      </c>
    </row>
    <row r="2357">
      <c r="A2357" s="46" t="s">
        <v>18</v>
      </c>
      <c r="B2357" s="46" t="s">
        <v>13</v>
      </c>
      <c r="C2357" s="49"/>
      <c r="D2357" s="48">
        <v>89.3</v>
      </c>
      <c r="E2357" s="48">
        <v>89.3</v>
      </c>
    </row>
    <row r="2358">
      <c r="A2358" s="46" t="s">
        <v>18</v>
      </c>
      <c r="B2358" s="46" t="s">
        <v>13</v>
      </c>
      <c r="C2358" s="49"/>
      <c r="D2358" s="48">
        <v>82.9</v>
      </c>
      <c r="E2358" s="48">
        <v>82.9</v>
      </c>
    </row>
    <row r="2359">
      <c r="A2359" s="46" t="s">
        <v>18</v>
      </c>
      <c r="B2359" s="46" t="s">
        <v>14</v>
      </c>
      <c r="C2359" s="48">
        <v>113.3</v>
      </c>
      <c r="D2359" s="48">
        <v>92.7</v>
      </c>
      <c r="E2359" s="48">
        <v>104.0</v>
      </c>
    </row>
    <row r="2360">
      <c r="A2360" s="46" t="s">
        <v>18</v>
      </c>
      <c r="B2360" s="46" t="s">
        <v>13</v>
      </c>
      <c r="C2360" s="49"/>
      <c r="D2360" s="48">
        <v>93.1</v>
      </c>
      <c r="E2360" s="48">
        <v>93.1</v>
      </c>
    </row>
    <row r="2361">
      <c r="A2361" s="46" t="s">
        <v>18</v>
      </c>
      <c r="B2361" s="46" t="s">
        <v>13</v>
      </c>
      <c r="C2361" s="49"/>
      <c r="D2361" s="48">
        <v>87.0</v>
      </c>
      <c r="E2361" s="48">
        <v>87.0</v>
      </c>
    </row>
    <row r="2362">
      <c r="A2362" s="46" t="s">
        <v>18</v>
      </c>
      <c r="B2362" s="46" t="s">
        <v>13</v>
      </c>
      <c r="C2362" s="49"/>
      <c r="D2362" s="48">
        <v>83.6</v>
      </c>
      <c r="E2362" s="48">
        <v>83.6</v>
      </c>
    </row>
    <row r="2363">
      <c r="A2363" s="46" t="s">
        <v>18</v>
      </c>
      <c r="B2363" s="46" t="s">
        <v>13</v>
      </c>
      <c r="C2363" s="49"/>
      <c r="D2363" s="48">
        <v>95.0</v>
      </c>
      <c r="E2363" s="48">
        <v>95.0</v>
      </c>
    </row>
    <row r="2364">
      <c r="A2364" s="46" t="s">
        <v>18</v>
      </c>
      <c r="B2364" s="46" t="s">
        <v>14</v>
      </c>
      <c r="C2364" s="48">
        <v>129.7</v>
      </c>
      <c r="D2364" s="48">
        <v>110.4</v>
      </c>
      <c r="E2364" s="48">
        <v>126.8</v>
      </c>
    </row>
    <row r="2365">
      <c r="A2365" s="46" t="s">
        <v>18</v>
      </c>
      <c r="B2365" s="46" t="s">
        <v>14</v>
      </c>
      <c r="C2365" s="48">
        <v>122.9</v>
      </c>
      <c r="D2365" s="48">
        <v>98.3</v>
      </c>
      <c r="E2365" s="48">
        <v>121.0</v>
      </c>
    </row>
    <row r="2366">
      <c r="A2366" s="46" t="s">
        <v>18</v>
      </c>
      <c r="B2366" s="46" t="s">
        <v>15</v>
      </c>
      <c r="C2366" s="48">
        <v>133.0</v>
      </c>
      <c r="D2366" s="49"/>
      <c r="E2366" s="48">
        <v>133.0</v>
      </c>
    </row>
    <row r="2367">
      <c r="A2367" s="46" t="s">
        <v>18</v>
      </c>
      <c r="B2367" s="46" t="s">
        <v>15</v>
      </c>
      <c r="C2367" s="48">
        <v>108.4</v>
      </c>
      <c r="D2367" s="49"/>
      <c r="E2367" s="48">
        <v>108.4</v>
      </c>
    </row>
    <row r="2368">
      <c r="A2368" s="46" t="s">
        <v>18</v>
      </c>
      <c r="B2368" s="46" t="s">
        <v>15</v>
      </c>
      <c r="C2368" s="48">
        <v>111.7</v>
      </c>
      <c r="D2368" s="49"/>
      <c r="E2368" s="48">
        <v>111.7</v>
      </c>
    </row>
    <row r="2369">
      <c r="A2369" s="46" t="s">
        <v>18</v>
      </c>
      <c r="B2369" s="46" t="s">
        <v>15</v>
      </c>
      <c r="C2369" s="48">
        <v>109.4</v>
      </c>
      <c r="D2369" s="49"/>
      <c r="E2369" s="48">
        <v>109.4</v>
      </c>
    </row>
    <row r="2370">
      <c r="A2370" s="46" t="s">
        <v>18</v>
      </c>
      <c r="B2370" s="46" t="s">
        <v>13</v>
      </c>
      <c r="C2370" s="49"/>
      <c r="D2370" s="48">
        <v>81.8</v>
      </c>
      <c r="E2370" s="48">
        <v>81.8</v>
      </c>
    </row>
    <row r="2371">
      <c r="A2371" s="46" t="s">
        <v>18</v>
      </c>
      <c r="B2371" s="46" t="s">
        <v>14</v>
      </c>
      <c r="C2371" s="48">
        <v>116.5</v>
      </c>
      <c r="D2371" s="48">
        <v>91.7</v>
      </c>
      <c r="E2371" s="48">
        <v>114.0</v>
      </c>
    </row>
    <row r="2372">
      <c r="A2372" s="46" t="s">
        <v>18</v>
      </c>
      <c r="B2372" s="46" t="s">
        <v>15</v>
      </c>
      <c r="C2372" s="48">
        <v>105.9</v>
      </c>
      <c r="D2372" s="49"/>
      <c r="E2372" s="48">
        <v>105.9</v>
      </c>
    </row>
    <row r="2373">
      <c r="A2373" s="46" t="s">
        <v>18</v>
      </c>
      <c r="B2373" s="46" t="s">
        <v>14</v>
      </c>
      <c r="C2373" s="48">
        <v>109.9</v>
      </c>
      <c r="D2373" s="48">
        <v>86.4</v>
      </c>
      <c r="E2373" s="48">
        <v>106.6</v>
      </c>
    </row>
    <row r="2374">
      <c r="A2374" s="46" t="s">
        <v>18</v>
      </c>
      <c r="B2374" s="46" t="s">
        <v>14</v>
      </c>
      <c r="C2374" s="48">
        <v>103.8</v>
      </c>
      <c r="D2374" s="48">
        <v>82.3</v>
      </c>
      <c r="E2374" s="48">
        <v>95.8</v>
      </c>
    </row>
    <row r="2375">
      <c r="A2375" s="46" t="s">
        <v>18</v>
      </c>
      <c r="B2375" s="46" t="s">
        <v>15</v>
      </c>
      <c r="C2375" s="48">
        <v>124.5</v>
      </c>
      <c r="D2375" s="49"/>
      <c r="E2375" s="48">
        <v>124.5</v>
      </c>
    </row>
    <row r="2376">
      <c r="A2376" s="46" t="s">
        <v>18</v>
      </c>
      <c r="B2376" s="46" t="s">
        <v>15</v>
      </c>
      <c r="C2376" s="48">
        <v>120.9</v>
      </c>
      <c r="D2376" s="49"/>
      <c r="E2376" s="48">
        <v>120.9</v>
      </c>
    </row>
    <row r="2377">
      <c r="A2377" s="46" t="s">
        <v>18</v>
      </c>
      <c r="B2377" s="46" t="s">
        <v>14</v>
      </c>
      <c r="C2377" s="48">
        <v>98.9</v>
      </c>
      <c r="D2377" s="48">
        <v>79.3</v>
      </c>
      <c r="E2377" s="48">
        <v>91.9</v>
      </c>
    </row>
    <row r="2378">
      <c r="A2378" s="46" t="s">
        <v>18</v>
      </c>
      <c r="B2378" s="46" t="s">
        <v>15</v>
      </c>
      <c r="C2378" s="48">
        <v>114.6</v>
      </c>
      <c r="D2378" s="49"/>
      <c r="E2378" s="48">
        <v>114.6</v>
      </c>
    </row>
    <row r="2379">
      <c r="A2379" s="46" t="s">
        <v>18</v>
      </c>
      <c r="B2379" s="46" t="s">
        <v>14</v>
      </c>
      <c r="C2379" s="48">
        <v>113.5</v>
      </c>
      <c r="D2379" s="48">
        <v>92.5</v>
      </c>
      <c r="E2379" s="48">
        <v>109.7</v>
      </c>
    </row>
    <row r="2380">
      <c r="A2380" s="46" t="s">
        <v>18</v>
      </c>
      <c r="B2380" s="46" t="s">
        <v>14</v>
      </c>
      <c r="C2380" s="48">
        <v>117.6</v>
      </c>
      <c r="D2380" s="48">
        <v>92.2</v>
      </c>
      <c r="E2380" s="48">
        <v>111.9</v>
      </c>
    </row>
    <row r="2381">
      <c r="A2381" s="46" t="s">
        <v>18</v>
      </c>
      <c r="B2381" s="46" t="s">
        <v>13</v>
      </c>
      <c r="C2381" s="49"/>
      <c r="D2381" s="48">
        <v>78.1</v>
      </c>
      <c r="E2381" s="48">
        <v>78.1</v>
      </c>
    </row>
    <row r="2382">
      <c r="A2382" s="46" t="s">
        <v>18</v>
      </c>
      <c r="B2382" s="46" t="s">
        <v>15</v>
      </c>
      <c r="C2382" s="48">
        <v>102.5</v>
      </c>
      <c r="D2382" s="49"/>
      <c r="E2382" s="48">
        <v>102.5</v>
      </c>
    </row>
    <row r="2383">
      <c r="A2383" s="46" t="s">
        <v>18</v>
      </c>
      <c r="B2383" s="46" t="s">
        <v>13</v>
      </c>
      <c r="C2383" s="49"/>
      <c r="D2383" s="48">
        <v>80.6</v>
      </c>
      <c r="E2383" s="48">
        <v>80.6</v>
      </c>
    </row>
    <row r="2384">
      <c r="A2384" s="46" t="s">
        <v>18</v>
      </c>
      <c r="B2384" s="46" t="s">
        <v>13</v>
      </c>
      <c r="C2384" s="49"/>
      <c r="D2384" s="48">
        <v>82.3</v>
      </c>
      <c r="E2384" s="48">
        <v>82.3</v>
      </c>
    </row>
    <row r="2385">
      <c r="A2385" s="46" t="s">
        <v>18</v>
      </c>
      <c r="B2385" s="46" t="s">
        <v>15</v>
      </c>
      <c r="C2385" s="48">
        <v>107.9</v>
      </c>
      <c r="D2385" s="49"/>
      <c r="E2385" s="48">
        <v>107.9</v>
      </c>
    </row>
    <row r="2386">
      <c r="A2386" s="46" t="s">
        <v>18</v>
      </c>
      <c r="B2386" s="46" t="s">
        <v>13</v>
      </c>
      <c r="C2386" s="49"/>
      <c r="D2386" s="48">
        <v>85.5</v>
      </c>
      <c r="E2386" s="48">
        <v>85.5</v>
      </c>
    </row>
    <row r="2387">
      <c r="A2387" s="46" t="s">
        <v>18</v>
      </c>
      <c r="B2387" s="46" t="s">
        <v>13</v>
      </c>
      <c r="C2387" s="49"/>
      <c r="D2387" s="48">
        <v>86.2</v>
      </c>
      <c r="E2387" s="48">
        <v>86.2</v>
      </c>
    </row>
    <row r="2388">
      <c r="A2388" s="46" t="s">
        <v>18</v>
      </c>
      <c r="B2388" s="46" t="s">
        <v>15</v>
      </c>
      <c r="C2388" s="48">
        <v>122.8</v>
      </c>
      <c r="D2388" s="49"/>
      <c r="E2388" s="48">
        <v>122.8</v>
      </c>
    </row>
    <row r="2389">
      <c r="A2389" s="46" t="s">
        <v>18</v>
      </c>
      <c r="B2389" s="46" t="s">
        <v>15</v>
      </c>
      <c r="C2389" s="48">
        <v>115.7</v>
      </c>
      <c r="D2389" s="49"/>
      <c r="E2389" s="48">
        <v>115.7</v>
      </c>
    </row>
    <row r="2390">
      <c r="A2390" s="46" t="s">
        <v>18</v>
      </c>
      <c r="B2390" s="46" t="s">
        <v>13</v>
      </c>
      <c r="C2390" s="49"/>
      <c r="D2390" s="48">
        <v>82.1</v>
      </c>
      <c r="E2390" s="48">
        <v>82.1</v>
      </c>
    </row>
    <row r="2391">
      <c r="A2391" s="46" t="s">
        <v>18</v>
      </c>
      <c r="B2391" s="46" t="s">
        <v>13</v>
      </c>
      <c r="C2391" s="49"/>
      <c r="D2391" s="48">
        <v>91.1</v>
      </c>
      <c r="E2391" s="48">
        <v>91.1</v>
      </c>
    </row>
    <row r="2392">
      <c r="A2392" s="46" t="s">
        <v>18</v>
      </c>
      <c r="B2392" s="46" t="s">
        <v>15</v>
      </c>
      <c r="C2392" s="48">
        <v>115.7</v>
      </c>
      <c r="D2392" s="49"/>
      <c r="E2392" s="48">
        <v>115.7</v>
      </c>
    </row>
    <row r="2393">
      <c r="A2393" s="46" t="s">
        <v>18</v>
      </c>
      <c r="B2393" s="46" t="s">
        <v>14</v>
      </c>
      <c r="C2393" s="48">
        <v>107.5</v>
      </c>
      <c r="D2393" s="48">
        <v>73.0</v>
      </c>
      <c r="E2393" s="48">
        <v>103.9</v>
      </c>
    </row>
    <row r="2394">
      <c r="A2394" s="46" t="s">
        <v>18</v>
      </c>
      <c r="B2394" s="46" t="s">
        <v>13</v>
      </c>
      <c r="C2394" s="49"/>
      <c r="D2394" s="48">
        <v>78.2</v>
      </c>
      <c r="E2394" s="48">
        <v>78.2</v>
      </c>
    </row>
    <row r="2395">
      <c r="A2395" s="46" t="s">
        <v>18</v>
      </c>
      <c r="B2395" s="46" t="s">
        <v>13</v>
      </c>
      <c r="C2395" s="49"/>
      <c r="D2395" s="48">
        <v>88.1</v>
      </c>
      <c r="E2395" s="48">
        <v>88.1</v>
      </c>
    </row>
    <row r="2396">
      <c r="A2396" s="46" t="s">
        <v>18</v>
      </c>
      <c r="B2396" s="46" t="s">
        <v>13</v>
      </c>
      <c r="C2396" s="49"/>
      <c r="D2396" s="48">
        <v>78.2</v>
      </c>
      <c r="E2396" s="48">
        <v>78.2</v>
      </c>
    </row>
    <row r="2397">
      <c r="A2397" s="46" t="s">
        <v>18</v>
      </c>
      <c r="B2397" s="46" t="s">
        <v>14</v>
      </c>
      <c r="C2397" s="48">
        <v>102.0</v>
      </c>
      <c r="D2397" s="48">
        <v>78.7</v>
      </c>
      <c r="E2397" s="48">
        <v>96.6</v>
      </c>
    </row>
    <row r="2398">
      <c r="A2398" s="46" t="s">
        <v>18</v>
      </c>
      <c r="B2398" s="46" t="s">
        <v>13</v>
      </c>
      <c r="C2398" s="49"/>
      <c r="D2398" s="48">
        <v>84.0</v>
      </c>
      <c r="E2398" s="48">
        <v>84.0</v>
      </c>
    </row>
    <row r="2399">
      <c r="A2399" s="46" t="s">
        <v>18</v>
      </c>
      <c r="B2399" s="46" t="s">
        <v>14</v>
      </c>
      <c r="C2399" s="48">
        <v>112.2</v>
      </c>
      <c r="D2399" s="48">
        <v>84.6</v>
      </c>
      <c r="E2399" s="48">
        <v>102.5</v>
      </c>
    </row>
    <row r="2400">
      <c r="A2400" s="46" t="s">
        <v>18</v>
      </c>
      <c r="B2400" s="46" t="s">
        <v>14</v>
      </c>
      <c r="C2400" s="48">
        <v>118.4</v>
      </c>
      <c r="D2400" s="48">
        <v>89.7</v>
      </c>
      <c r="E2400" s="48">
        <v>112.6</v>
      </c>
    </row>
    <row r="2401">
      <c r="A2401" s="46" t="s">
        <v>18</v>
      </c>
      <c r="B2401" s="46" t="s">
        <v>13</v>
      </c>
      <c r="C2401" s="49"/>
      <c r="D2401" s="48">
        <v>71.4</v>
      </c>
      <c r="E2401" s="48">
        <v>71.4</v>
      </c>
    </row>
    <row r="2402">
      <c r="A2402" s="46" t="s">
        <v>18</v>
      </c>
      <c r="B2402" s="46" t="s">
        <v>15</v>
      </c>
      <c r="C2402" s="48">
        <v>103.9</v>
      </c>
      <c r="D2402" s="49"/>
      <c r="E2402" s="48">
        <v>103.9</v>
      </c>
    </row>
    <row r="2403">
      <c r="A2403" s="46" t="s">
        <v>18</v>
      </c>
      <c r="B2403" s="46" t="s">
        <v>15</v>
      </c>
      <c r="C2403" s="48">
        <v>100.8</v>
      </c>
      <c r="D2403" s="49"/>
      <c r="E2403" s="48">
        <v>100.8</v>
      </c>
    </row>
    <row r="2404">
      <c r="A2404" s="46" t="s">
        <v>18</v>
      </c>
      <c r="B2404" s="46" t="s">
        <v>15</v>
      </c>
      <c r="C2404" s="48">
        <v>88.5</v>
      </c>
      <c r="D2404" s="49"/>
      <c r="E2404" s="48">
        <v>88.5</v>
      </c>
    </row>
    <row r="2405">
      <c r="A2405" s="46" t="s">
        <v>18</v>
      </c>
      <c r="B2405" s="46" t="s">
        <v>14</v>
      </c>
      <c r="C2405" s="48">
        <v>114.4</v>
      </c>
      <c r="D2405" s="48">
        <v>84.2</v>
      </c>
      <c r="E2405" s="48">
        <v>106.3</v>
      </c>
    </row>
    <row r="2406">
      <c r="A2406" s="46" t="s">
        <v>18</v>
      </c>
      <c r="B2406" s="46" t="s">
        <v>13</v>
      </c>
      <c r="C2406" s="49"/>
      <c r="D2406" s="48">
        <v>79.0</v>
      </c>
      <c r="E2406" s="48">
        <v>79.0</v>
      </c>
    </row>
    <row r="2407">
      <c r="A2407" s="46" t="s">
        <v>18</v>
      </c>
      <c r="B2407" s="46" t="s">
        <v>13</v>
      </c>
      <c r="C2407" s="49"/>
      <c r="D2407" s="48">
        <v>73.6</v>
      </c>
      <c r="E2407" s="48">
        <v>73.6</v>
      </c>
    </row>
    <row r="2408">
      <c r="A2408" s="46" t="s">
        <v>18</v>
      </c>
      <c r="B2408" s="46" t="s">
        <v>14</v>
      </c>
      <c r="C2408" s="48">
        <v>91.4</v>
      </c>
      <c r="D2408" s="48">
        <v>75.9</v>
      </c>
      <c r="E2408" s="48">
        <v>86.3</v>
      </c>
    </row>
    <row r="2409">
      <c r="A2409" s="46" t="s">
        <v>18</v>
      </c>
      <c r="B2409" s="46" t="s">
        <v>15</v>
      </c>
      <c r="C2409" s="48">
        <v>89.6</v>
      </c>
      <c r="D2409" s="49"/>
      <c r="E2409" s="48">
        <v>89.6</v>
      </c>
    </row>
    <row r="2410">
      <c r="A2410" s="46" t="s">
        <v>18</v>
      </c>
      <c r="B2410" s="46" t="s">
        <v>14</v>
      </c>
      <c r="C2410" s="48">
        <v>67.1</v>
      </c>
      <c r="D2410" s="48">
        <v>69.8</v>
      </c>
      <c r="E2410" s="48">
        <v>68.2</v>
      </c>
    </row>
    <row r="2411">
      <c r="A2411" s="46" t="s">
        <v>18</v>
      </c>
      <c r="B2411" s="46" t="s">
        <v>13</v>
      </c>
      <c r="C2411" s="49"/>
      <c r="D2411" s="48">
        <v>64.3</v>
      </c>
      <c r="E2411" s="48">
        <v>64.3</v>
      </c>
    </row>
    <row r="2412">
      <c r="A2412" s="46" t="s">
        <v>18</v>
      </c>
      <c r="B2412" s="46" t="s">
        <v>14</v>
      </c>
      <c r="C2412" s="48">
        <v>94.0</v>
      </c>
      <c r="D2412" s="48">
        <v>80.0</v>
      </c>
      <c r="E2412" s="48">
        <v>90.1</v>
      </c>
    </row>
    <row r="2413">
      <c r="A2413" s="46" t="s">
        <v>18</v>
      </c>
      <c r="B2413" s="46" t="s">
        <v>13</v>
      </c>
      <c r="C2413" s="49"/>
      <c r="D2413" s="48">
        <v>70.9</v>
      </c>
      <c r="E2413" s="48">
        <v>70.9</v>
      </c>
    </row>
    <row r="2414">
      <c r="A2414" s="46" t="s">
        <v>18</v>
      </c>
      <c r="B2414" s="46" t="s">
        <v>13</v>
      </c>
      <c r="C2414" s="49"/>
      <c r="D2414" s="48">
        <v>84.4</v>
      </c>
      <c r="E2414" s="48">
        <v>84.4</v>
      </c>
    </row>
    <row r="2415">
      <c r="A2415" s="46" t="s">
        <v>18</v>
      </c>
      <c r="B2415" s="46" t="s">
        <v>13</v>
      </c>
      <c r="C2415" s="49"/>
      <c r="D2415" s="48">
        <v>76.3</v>
      </c>
      <c r="E2415" s="48">
        <v>76.3</v>
      </c>
    </row>
    <row r="2416">
      <c r="A2416" s="46" t="s">
        <v>18</v>
      </c>
      <c r="B2416" s="46" t="s">
        <v>14</v>
      </c>
      <c r="C2416" s="48">
        <v>101.3</v>
      </c>
      <c r="D2416" s="48">
        <v>78.9</v>
      </c>
      <c r="E2416" s="48">
        <v>80.4</v>
      </c>
    </row>
    <row r="2417">
      <c r="A2417" s="46" t="s">
        <v>18</v>
      </c>
      <c r="B2417" s="46" t="s">
        <v>13</v>
      </c>
      <c r="C2417" s="49"/>
      <c r="D2417" s="48">
        <v>74.7</v>
      </c>
      <c r="E2417" s="48">
        <v>74.7</v>
      </c>
    </row>
    <row r="2418">
      <c r="A2418" s="46" t="s">
        <v>18</v>
      </c>
      <c r="B2418" s="46" t="s">
        <v>13</v>
      </c>
      <c r="C2418" s="49"/>
      <c r="D2418" s="48">
        <v>80.1</v>
      </c>
      <c r="E2418" s="48">
        <v>80.1</v>
      </c>
    </row>
    <row r="2419">
      <c r="A2419" s="46" t="s">
        <v>18</v>
      </c>
      <c r="B2419" s="46" t="s">
        <v>13</v>
      </c>
      <c r="C2419" s="49"/>
      <c r="D2419" s="48">
        <v>69.4</v>
      </c>
      <c r="E2419" s="48">
        <v>69.4</v>
      </c>
    </row>
    <row r="2420">
      <c r="A2420" s="46" t="s">
        <v>18</v>
      </c>
      <c r="B2420" s="46" t="s">
        <v>14</v>
      </c>
      <c r="C2420" s="48">
        <v>84.1</v>
      </c>
      <c r="D2420" s="48">
        <v>67.1</v>
      </c>
      <c r="E2420" s="48">
        <v>76.4</v>
      </c>
    </row>
    <row r="2421">
      <c r="A2421" s="46" t="s">
        <v>18</v>
      </c>
      <c r="B2421" s="46" t="s">
        <v>15</v>
      </c>
      <c r="C2421" s="48">
        <v>89.6</v>
      </c>
      <c r="D2421" s="49"/>
      <c r="E2421" s="48">
        <v>89.6</v>
      </c>
    </row>
    <row r="2422">
      <c r="A2422" s="46" t="s">
        <v>18</v>
      </c>
      <c r="B2422" s="46" t="s">
        <v>13</v>
      </c>
      <c r="C2422" s="49"/>
      <c r="D2422" s="48">
        <v>70.5</v>
      </c>
      <c r="E2422" s="48">
        <v>70.5</v>
      </c>
    </row>
    <row r="2423">
      <c r="A2423" s="46" t="s">
        <v>18</v>
      </c>
      <c r="B2423" s="46" t="s">
        <v>15</v>
      </c>
      <c r="C2423" s="48">
        <v>113.4</v>
      </c>
      <c r="D2423" s="49"/>
      <c r="E2423" s="48">
        <v>113.4</v>
      </c>
    </row>
    <row r="2424">
      <c r="A2424" s="46" t="s">
        <v>18</v>
      </c>
      <c r="B2424" s="46" t="s">
        <v>13</v>
      </c>
      <c r="C2424" s="49"/>
      <c r="D2424" s="48">
        <v>81.8</v>
      </c>
      <c r="E2424" s="48">
        <v>81.8</v>
      </c>
    </row>
    <row r="2425">
      <c r="A2425" s="46" t="s">
        <v>18</v>
      </c>
      <c r="B2425" s="46" t="s">
        <v>15</v>
      </c>
      <c r="C2425" s="48">
        <v>82.4</v>
      </c>
      <c r="D2425" s="49"/>
      <c r="E2425" s="48">
        <v>82.4</v>
      </c>
    </row>
    <row r="2426">
      <c r="A2426" s="46" t="s">
        <v>18</v>
      </c>
      <c r="B2426" s="46" t="s">
        <v>15</v>
      </c>
      <c r="C2426" s="48">
        <v>102.0</v>
      </c>
      <c r="D2426" s="49"/>
      <c r="E2426" s="48">
        <v>102.0</v>
      </c>
    </row>
    <row r="2427">
      <c r="A2427" s="46" t="s">
        <v>18</v>
      </c>
      <c r="B2427" s="46" t="s">
        <v>13</v>
      </c>
      <c r="C2427" s="49"/>
      <c r="D2427" s="48">
        <v>89.6</v>
      </c>
      <c r="E2427" s="48">
        <v>89.6</v>
      </c>
    </row>
    <row r="2428">
      <c r="A2428" s="46" t="s">
        <v>18</v>
      </c>
      <c r="B2428" s="46" t="s">
        <v>15</v>
      </c>
      <c r="C2428" s="48">
        <v>104.3</v>
      </c>
      <c r="D2428" s="49"/>
      <c r="E2428" s="48">
        <v>104.3</v>
      </c>
    </row>
    <row r="2429">
      <c r="A2429" s="46" t="s">
        <v>18</v>
      </c>
      <c r="B2429" s="46" t="s">
        <v>15</v>
      </c>
      <c r="C2429" s="48">
        <v>118.7</v>
      </c>
      <c r="D2429" s="49"/>
      <c r="E2429" s="48">
        <v>118.7</v>
      </c>
    </row>
    <row r="2430">
      <c r="A2430" s="46" t="s">
        <v>18</v>
      </c>
      <c r="B2430" s="46" t="s">
        <v>15</v>
      </c>
      <c r="C2430" s="48">
        <v>120.0</v>
      </c>
      <c r="D2430" s="49"/>
      <c r="E2430" s="48">
        <v>120.0</v>
      </c>
    </row>
    <row r="2431">
      <c r="A2431" s="46" t="s">
        <v>18</v>
      </c>
      <c r="B2431" s="46" t="s">
        <v>13</v>
      </c>
      <c r="C2431" s="49"/>
      <c r="D2431" s="48">
        <v>80.1</v>
      </c>
      <c r="E2431" s="48">
        <v>80.1</v>
      </c>
    </row>
    <row r="2432">
      <c r="A2432" s="46" t="s">
        <v>18</v>
      </c>
      <c r="B2432" s="46" t="s">
        <v>14</v>
      </c>
      <c r="C2432" s="48">
        <v>105.1</v>
      </c>
      <c r="D2432" s="48">
        <v>83.6</v>
      </c>
      <c r="E2432" s="48">
        <v>101.7</v>
      </c>
    </row>
    <row r="2433">
      <c r="A2433" s="46" t="s">
        <v>18</v>
      </c>
      <c r="B2433" s="46" t="s">
        <v>15</v>
      </c>
      <c r="C2433" s="48">
        <v>87.4</v>
      </c>
      <c r="D2433" s="49"/>
      <c r="E2433" s="48">
        <v>87.4</v>
      </c>
    </row>
    <row r="2434">
      <c r="A2434" s="46" t="s">
        <v>18</v>
      </c>
      <c r="B2434" s="46" t="s">
        <v>15</v>
      </c>
      <c r="C2434" s="48">
        <v>109.2</v>
      </c>
      <c r="D2434" s="49"/>
      <c r="E2434" s="48">
        <v>109.2</v>
      </c>
    </row>
    <row r="2435">
      <c r="A2435" s="46" t="s">
        <v>18</v>
      </c>
      <c r="B2435" s="46" t="s">
        <v>13</v>
      </c>
      <c r="C2435" s="49"/>
      <c r="D2435" s="48">
        <v>72.5</v>
      </c>
      <c r="E2435" s="48">
        <v>72.5</v>
      </c>
    </row>
    <row r="2436">
      <c r="A2436" s="46" t="s">
        <v>18</v>
      </c>
      <c r="B2436" s="46" t="s">
        <v>14</v>
      </c>
      <c r="C2436" s="48">
        <v>105.6</v>
      </c>
      <c r="D2436" s="48">
        <v>76.4</v>
      </c>
      <c r="E2436" s="48">
        <v>96.2</v>
      </c>
    </row>
    <row r="2437">
      <c r="A2437" s="46" t="s">
        <v>18</v>
      </c>
      <c r="B2437" s="46" t="s">
        <v>14</v>
      </c>
      <c r="C2437" s="48">
        <v>99.1</v>
      </c>
      <c r="D2437" s="48">
        <v>79.4</v>
      </c>
      <c r="E2437" s="48">
        <v>97.8</v>
      </c>
    </row>
    <row r="2438">
      <c r="A2438" s="46" t="s">
        <v>18</v>
      </c>
      <c r="B2438" s="46" t="s">
        <v>13</v>
      </c>
      <c r="C2438" s="49"/>
      <c r="D2438" s="48">
        <v>89.0</v>
      </c>
      <c r="E2438" s="48">
        <v>89.0</v>
      </c>
    </row>
    <row r="2439">
      <c r="A2439" s="46" t="s">
        <v>18</v>
      </c>
      <c r="B2439" s="46" t="s">
        <v>15</v>
      </c>
      <c r="C2439" s="48">
        <v>128.1</v>
      </c>
      <c r="D2439" s="49"/>
      <c r="E2439" s="48">
        <v>128.1</v>
      </c>
    </row>
    <row r="2440">
      <c r="A2440" s="46" t="s">
        <v>18</v>
      </c>
      <c r="B2440" s="46" t="s">
        <v>13</v>
      </c>
      <c r="C2440" s="49"/>
      <c r="D2440" s="48">
        <v>86.1</v>
      </c>
      <c r="E2440" s="48">
        <v>86.1</v>
      </c>
    </row>
    <row r="2441">
      <c r="A2441" s="46" t="s">
        <v>18</v>
      </c>
      <c r="B2441" s="46" t="s">
        <v>15</v>
      </c>
      <c r="C2441" s="48">
        <v>118.2</v>
      </c>
      <c r="D2441" s="49"/>
      <c r="E2441" s="48">
        <v>118.2</v>
      </c>
    </row>
    <row r="2442">
      <c r="A2442" s="46" t="s">
        <v>18</v>
      </c>
      <c r="B2442" s="46" t="s">
        <v>13</v>
      </c>
      <c r="C2442" s="49"/>
      <c r="D2442" s="48">
        <v>85.5</v>
      </c>
      <c r="E2442" s="48">
        <v>85.5</v>
      </c>
    </row>
    <row r="2443">
      <c r="A2443" s="46" t="s">
        <v>18</v>
      </c>
      <c r="B2443" s="46" t="s">
        <v>15</v>
      </c>
      <c r="C2443" s="48">
        <v>90.3</v>
      </c>
      <c r="D2443" s="49"/>
      <c r="E2443" s="48">
        <v>90.3</v>
      </c>
    </row>
    <row r="2444">
      <c r="A2444" s="46" t="s">
        <v>18</v>
      </c>
      <c r="B2444" s="46" t="s">
        <v>15</v>
      </c>
      <c r="C2444" s="48">
        <v>124.7</v>
      </c>
      <c r="D2444" s="49"/>
      <c r="E2444" s="48">
        <v>124.7</v>
      </c>
    </row>
    <row r="2445">
      <c r="A2445" s="46" t="s">
        <v>18</v>
      </c>
      <c r="B2445" s="46" t="s">
        <v>13</v>
      </c>
      <c r="C2445" s="49"/>
      <c r="D2445" s="48">
        <v>83.0</v>
      </c>
      <c r="E2445" s="48">
        <v>83.0</v>
      </c>
    </row>
    <row r="2446">
      <c r="A2446" s="46" t="s">
        <v>18</v>
      </c>
      <c r="B2446" s="46" t="s">
        <v>13</v>
      </c>
      <c r="C2446" s="49"/>
      <c r="D2446" s="48">
        <v>92.7</v>
      </c>
      <c r="E2446" s="48">
        <v>92.7</v>
      </c>
    </row>
    <row r="2447">
      <c r="A2447" s="46" t="s">
        <v>18</v>
      </c>
      <c r="B2447" s="46" t="s">
        <v>13</v>
      </c>
      <c r="C2447" s="49"/>
      <c r="D2447" s="48">
        <v>94.4</v>
      </c>
      <c r="E2447" s="48">
        <v>94.4</v>
      </c>
    </row>
    <row r="2448">
      <c r="A2448" s="46" t="s">
        <v>18</v>
      </c>
      <c r="B2448" s="46" t="s">
        <v>13</v>
      </c>
      <c r="C2448" s="49"/>
      <c r="D2448" s="48">
        <v>103.1</v>
      </c>
      <c r="E2448" s="48">
        <v>103.1</v>
      </c>
    </row>
    <row r="2449">
      <c r="A2449" s="46" t="s">
        <v>18</v>
      </c>
      <c r="B2449" s="46" t="s">
        <v>15</v>
      </c>
      <c r="C2449" s="48">
        <v>118.6</v>
      </c>
      <c r="D2449" s="49"/>
      <c r="E2449" s="48">
        <v>118.6</v>
      </c>
    </row>
    <row r="2450">
      <c r="A2450" s="46" t="s">
        <v>18</v>
      </c>
      <c r="B2450" s="46" t="s">
        <v>13</v>
      </c>
      <c r="C2450" s="49"/>
      <c r="D2450" s="48">
        <v>85.8</v>
      </c>
      <c r="E2450" s="48">
        <v>85.8</v>
      </c>
    </row>
    <row r="2451">
      <c r="A2451" s="46" t="s">
        <v>18</v>
      </c>
      <c r="B2451" s="46" t="s">
        <v>13</v>
      </c>
      <c r="C2451" s="49"/>
      <c r="D2451" s="48">
        <v>95.8</v>
      </c>
      <c r="E2451" s="48">
        <v>95.8</v>
      </c>
    </row>
    <row r="2452">
      <c r="A2452" s="46" t="s">
        <v>18</v>
      </c>
      <c r="B2452" s="46" t="s">
        <v>14</v>
      </c>
      <c r="C2452" s="48">
        <v>112.5</v>
      </c>
      <c r="D2452" s="48">
        <v>80.7</v>
      </c>
      <c r="E2452" s="48">
        <v>101.3</v>
      </c>
    </row>
    <row r="2453">
      <c r="A2453" s="46" t="s">
        <v>18</v>
      </c>
      <c r="B2453" s="46" t="s">
        <v>14</v>
      </c>
      <c r="C2453" s="48">
        <v>101.8</v>
      </c>
      <c r="D2453" s="48">
        <v>82.7</v>
      </c>
      <c r="E2453" s="48">
        <v>95.6</v>
      </c>
    </row>
    <row r="2454">
      <c r="A2454" s="46" t="s">
        <v>18</v>
      </c>
      <c r="B2454" s="46" t="s">
        <v>14</v>
      </c>
      <c r="C2454" s="48">
        <v>110.7</v>
      </c>
      <c r="D2454" s="48">
        <v>85.0</v>
      </c>
      <c r="E2454" s="48">
        <v>101.2</v>
      </c>
    </row>
    <row r="2455">
      <c r="A2455" s="46" t="s">
        <v>18</v>
      </c>
      <c r="B2455" s="46" t="s">
        <v>13</v>
      </c>
      <c r="C2455" s="49"/>
      <c r="D2455" s="48">
        <v>87.2</v>
      </c>
      <c r="E2455" s="48">
        <v>87.2</v>
      </c>
    </row>
    <row r="2456">
      <c r="A2456" s="46" t="s">
        <v>18</v>
      </c>
      <c r="B2456" s="46" t="s">
        <v>13</v>
      </c>
      <c r="C2456" s="49"/>
      <c r="D2456" s="48">
        <v>98.6</v>
      </c>
      <c r="E2456" s="48">
        <v>98.6</v>
      </c>
    </row>
    <row r="2457">
      <c r="A2457" s="46" t="s">
        <v>18</v>
      </c>
      <c r="B2457" s="46" t="s">
        <v>15</v>
      </c>
      <c r="C2457" s="48">
        <v>111.9</v>
      </c>
      <c r="D2457" s="49"/>
      <c r="E2457" s="48">
        <v>111.9</v>
      </c>
    </row>
    <row r="2458">
      <c r="A2458" s="46" t="s">
        <v>18</v>
      </c>
      <c r="B2458" s="46" t="s">
        <v>14</v>
      </c>
      <c r="C2458" s="48">
        <v>114.5</v>
      </c>
      <c r="D2458" s="48">
        <v>100.1</v>
      </c>
      <c r="E2458" s="48">
        <v>106.8</v>
      </c>
    </row>
    <row r="2459">
      <c r="A2459" s="46" t="s">
        <v>18</v>
      </c>
      <c r="B2459" s="46" t="s">
        <v>14</v>
      </c>
      <c r="C2459" s="48">
        <v>114.5</v>
      </c>
      <c r="D2459" s="48">
        <v>92.0</v>
      </c>
      <c r="E2459" s="48">
        <v>109.0</v>
      </c>
    </row>
    <row r="2460">
      <c r="A2460" s="46" t="s">
        <v>18</v>
      </c>
      <c r="B2460" s="46" t="s">
        <v>14</v>
      </c>
      <c r="C2460" s="48">
        <v>112.0</v>
      </c>
      <c r="D2460" s="48">
        <v>90.5</v>
      </c>
      <c r="E2460" s="48">
        <v>106.6</v>
      </c>
    </row>
    <row r="2461">
      <c r="A2461" s="46" t="s">
        <v>18</v>
      </c>
      <c r="B2461" s="46" t="s">
        <v>13</v>
      </c>
      <c r="C2461" s="49"/>
      <c r="D2461" s="48">
        <v>81.5</v>
      </c>
      <c r="E2461" s="48">
        <v>81.5</v>
      </c>
    </row>
    <row r="2462">
      <c r="A2462" s="46" t="s">
        <v>18</v>
      </c>
      <c r="B2462" s="46" t="s">
        <v>13</v>
      </c>
      <c r="C2462" s="49"/>
      <c r="D2462" s="48">
        <v>73.5</v>
      </c>
      <c r="E2462" s="48">
        <v>73.5</v>
      </c>
    </row>
    <row r="2463">
      <c r="A2463" s="46" t="s">
        <v>18</v>
      </c>
      <c r="B2463" s="46" t="s">
        <v>15</v>
      </c>
      <c r="C2463" s="48">
        <v>118.2</v>
      </c>
      <c r="D2463" s="49"/>
      <c r="E2463" s="48">
        <v>118.2</v>
      </c>
    </row>
    <row r="2464">
      <c r="A2464" s="46" t="s">
        <v>18</v>
      </c>
      <c r="B2464" s="46" t="s">
        <v>13</v>
      </c>
      <c r="C2464" s="49"/>
      <c r="D2464" s="48">
        <v>76.5</v>
      </c>
      <c r="E2464" s="48">
        <v>76.5</v>
      </c>
    </row>
    <row r="2465">
      <c r="A2465" s="46" t="s">
        <v>18</v>
      </c>
      <c r="B2465" s="46" t="s">
        <v>14</v>
      </c>
      <c r="C2465" s="48">
        <v>114.8</v>
      </c>
      <c r="D2465" s="48">
        <v>88.7</v>
      </c>
      <c r="E2465" s="48">
        <v>93.6</v>
      </c>
    </row>
    <row r="2466">
      <c r="A2466" s="46" t="s">
        <v>18</v>
      </c>
      <c r="B2466" s="46" t="s">
        <v>15</v>
      </c>
      <c r="C2466" s="48">
        <v>110.9</v>
      </c>
      <c r="D2466" s="49"/>
      <c r="E2466" s="48">
        <v>110.9</v>
      </c>
    </row>
    <row r="2467">
      <c r="A2467" s="46" t="s">
        <v>18</v>
      </c>
      <c r="B2467" s="46" t="s">
        <v>13</v>
      </c>
      <c r="C2467" s="49"/>
      <c r="D2467" s="48">
        <v>80.9</v>
      </c>
      <c r="E2467" s="48">
        <v>80.9</v>
      </c>
    </row>
    <row r="2468">
      <c r="A2468" s="46" t="s">
        <v>18</v>
      </c>
      <c r="B2468" s="46" t="s">
        <v>15</v>
      </c>
      <c r="C2468" s="48">
        <v>107.9</v>
      </c>
      <c r="D2468" s="49"/>
      <c r="E2468" s="48">
        <v>107.9</v>
      </c>
    </row>
    <row r="2469">
      <c r="A2469" s="46" t="s">
        <v>18</v>
      </c>
      <c r="B2469" s="46" t="s">
        <v>15</v>
      </c>
      <c r="C2469" s="48">
        <v>96.9</v>
      </c>
      <c r="D2469" s="49"/>
      <c r="E2469" s="48">
        <v>96.9</v>
      </c>
    </row>
    <row r="2470">
      <c r="A2470" s="46" t="s">
        <v>18</v>
      </c>
      <c r="B2470" s="46" t="s">
        <v>14</v>
      </c>
      <c r="C2470" s="48">
        <v>94.7</v>
      </c>
      <c r="D2470" s="48">
        <v>83.4</v>
      </c>
      <c r="E2470" s="48">
        <v>91.3</v>
      </c>
    </row>
    <row r="2471">
      <c r="A2471" s="46" t="s">
        <v>18</v>
      </c>
      <c r="B2471" s="46" t="s">
        <v>15</v>
      </c>
      <c r="C2471" s="48">
        <v>128.6</v>
      </c>
      <c r="D2471" s="49"/>
      <c r="E2471" s="48">
        <v>128.6</v>
      </c>
    </row>
    <row r="2472">
      <c r="A2472" s="46" t="s">
        <v>18</v>
      </c>
      <c r="B2472" s="46" t="s">
        <v>13</v>
      </c>
      <c r="C2472" s="49"/>
      <c r="D2472" s="48">
        <v>85.4</v>
      </c>
      <c r="E2472" s="48">
        <v>85.4</v>
      </c>
    </row>
    <row r="2473">
      <c r="A2473" s="46" t="s">
        <v>18</v>
      </c>
      <c r="B2473" s="46" t="s">
        <v>15</v>
      </c>
      <c r="C2473" s="48">
        <v>109.2</v>
      </c>
      <c r="D2473" s="49"/>
      <c r="E2473" s="48">
        <v>109.2</v>
      </c>
    </row>
    <row r="2474">
      <c r="A2474" s="46" t="s">
        <v>18</v>
      </c>
      <c r="B2474" s="46" t="s">
        <v>14</v>
      </c>
      <c r="C2474" s="48">
        <v>104.6</v>
      </c>
      <c r="D2474" s="48">
        <v>79.4</v>
      </c>
      <c r="E2474" s="48">
        <v>102.1</v>
      </c>
    </row>
    <row r="2475">
      <c r="A2475" s="46" t="s">
        <v>18</v>
      </c>
      <c r="B2475" s="46" t="s">
        <v>15</v>
      </c>
      <c r="C2475" s="48">
        <v>109.6</v>
      </c>
      <c r="D2475" s="49"/>
      <c r="E2475" s="48">
        <v>109.6</v>
      </c>
    </row>
    <row r="2476">
      <c r="A2476" s="46" t="s">
        <v>18</v>
      </c>
      <c r="B2476" s="46" t="s">
        <v>15</v>
      </c>
      <c r="C2476" s="48">
        <v>113.9</v>
      </c>
      <c r="D2476" s="49"/>
      <c r="E2476" s="48">
        <v>113.9</v>
      </c>
    </row>
    <row r="2477">
      <c r="A2477" s="46" t="s">
        <v>18</v>
      </c>
      <c r="B2477" s="46" t="s">
        <v>15</v>
      </c>
      <c r="C2477" s="48">
        <v>102.3</v>
      </c>
      <c r="D2477" s="49"/>
      <c r="E2477" s="48">
        <v>102.3</v>
      </c>
    </row>
    <row r="2478">
      <c r="A2478" s="46" t="s">
        <v>18</v>
      </c>
      <c r="B2478" s="46" t="s">
        <v>14</v>
      </c>
      <c r="C2478" s="48">
        <v>110.2</v>
      </c>
      <c r="D2478" s="48">
        <v>82.1</v>
      </c>
      <c r="E2478" s="48">
        <v>103.7</v>
      </c>
    </row>
    <row r="2479">
      <c r="A2479" s="46" t="s">
        <v>18</v>
      </c>
      <c r="B2479" s="46" t="s">
        <v>13</v>
      </c>
      <c r="C2479" s="49"/>
      <c r="D2479" s="48">
        <v>79.8</v>
      </c>
      <c r="E2479" s="48">
        <v>79.8</v>
      </c>
    </row>
    <row r="2480">
      <c r="A2480" s="46" t="s">
        <v>18</v>
      </c>
      <c r="B2480" s="46" t="s">
        <v>13</v>
      </c>
      <c r="C2480" s="49"/>
      <c r="D2480" s="48">
        <v>82.8</v>
      </c>
      <c r="E2480" s="48">
        <v>82.8</v>
      </c>
    </row>
    <row r="2481">
      <c r="A2481" s="46" t="s">
        <v>18</v>
      </c>
      <c r="B2481" s="46" t="s">
        <v>15</v>
      </c>
      <c r="C2481" s="48">
        <v>109.1</v>
      </c>
      <c r="D2481" s="49"/>
      <c r="E2481" s="48">
        <v>109.1</v>
      </c>
    </row>
    <row r="2482">
      <c r="A2482" s="46" t="s">
        <v>18</v>
      </c>
      <c r="B2482" s="46" t="s">
        <v>14</v>
      </c>
      <c r="C2482" s="48">
        <v>111.8</v>
      </c>
      <c r="D2482" s="48">
        <v>80.0</v>
      </c>
      <c r="E2482" s="48">
        <v>110.9</v>
      </c>
    </row>
    <row r="2483">
      <c r="A2483" s="46" t="s">
        <v>18</v>
      </c>
      <c r="B2483" s="46" t="s">
        <v>15</v>
      </c>
      <c r="C2483" s="48">
        <v>129.8</v>
      </c>
      <c r="D2483" s="49"/>
      <c r="E2483" s="48">
        <v>129.8</v>
      </c>
    </row>
    <row r="2484">
      <c r="A2484" s="46" t="s">
        <v>18</v>
      </c>
      <c r="B2484" s="46" t="s">
        <v>13</v>
      </c>
      <c r="C2484" s="49"/>
      <c r="D2484" s="48">
        <v>118.7</v>
      </c>
      <c r="E2484" s="48">
        <v>118.7</v>
      </c>
    </row>
    <row r="2485">
      <c r="A2485" s="46" t="s">
        <v>18</v>
      </c>
      <c r="B2485" s="46" t="s">
        <v>14</v>
      </c>
      <c r="C2485" s="48">
        <v>115.1</v>
      </c>
      <c r="D2485" s="48">
        <v>91.2</v>
      </c>
      <c r="E2485" s="48">
        <v>108.0</v>
      </c>
    </row>
    <row r="2486">
      <c r="A2486" s="46" t="s">
        <v>18</v>
      </c>
      <c r="B2486" s="46" t="s">
        <v>15</v>
      </c>
      <c r="C2486" s="48">
        <v>121.0</v>
      </c>
      <c r="D2486" s="49"/>
      <c r="E2486" s="48">
        <v>121.0</v>
      </c>
    </row>
    <row r="2487">
      <c r="A2487" s="46" t="s">
        <v>18</v>
      </c>
      <c r="B2487" s="46" t="s">
        <v>14</v>
      </c>
      <c r="C2487" s="48">
        <v>120.8</v>
      </c>
      <c r="D2487" s="48">
        <v>93.2</v>
      </c>
      <c r="E2487" s="48">
        <v>117.3</v>
      </c>
    </row>
    <row r="2488">
      <c r="A2488" s="46" t="s">
        <v>18</v>
      </c>
      <c r="B2488" s="46" t="s">
        <v>14</v>
      </c>
      <c r="C2488" s="48">
        <v>78.8</v>
      </c>
      <c r="D2488" s="48">
        <v>84.7</v>
      </c>
      <c r="E2488" s="48">
        <v>84.5</v>
      </c>
    </row>
    <row r="2489">
      <c r="A2489" s="46" t="s">
        <v>18</v>
      </c>
      <c r="B2489" s="46" t="s">
        <v>13</v>
      </c>
      <c r="C2489" s="49"/>
      <c r="D2489" s="48">
        <v>88.2</v>
      </c>
      <c r="E2489" s="48">
        <v>88.2</v>
      </c>
    </row>
    <row r="2490">
      <c r="A2490" s="46" t="s">
        <v>18</v>
      </c>
      <c r="B2490" s="46" t="s">
        <v>13</v>
      </c>
      <c r="C2490" s="49"/>
      <c r="D2490" s="48">
        <v>78.8</v>
      </c>
      <c r="E2490" s="48">
        <v>78.8</v>
      </c>
    </row>
    <row r="2491">
      <c r="A2491" s="46" t="s">
        <v>18</v>
      </c>
      <c r="B2491" s="46" t="s">
        <v>14</v>
      </c>
      <c r="C2491" s="48">
        <v>141.0</v>
      </c>
      <c r="D2491" s="48">
        <v>100.9</v>
      </c>
      <c r="E2491" s="48">
        <v>126.8</v>
      </c>
    </row>
    <row r="2492">
      <c r="A2492" s="46" t="s">
        <v>18</v>
      </c>
      <c r="B2492" s="46" t="s">
        <v>15</v>
      </c>
      <c r="C2492" s="48">
        <v>137.2</v>
      </c>
      <c r="D2492" s="49"/>
      <c r="E2492" s="48">
        <v>137.2</v>
      </c>
    </row>
    <row r="2493">
      <c r="A2493" s="46" t="s">
        <v>18</v>
      </c>
      <c r="B2493" s="46" t="s">
        <v>15</v>
      </c>
      <c r="C2493" s="48">
        <v>131.7</v>
      </c>
      <c r="D2493" s="49"/>
      <c r="E2493" s="48">
        <v>131.7</v>
      </c>
    </row>
    <row r="2494">
      <c r="A2494" s="46" t="s">
        <v>18</v>
      </c>
      <c r="B2494" s="46" t="s">
        <v>15</v>
      </c>
      <c r="C2494" s="48">
        <v>144.2</v>
      </c>
      <c r="D2494" s="49"/>
      <c r="E2494" s="48">
        <v>144.2</v>
      </c>
    </row>
    <row r="2495">
      <c r="A2495" s="46" t="s">
        <v>18</v>
      </c>
      <c r="B2495" s="46" t="s">
        <v>15</v>
      </c>
      <c r="C2495" s="48">
        <v>121.9</v>
      </c>
      <c r="D2495" s="49"/>
      <c r="E2495" s="48">
        <v>121.9</v>
      </c>
    </row>
    <row r="2496">
      <c r="A2496" s="46" t="s">
        <v>18</v>
      </c>
      <c r="B2496" s="46" t="s">
        <v>15</v>
      </c>
      <c r="C2496" s="48">
        <v>126.1</v>
      </c>
      <c r="D2496" s="49"/>
      <c r="E2496" s="48">
        <v>126.1</v>
      </c>
    </row>
    <row r="2497">
      <c r="A2497" s="46" t="s">
        <v>18</v>
      </c>
      <c r="B2497" s="46" t="s">
        <v>14</v>
      </c>
      <c r="C2497" s="48">
        <v>105.9</v>
      </c>
      <c r="D2497" s="48">
        <v>78.6</v>
      </c>
      <c r="E2497" s="48">
        <v>96.7</v>
      </c>
    </row>
    <row r="2498">
      <c r="A2498" s="46" t="s">
        <v>18</v>
      </c>
      <c r="B2498" s="46" t="s">
        <v>15</v>
      </c>
      <c r="C2498" s="48">
        <v>87.7</v>
      </c>
      <c r="D2498" s="49"/>
      <c r="E2498" s="48">
        <v>87.7</v>
      </c>
    </row>
    <row r="2499">
      <c r="A2499" s="46" t="s">
        <v>18</v>
      </c>
      <c r="B2499" s="46" t="s">
        <v>15</v>
      </c>
      <c r="C2499" s="48">
        <v>112.4</v>
      </c>
      <c r="D2499" s="49"/>
      <c r="E2499" s="48">
        <v>112.4</v>
      </c>
    </row>
    <row r="2500">
      <c r="A2500" s="46" t="s">
        <v>18</v>
      </c>
      <c r="B2500" s="46" t="s">
        <v>14</v>
      </c>
      <c r="C2500" s="48">
        <v>112.5</v>
      </c>
      <c r="D2500" s="48">
        <v>99.3</v>
      </c>
      <c r="E2500" s="48">
        <v>109.8</v>
      </c>
    </row>
    <row r="2501">
      <c r="A2501" s="46" t="s">
        <v>18</v>
      </c>
      <c r="B2501" s="46" t="s">
        <v>15</v>
      </c>
      <c r="C2501" s="48">
        <v>141.1</v>
      </c>
      <c r="D2501" s="49"/>
      <c r="E2501" s="48">
        <v>141.1</v>
      </c>
    </row>
    <row r="2502">
      <c r="A2502" s="46" t="s">
        <v>18</v>
      </c>
      <c r="B2502" s="46" t="s">
        <v>14</v>
      </c>
      <c r="C2502" s="48">
        <v>107.3</v>
      </c>
      <c r="D2502" s="48">
        <v>94.9</v>
      </c>
      <c r="E2502" s="48">
        <v>104.7</v>
      </c>
    </row>
    <row r="2503">
      <c r="A2503" s="46" t="s">
        <v>18</v>
      </c>
      <c r="B2503" s="46" t="s">
        <v>13</v>
      </c>
      <c r="C2503" s="49"/>
      <c r="D2503" s="48">
        <v>87.2</v>
      </c>
      <c r="E2503" s="48">
        <v>87.2</v>
      </c>
    </row>
    <row r="2504">
      <c r="A2504" s="46" t="s">
        <v>18</v>
      </c>
      <c r="B2504" s="46" t="s">
        <v>13</v>
      </c>
      <c r="C2504" s="49"/>
      <c r="D2504" s="48">
        <v>89.4</v>
      </c>
      <c r="E2504" s="48">
        <v>89.4</v>
      </c>
    </row>
    <row r="2505">
      <c r="A2505" s="46" t="s">
        <v>18</v>
      </c>
      <c r="B2505" s="46" t="s">
        <v>13</v>
      </c>
      <c r="C2505" s="49"/>
      <c r="D2505" s="48">
        <v>76.0</v>
      </c>
      <c r="E2505" s="48">
        <v>76.0</v>
      </c>
    </row>
    <row r="2506">
      <c r="A2506" s="46" t="s">
        <v>18</v>
      </c>
      <c r="B2506" s="46" t="s">
        <v>13</v>
      </c>
      <c r="C2506" s="49"/>
      <c r="D2506" s="48">
        <v>122.2</v>
      </c>
      <c r="E2506" s="48">
        <v>122.2</v>
      </c>
    </row>
    <row r="2507">
      <c r="A2507" s="46" t="s">
        <v>18</v>
      </c>
      <c r="B2507" s="46" t="s">
        <v>13</v>
      </c>
      <c r="C2507" s="49"/>
      <c r="D2507" s="48">
        <v>81.7</v>
      </c>
      <c r="E2507" s="48">
        <v>81.7</v>
      </c>
    </row>
    <row r="2508">
      <c r="A2508" s="46" t="s">
        <v>18</v>
      </c>
      <c r="B2508" s="46" t="s">
        <v>13</v>
      </c>
      <c r="C2508" s="49"/>
      <c r="D2508" s="48">
        <v>74.4</v>
      </c>
      <c r="E2508" s="48">
        <v>74.4</v>
      </c>
    </row>
    <row r="2509">
      <c r="A2509" s="46" t="s">
        <v>18</v>
      </c>
      <c r="B2509" s="46" t="s">
        <v>13</v>
      </c>
      <c r="C2509" s="49"/>
      <c r="D2509" s="48">
        <v>82.2</v>
      </c>
      <c r="E2509" s="48">
        <v>82.2</v>
      </c>
    </row>
    <row r="2510">
      <c r="A2510" s="46" t="s">
        <v>18</v>
      </c>
      <c r="B2510" s="46" t="s">
        <v>14</v>
      </c>
      <c r="C2510" s="48">
        <v>106.1</v>
      </c>
      <c r="D2510" s="48">
        <v>75.8</v>
      </c>
      <c r="E2510" s="48">
        <v>79.0</v>
      </c>
    </row>
    <row r="2511">
      <c r="A2511" s="46" t="s">
        <v>18</v>
      </c>
      <c r="B2511" s="46" t="s">
        <v>13</v>
      </c>
      <c r="C2511" s="49"/>
      <c r="D2511" s="48">
        <v>80.8</v>
      </c>
      <c r="E2511" s="48">
        <v>80.8</v>
      </c>
    </row>
    <row r="2512">
      <c r="A2512" s="46" t="s">
        <v>18</v>
      </c>
      <c r="B2512" s="46" t="s">
        <v>15</v>
      </c>
      <c r="C2512" s="48">
        <v>123.8</v>
      </c>
      <c r="D2512" s="49"/>
      <c r="E2512" s="48">
        <v>123.8</v>
      </c>
    </row>
    <row r="2513">
      <c r="A2513" s="46" t="s">
        <v>18</v>
      </c>
      <c r="B2513" s="46" t="s">
        <v>15</v>
      </c>
      <c r="C2513" s="48">
        <v>129.1</v>
      </c>
      <c r="D2513" s="49"/>
      <c r="E2513" s="48">
        <v>129.1</v>
      </c>
    </row>
    <row r="2514">
      <c r="A2514" s="46" t="s">
        <v>18</v>
      </c>
      <c r="B2514" s="46" t="s">
        <v>14</v>
      </c>
      <c r="C2514" s="48">
        <v>106.7</v>
      </c>
      <c r="D2514" s="48">
        <v>79.7</v>
      </c>
      <c r="E2514" s="48">
        <v>104.6</v>
      </c>
    </row>
    <row r="2515">
      <c r="A2515" s="46" t="s">
        <v>18</v>
      </c>
      <c r="B2515" s="46" t="s">
        <v>15</v>
      </c>
      <c r="C2515" s="48">
        <v>92.6</v>
      </c>
      <c r="D2515" s="49"/>
      <c r="E2515" s="48">
        <v>92.6</v>
      </c>
    </row>
    <row r="2516">
      <c r="A2516" s="46" t="s">
        <v>18</v>
      </c>
      <c r="B2516" s="46" t="s">
        <v>13</v>
      </c>
      <c r="C2516" s="49"/>
      <c r="D2516" s="48">
        <v>75.3</v>
      </c>
      <c r="E2516" s="48">
        <v>75.3</v>
      </c>
    </row>
    <row r="2517">
      <c r="A2517" s="46" t="s">
        <v>18</v>
      </c>
      <c r="B2517" s="46" t="s">
        <v>13</v>
      </c>
      <c r="C2517" s="49"/>
      <c r="D2517" s="48">
        <v>81.2</v>
      </c>
      <c r="E2517" s="48">
        <v>81.2</v>
      </c>
    </row>
    <row r="2518">
      <c r="A2518" s="46" t="s">
        <v>18</v>
      </c>
      <c r="B2518" s="46" t="s">
        <v>13</v>
      </c>
      <c r="C2518" s="49"/>
      <c r="D2518" s="48">
        <v>84.9</v>
      </c>
      <c r="E2518" s="48">
        <v>84.9</v>
      </c>
    </row>
    <row r="2519">
      <c r="A2519" s="46" t="s">
        <v>18</v>
      </c>
      <c r="B2519" s="46" t="s">
        <v>13</v>
      </c>
      <c r="C2519" s="49"/>
      <c r="D2519" s="48">
        <v>81.8</v>
      </c>
      <c r="E2519" s="48">
        <v>81.8</v>
      </c>
    </row>
    <row r="2520">
      <c r="A2520" s="46" t="s">
        <v>18</v>
      </c>
      <c r="B2520" s="46" t="s">
        <v>15</v>
      </c>
      <c r="C2520" s="48">
        <v>100.7</v>
      </c>
      <c r="D2520" s="49"/>
      <c r="E2520" s="48">
        <v>100.7</v>
      </c>
    </row>
    <row r="2521">
      <c r="A2521" s="46" t="s">
        <v>18</v>
      </c>
      <c r="B2521" s="46" t="s">
        <v>14</v>
      </c>
      <c r="C2521" s="48">
        <v>98.4</v>
      </c>
      <c r="D2521" s="48">
        <v>80.9</v>
      </c>
      <c r="E2521" s="48">
        <v>86.7</v>
      </c>
    </row>
    <row r="2522">
      <c r="A2522" s="46" t="s">
        <v>18</v>
      </c>
      <c r="B2522" s="46" t="s">
        <v>14</v>
      </c>
      <c r="C2522" s="48">
        <v>109.3</v>
      </c>
      <c r="D2522" s="48">
        <v>84.6</v>
      </c>
      <c r="E2522" s="48">
        <v>102.7</v>
      </c>
    </row>
    <row r="2523">
      <c r="A2523" s="46" t="s">
        <v>18</v>
      </c>
      <c r="B2523" s="46" t="s">
        <v>14</v>
      </c>
      <c r="C2523" s="48">
        <v>67.0</v>
      </c>
      <c r="D2523" s="48">
        <v>83.8</v>
      </c>
      <c r="E2523" s="48">
        <v>83.6</v>
      </c>
    </row>
    <row r="2524">
      <c r="A2524" s="46" t="s">
        <v>18</v>
      </c>
      <c r="B2524" s="46" t="s">
        <v>14</v>
      </c>
      <c r="C2524" s="48">
        <v>103.3</v>
      </c>
      <c r="D2524" s="48">
        <v>86.5</v>
      </c>
      <c r="E2524" s="48">
        <v>94.2</v>
      </c>
    </row>
    <row r="2525">
      <c r="A2525" s="46" t="s">
        <v>18</v>
      </c>
      <c r="B2525" s="46" t="s">
        <v>14</v>
      </c>
      <c r="C2525" s="48">
        <v>108.4</v>
      </c>
      <c r="D2525" s="48">
        <v>91.8</v>
      </c>
      <c r="E2525" s="48">
        <v>101.4</v>
      </c>
    </row>
    <row r="2526">
      <c r="A2526" s="46" t="s">
        <v>18</v>
      </c>
      <c r="B2526" s="46" t="s">
        <v>15</v>
      </c>
      <c r="C2526" s="48">
        <v>114.6</v>
      </c>
      <c r="D2526" s="49"/>
      <c r="E2526" s="48">
        <v>114.6</v>
      </c>
    </row>
    <row r="2527">
      <c r="A2527" s="46" t="s">
        <v>18</v>
      </c>
      <c r="B2527" s="46" t="s">
        <v>14</v>
      </c>
      <c r="C2527" s="48">
        <v>122.1</v>
      </c>
      <c r="D2527" s="48">
        <v>94.1</v>
      </c>
      <c r="E2527" s="48">
        <v>115.9</v>
      </c>
    </row>
    <row r="2528">
      <c r="A2528" s="46" t="s">
        <v>18</v>
      </c>
      <c r="B2528" s="46" t="s">
        <v>14</v>
      </c>
      <c r="C2528" s="48">
        <v>115.5</v>
      </c>
      <c r="D2528" s="48">
        <v>95.3</v>
      </c>
      <c r="E2528" s="48">
        <v>111.0</v>
      </c>
    </row>
    <row r="2529">
      <c r="A2529" s="46" t="s">
        <v>18</v>
      </c>
      <c r="B2529" s="46" t="s">
        <v>14</v>
      </c>
      <c r="C2529" s="48">
        <v>121.2</v>
      </c>
      <c r="D2529" s="48">
        <v>101.0</v>
      </c>
      <c r="E2529" s="48">
        <v>107.7</v>
      </c>
    </row>
    <row r="2530">
      <c r="A2530" s="46" t="s">
        <v>18</v>
      </c>
      <c r="B2530" s="46" t="s">
        <v>14</v>
      </c>
      <c r="C2530" s="48">
        <v>135.7</v>
      </c>
      <c r="D2530" s="48">
        <v>113.8</v>
      </c>
      <c r="E2530" s="48">
        <v>132.7</v>
      </c>
    </row>
    <row r="2531">
      <c r="A2531" s="46" t="s">
        <v>18</v>
      </c>
      <c r="B2531" s="46" t="s">
        <v>14</v>
      </c>
      <c r="C2531" s="48">
        <v>113.4</v>
      </c>
      <c r="D2531" s="48">
        <v>89.3</v>
      </c>
      <c r="E2531" s="48">
        <v>107.5</v>
      </c>
    </row>
    <row r="2532">
      <c r="A2532" s="46" t="s">
        <v>18</v>
      </c>
      <c r="B2532" s="46" t="s">
        <v>15</v>
      </c>
      <c r="C2532" s="48">
        <v>119.5</v>
      </c>
      <c r="D2532" s="49"/>
      <c r="E2532" s="48">
        <v>119.5</v>
      </c>
    </row>
    <row r="2533">
      <c r="A2533" s="46" t="s">
        <v>18</v>
      </c>
      <c r="B2533" s="46" t="s">
        <v>14</v>
      </c>
      <c r="C2533" s="48">
        <v>106.8</v>
      </c>
      <c r="D2533" s="48">
        <v>82.0</v>
      </c>
      <c r="E2533" s="48">
        <v>101.3</v>
      </c>
    </row>
    <row r="2534">
      <c r="A2534" s="46" t="s">
        <v>18</v>
      </c>
      <c r="B2534" s="46" t="s">
        <v>15</v>
      </c>
      <c r="C2534" s="48">
        <v>130.0</v>
      </c>
      <c r="D2534" s="49"/>
      <c r="E2534" s="48">
        <v>130.0</v>
      </c>
    </row>
    <row r="2535">
      <c r="A2535" s="46" t="s">
        <v>18</v>
      </c>
      <c r="B2535" s="46" t="s">
        <v>14</v>
      </c>
      <c r="C2535" s="48">
        <v>119.0</v>
      </c>
      <c r="D2535" s="48">
        <v>97.3</v>
      </c>
      <c r="E2535" s="48">
        <v>112.8</v>
      </c>
    </row>
    <row r="2536">
      <c r="A2536" s="46" t="s">
        <v>18</v>
      </c>
      <c r="B2536" s="46" t="s">
        <v>14</v>
      </c>
      <c r="C2536" s="48">
        <v>119.2</v>
      </c>
      <c r="D2536" s="48">
        <v>90.5</v>
      </c>
      <c r="E2536" s="48">
        <v>111.6</v>
      </c>
    </row>
    <row r="2537">
      <c r="A2537" s="46" t="s">
        <v>18</v>
      </c>
      <c r="B2537" s="46" t="s">
        <v>13</v>
      </c>
      <c r="C2537" s="49"/>
      <c r="D2537" s="48">
        <v>87.5</v>
      </c>
      <c r="E2537" s="48">
        <v>87.5</v>
      </c>
    </row>
    <row r="2538">
      <c r="A2538" s="46" t="s">
        <v>18</v>
      </c>
      <c r="B2538" s="46" t="s">
        <v>13</v>
      </c>
      <c r="C2538" s="49"/>
      <c r="D2538" s="48">
        <v>85.1</v>
      </c>
      <c r="E2538" s="48">
        <v>85.1</v>
      </c>
    </row>
    <row r="2539">
      <c r="A2539" s="46" t="s">
        <v>18</v>
      </c>
      <c r="B2539" s="46" t="s">
        <v>15</v>
      </c>
      <c r="C2539" s="48">
        <v>91.5</v>
      </c>
      <c r="D2539" s="49"/>
      <c r="E2539" s="48">
        <v>91.5</v>
      </c>
    </row>
    <row r="2540">
      <c r="A2540" s="46" t="s">
        <v>18</v>
      </c>
      <c r="B2540" s="46" t="s">
        <v>13</v>
      </c>
      <c r="C2540" s="49"/>
      <c r="D2540" s="48">
        <v>76.0</v>
      </c>
      <c r="E2540" s="48">
        <v>76.0</v>
      </c>
    </row>
    <row r="2541">
      <c r="A2541" s="46" t="s">
        <v>18</v>
      </c>
      <c r="B2541" s="46" t="s">
        <v>15</v>
      </c>
      <c r="C2541" s="48">
        <v>108.7</v>
      </c>
      <c r="D2541" s="49"/>
      <c r="E2541" s="48">
        <v>108.7</v>
      </c>
    </row>
    <row r="2542">
      <c r="A2542" s="46" t="s">
        <v>18</v>
      </c>
      <c r="B2542" s="46" t="s">
        <v>13</v>
      </c>
      <c r="C2542" s="49"/>
      <c r="D2542" s="48">
        <v>70.2</v>
      </c>
      <c r="E2542" s="48">
        <v>70.2</v>
      </c>
    </row>
    <row r="2543">
      <c r="A2543" s="46" t="s">
        <v>18</v>
      </c>
      <c r="B2543" s="46" t="s">
        <v>14</v>
      </c>
      <c r="C2543" s="48">
        <v>97.9</v>
      </c>
      <c r="D2543" s="48">
        <v>73.2</v>
      </c>
      <c r="E2543" s="48">
        <v>88.7</v>
      </c>
    </row>
    <row r="2544">
      <c r="A2544" s="46" t="s">
        <v>18</v>
      </c>
      <c r="B2544" s="46" t="s">
        <v>14</v>
      </c>
      <c r="C2544" s="48">
        <v>97.8</v>
      </c>
      <c r="D2544" s="48">
        <v>74.4</v>
      </c>
      <c r="E2544" s="48">
        <v>89.2</v>
      </c>
    </row>
    <row r="2545">
      <c r="A2545" s="46" t="s">
        <v>18</v>
      </c>
      <c r="B2545" s="46" t="s">
        <v>15</v>
      </c>
      <c r="C2545" s="48">
        <v>118.2</v>
      </c>
      <c r="D2545" s="49"/>
      <c r="E2545" s="48">
        <v>118.2</v>
      </c>
    </row>
    <row r="2546">
      <c r="A2546" s="46" t="s">
        <v>18</v>
      </c>
      <c r="B2546" s="46" t="s">
        <v>13</v>
      </c>
      <c r="C2546" s="49"/>
      <c r="D2546" s="48">
        <v>88.3</v>
      </c>
      <c r="E2546" s="48">
        <v>88.3</v>
      </c>
    </row>
    <row r="2547">
      <c r="A2547" s="46" t="s">
        <v>18</v>
      </c>
      <c r="B2547" s="46" t="s">
        <v>15</v>
      </c>
      <c r="C2547" s="48">
        <v>119.5</v>
      </c>
      <c r="D2547" s="49"/>
      <c r="E2547" s="48">
        <v>119.5</v>
      </c>
    </row>
    <row r="2548">
      <c r="A2548" s="46" t="s">
        <v>18</v>
      </c>
      <c r="B2548" s="46" t="s">
        <v>13</v>
      </c>
      <c r="C2548" s="49"/>
      <c r="D2548" s="48">
        <v>87.2</v>
      </c>
      <c r="E2548" s="48">
        <v>87.2</v>
      </c>
    </row>
    <row r="2549">
      <c r="A2549" s="46" t="s">
        <v>18</v>
      </c>
      <c r="B2549" s="46" t="s">
        <v>14</v>
      </c>
      <c r="C2549" s="48">
        <v>105.6</v>
      </c>
      <c r="D2549" s="48">
        <v>83.1</v>
      </c>
      <c r="E2549" s="48">
        <v>95.5</v>
      </c>
    </row>
    <row r="2550">
      <c r="A2550" s="46" t="s">
        <v>18</v>
      </c>
      <c r="B2550" s="46" t="s">
        <v>15</v>
      </c>
      <c r="C2550" s="48">
        <v>96.3</v>
      </c>
      <c r="D2550" s="49"/>
      <c r="E2550" s="48">
        <v>96.3</v>
      </c>
    </row>
    <row r="2551">
      <c r="A2551" s="46" t="s">
        <v>18</v>
      </c>
      <c r="B2551" s="46" t="s">
        <v>14</v>
      </c>
      <c r="C2551" s="48">
        <v>119.9</v>
      </c>
      <c r="D2551" s="48">
        <v>101.1</v>
      </c>
      <c r="E2551" s="48">
        <v>118.4</v>
      </c>
    </row>
    <row r="2552">
      <c r="A2552" s="46" t="s">
        <v>18</v>
      </c>
      <c r="B2552" s="46" t="s">
        <v>15</v>
      </c>
      <c r="C2552" s="48">
        <v>102.7</v>
      </c>
      <c r="D2552" s="49"/>
      <c r="E2552" s="48">
        <v>102.7</v>
      </c>
    </row>
    <row r="2553">
      <c r="A2553" s="46" t="s">
        <v>18</v>
      </c>
      <c r="B2553" s="46" t="s">
        <v>14</v>
      </c>
      <c r="C2553" s="48">
        <v>119.6</v>
      </c>
      <c r="D2553" s="48">
        <v>93.8</v>
      </c>
      <c r="E2553" s="48">
        <v>114.0</v>
      </c>
    </row>
    <row r="2554">
      <c r="A2554" s="46" t="s">
        <v>18</v>
      </c>
      <c r="B2554" s="46" t="s">
        <v>13</v>
      </c>
      <c r="C2554" s="49"/>
      <c r="D2554" s="48">
        <v>75.5</v>
      </c>
      <c r="E2554" s="48">
        <v>75.5</v>
      </c>
    </row>
    <row r="2555">
      <c r="A2555" s="46" t="s">
        <v>18</v>
      </c>
      <c r="B2555" s="46" t="s">
        <v>15</v>
      </c>
      <c r="C2555" s="48">
        <v>109.2</v>
      </c>
      <c r="D2555" s="49"/>
      <c r="E2555" s="48">
        <v>109.2</v>
      </c>
    </row>
    <row r="2556">
      <c r="A2556" s="46" t="s">
        <v>18</v>
      </c>
      <c r="B2556" s="46" t="s">
        <v>13</v>
      </c>
      <c r="C2556" s="49"/>
      <c r="D2556" s="48">
        <v>88.3</v>
      </c>
      <c r="E2556" s="48">
        <v>88.3</v>
      </c>
    </row>
    <row r="2557">
      <c r="A2557" s="46" t="s">
        <v>18</v>
      </c>
      <c r="B2557" s="46" t="s">
        <v>13</v>
      </c>
      <c r="C2557" s="49"/>
      <c r="D2557" s="48">
        <v>84.8</v>
      </c>
      <c r="E2557" s="48">
        <v>84.8</v>
      </c>
    </row>
    <row r="2558">
      <c r="A2558" s="46" t="s">
        <v>18</v>
      </c>
      <c r="B2558" s="46" t="s">
        <v>14</v>
      </c>
      <c r="C2558" s="48">
        <v>103.4</v>
      </c>
      <c r="D2558" s="48">
        <v>85.9</v>
      </c>
      <c r="E2558" s="48">
        <v>95.8</v>
      </c>
    </row>
    <row r="2559">
      <c r="A2559" s="46" t="s">
        <v>18</v>
      </c>
      <c r="B2559" s="46" t="s">
        <v>14</v>
      </c>
      <c r="C2559" s="48">
        <v>115.2</v>
      </c>
      <c r="D2559" s="48">
        <v>90.7</v>
      </c>
      <c r="E2559" s="48">
        <v>109.2</v>
      </c>
    </row>
    <row r="2560">
      <c r="A2560" s="46" t="s">
        <v>18</v>
      </c>
      <c r="B2560" s="46" t="s">
        <v>15</v>
      </c>
      <c r="C2560" s="48">
        <v>103.3</v>
      </c>
      <c r="D2560" s="49"/>
      <c r="E2560" s="48">
        <v>103.3</v>
      </c>
    </row>
    <row r="2561">
      <c r="A2561" s="46" t="s">
        <v>18</v>
      </c>
      <c r="B2561" s="46" t="s">
        <v>13</v>
      </c>
      <c r="C2561" s="49"/>
      <c r="D2561" s="48">
        <v>90.6</v>
      </c>
      <c r="E2561" s="48">
        <v>90.6</v>
      </c>
    </row>
    <row r="2562">
      <c r="A2562" s="46" t="s">
        <v>18</v>
      </c>
      <c r="B2562" s="46" t="s">
        <v>15</v>
      </c>
      <c r="C2562" s="48">
        <v>104.4</v>
      </c>
      <c r="D2562" s="49"/>
      <c r="E2562" s="48">
        <v>104.4</v>
      </c>
    </row>
    <row r="2563">
      <c r="A2563" s="46" t="s">
        <v>18</v>
      </c>
      <c r="B2563" s="46" t="s">
        <v>15</v>
      </c>
      <c r="C2563" s="48">
        <v>123.9</v>
      </c>
      <c r="D2563" s="49"/>
      <c r="E2563" s="48">
        <v>123.9</v>
      </c>
    </row>
    <row r="2564">
      <c r="A2564" s="46" t="s">
        <v>18</v>
      </c>
      <c r="B2564" s="46" t="s">
        <v>13</v>
      </c>
      <c r="C2564" s="49"/>
      <c r="D2564" s="48">
        <v>84.0</v>
      </c>
      <c r="E2564" s="48">
        <v>84.0</v>
      </c>
    </row>
    <row r="2565">
      <c r="A2565" s="46" t="s">
        <v>18</v>
      </c>
      <c r="B2565" s="46" t="s">
        <v>15</v>
      </c>
      <c r="C2565" s="48">
        <v>127.0</v>
      </c>
      <c r="D2565" s="49"/>
      <c r="E2565" s="48">
        <v>127.0</v>
      </c>
    </row>
    <row r="2566">
      <c r="A2566" s="46" t="s">
        <v>18</v>
      </c>
      <c r="B2566" s="46" t="s">
        <v>15</v>
      </c>
      <c r="C2566" s="48">
        <v>109.7</v>
      </c>
      <c r="D2566" s="49"/>
      <c r="E2566" s="48">
        <v>109.7</v>
      </c>
    </row>
    <row r="2567">
      <c r="A2567" s="46" t="s">
        <v>18</v>
      </c>
      <c r="B2567" s="46" t="s">
        <v>15</v>
      </c>
      <c r="C2567" s="48">
        <v>109.0</v>
      </c>
      <c r="D2567" s="49"/>
      <c r="E2567" s="48">
        <v>109.0</v>
      </c>
    </row>
    <row r="2568">
      <c r="A2568" s="46" t="s">
        <v>18</v>
      </c>
      <c r="B2568" s="46" t="s">
        <v>15</v>
      </c>
      <c r="C2568" s="48">
        <v>116.7</v>
      </c>
      <c r="D2568" s="49"/>
      <c r="E2568" s="48">
        <v>116.7</v>
      </c>
    </row>
    <row r="2569">
      <c r="A2569" s="46" t="s">
        <v>18</v>
      </c>
      <c r="B2569" s="46" t="s">
        <v>14</v>
      </c>
      <c r="C2569" s="48">
        <v>111.5</v>
      </c>
      <c r="D2569" s="48">
        <v>92.5</v>
      </c>
      <c r="E2569" s="48">
        <v>111.0</v>
      </c>
    </row>
    <row r="2570">
      <c r="A2570" s="46" t="s">
        <v>18</v>
      </c>
      <c r="B2570" s="46" t="s">
        <v>13</v>
      </c>
      <c r="C2570" s="49"/>
      <c r="D2570" s="48">
        <v>80.4</v>
      </c>
      <c r="E2570" s="48">
        <v>80.4</v>
      </c>
    </row>
    <row r="2571">
      <c r="A2571" s="46" t="s">
        <v>18</v>
      </c>
      <c r="B2571" s="46" t="s">
        <v>13</v>
      </c>
      <c r="C2571" s="49"/>
      <c r="D2571" s="48">
        <v>72.5</v>
      </c>
      <c r="E2571" s="48">
        <v>72.5</v>
      </c>
    </row>
    <row r="2572">
      <c r="A2572" s="46" t="s">
        <v>18</v>
      </c>
      <c r="B2572" s="46" t="s">
        <v>15</v>
      </c>
      <c r="C2572" s="48">
        <v>119.4</v>
      </c>
      <c r="D2572" s="49"/>
      <c r="E2572" s="48">
        <v>119.4</v>
      </c>
    </row>
    <row r="2573">
      <c r="A2573" s="46" t="s">
        <v>18</v>
      </c>
      <c r="B2573" s="46" t="s">
        <v>14</v>
      </c>
      <c r="C2573" s="48">
        <v>103.4</v>
      </c>
      <c r="D2573" s="48">
        <v>81.7</v>
      </c>
      <c r="E2573" s="48">
        <v>96.9</v>
      </c>
    </row>
    <row r="2574">
      <c r="A2574" s="46" t="s">
        <v>18</v>
      </c>
      <c r="B2574" s="46" t="s">
        <v>13</v>
      </c>
      <c r="C2574" s="49"/>
      <c r="D2574" s="48">
        <v>85.7</v>
      </c>
      <c r="E2574" s="48">
        <v>85.7</v>
      </c>
    </row>
    <row r="2575">
      <c r="A2575" s="46" t="s">
        <v>18</v>
      </c>
      <c r="B2575" s="46" t="s">
        <v>15</v>
      </c>
      <c r="C2575" s="48">
        <v>100.4</v>
      </c>
      <c r="D2575" s="49"/>
      <c r="E2575" s="48">
        <v>100.4</v>
      </c>
    </row>
    <row r="2576">
      <c r="A2576" s="46" t="s">
        <v>18</v>
      </c>
      <c r="B2576" s="46" t="s">
        <v>14</v>
      </c>
      <c r="C2576" s="48">
        <v>127.5</v>
      </c>
      <c r="D2576" s="48">
        <v>98.9</v>
      </c>
      <c r="E2576" s="48">
        <v>112.4</v>
      </c>
    </row>
    <row r="2577">
      <c r="A2577" s="46" t="s">
        <v>18</v>
      </c>
      <c r="B2577" s="46" t="s">
        <v>15</v>
      </c>
      <c r="C2577" s="48">
        <v>119.3</v>
      </c>
      <c r="D2577" s="49"/>
      <c r="E2577" s="48">
        <v>119.3</v>
      </c>
    </row>
    <row r="2578">
      <c r="A2578" s="46" t="s">
        <v>18</v>
      </c>
      <c r="B2578" s="46" t="s">
        <v>15</v>
      </c>
      <c r="C2578" s="48">
        <v>118.2</v>
      </c>
      <c r="D2578" s="49"/>
      <c r="E2578" s="48">
        <v>118.2</v>
      </c>
    </row>
    <row r="2579">
      <c r="A2579" s="46" t="s">
        <v>18</v>
      </c>
      <c r="B2579" s="46" t="s">
        <v>14</v>
      </c>
      <c r="C2579" s="48">
        <v>117.2</v>
      </c>
      <c r="D2579" s="48">
        <v>83.2</v>
      </c>
      <c r="E2579" s="48">
        <v>110.3</v>
      </c>
    </row>
    <row r="2580">
      <c r="A2580" s="46" t="s">
        <v>18</v>
      </c>
      <c r="B2580" s="46" t="s">
        <v>13</v>
      </c>
      <c r="C2580" s="49"/>
      <c r="D2580" s="48">
        <v>85.2</v>
      </c>
      <c r="E2580" s="48">
        <v>85.2</v>
      </c>
    </row>
    <row r="2581">
      <c r="A2581" s="46" t="s">
        <v>18</v>
      </c>
      <c r="B2581" s="46" t="s">
        <v>13</v>
      </c>
      <c r="C2581" s="49"/>
      <c r="D2581" s="48">
        <v>79.5</v>
      </c>
      <c r="E2581" s="48">
        <v>79.5</v>
      </c>
    </row>
    <row r="2582">
      <c r="A2582" s="46" t="s">
        <v>18</v>
      </c>
      <c r="B2582" s="46" t="s">
        <v>15</v>
      </c>
      <c r="C2582" s="48">
        <v>128.1</v>
      </c>
      <c r="D2582" s="49"/>
      <c r="E2582" s="48">
        <v>128.1</v>
      </c>
    </row>
    <row r="2583">
      <c r="A2583" s="46" t="s">
        <v>18</v>
      </c>
      <c r="B2583" s="46" t="s">
        <v>14</v>
      </c>
      <c r="C2583" s="48">
        <v>96.4</v>
      </c>
      <c r="D2583" s="48">
        <v>92.2</v>
      </c>
      <c r="E2583" s="48">
        <v>95.3</v>
      </c>
    </row>
    <row r="2584">
      <c r="A2584" s="46" t="s">
        <v>18</v>
      </c>
      <c r="B2584" s="46" t="s">
        <v>15</v>
      </c>
      <c r="C2584" s="48">
        <v>147.3</v>
      </c>
      <c r="D2584" s="49"/>
      <c r="E2584" s="48">
        <v>147.3</v>
      </c>
    </row>
    <row r="2585">
      <c r="A2585" s="46" t="s">
        <v>18</v>
      </c>
      <c r="B2585" s="46" t="s">
        <v>15</v>
      </c>
      <c r="C2585" s="48">
        <v>105.5</v>
      </c>
      <c r="D2585" s="49"/>
      <c r="E2585" s="48">
        <v>105.5</v>
      </c>
    </row>
    <row r="2586">
      <c r="A2586" s="46" t="s">
        <v>18</v>
      </c>
      <c r="B2586" s="46" t="s">
        <v>15</v>
      </c>
      <c r="C2586" s="48">
        <v>105.2</v>
      </c>
      <c r="D2586" s="49"/>
      <c r="E2586" s="48">
        <v>105.2</v>
      </c>
    </row>
    <row r="2587">
      <c r="A2587" s="46" t="s">
        <v>18</v>
      </c>
      <c r="B2587" s="46" t="s">
        <v>14</v>
      </c>
      <c r="C2587" s="48">
        <v>126.4</v>
      </c>
      <c r="D2587" s="48">
        <v>101.5</v>
      </c>
      <c r="E2587" s="48">
        <v>119.3</v>
      </c>
    </row>
    <row r="2588">
      <c r="A2588" s="46" t="s">
        <v>18</v>
      </c>
      <c r="B2588" s="46" t="s">
        <v>15</v>
      </c>
      <c r="C2588" s="48">
        <v>136.5</v>
      </c>
      <c r="D2588" s="49"/>
      <c r="E2588" s="48">
        <v>136.5</v>
      </c>
    </row>
    <row r="2589">
      <c r="A2589" s="46" t="s">
        <v>18</v>
      </c>
      <c r="B2589" s="46" t="s">
        <v>15</v>
      </c>
      <c r="C2589" s="48">
        <v>107.5</v>
      </c>
      <c r="D2589" s="49"/>
      <c r="E2589" s="48">
        <v>107.5</v>
      </c>
    </row>
    <row r="2590">
      <c r="A2590" s="46" t="s">
        <v>18</v>
      </c>
      <c r="B2590" s="46" t="s">
        <v>15</v>
      </c>
      <c r="C2590" s="48">
        <v>96.7</v>
      </c>
      <c r="D2590" s="49"/>
      <c r="E2590" s="48">
        <v>96.7</v>
      </c>
    </row>
    <row r="2591">
      <c r="A2591" s="46" t="s">
        <v>18</v>
      </c>
      <c r="B2591" s="46" t="s">
        <v>13</v>
      </c>
      <c r="C2591" s="49"/>
      <c r="D2591" s="48">
        <v>87.4</v>
      </c>
      <c r="E2591" s="48">
        <v>87.4</v>
      </c>
    </row>
    <row r="2592">
      <c r="A2592" s="46" t="s">
        <v>18</v>
      </c>
      <c r="B2592" s="46" t="s">
        <v>14</v>
      </c>
      <c r="C2592" s="48">
        <v>108.1</v>
      </c>
      <c r="D2592" s="48">
        <v>91.1</v>
      </c>
      <c r="E2592" s="48">
        <v>102.2</v>
      </c>
    </row>
    <row r="2593">
      <c r="A2593" s="46" t="s">
        <v>18</v>
      </c>
      <c r="B2593" s="46" t="s">
        <v>13</v>
      </c>
      <c r="C2593" s="49"/>
      <c r="D2593" s="48">
        <v>89.1</v>
      </c>
      <c r="E2593" s="48">
        <v>89.1</v>
      </c>
    </row>
    <row r="2594">
      <c r="A2594" s="46" t="s">
        <v>18</v>
      </c>
      <c r="B2594" s="46" t="s">
        <v>15</v>
      </c>
      <c r="C2594" s="48">
        <v>92.6</v>
      </c>
      <c r="D2594" s="49"/>
      <c r="E2594" s="48">
        <v>92.6</v>
      </c>
    </row>
    <row r="2595">
      <c r="A2595" s="46" t="s">
        <v>18</v>
      </c>
      <c r="B2595" s="46" t="s">
        <v>13</v>
      </c>
      <c r="C2595" s="49"/>
      <c r="D2595" s="48">
        <v>86.9</v>
      </c>
      <c r="E2595" s="48">
        <v>86.9</v>
      </c>
    </row>
    <row r="2596">
      <c r="A2596" s="46" t="s">
        <v>18</v>
      </c>
      <c r="B2596" s="46" t="s">
        <v>13</v>
      </c>
      <c r="C2596" s="49"/>
      <c r="D2596" s="48">
        <v>86.3</v>
      </c>
      <c r="E2596" s="48">
        <v>86.3</v>
      </c>
    </row>
    <row r="2597">
      <c r="A2597" s="46" t="s">
        <v>18</v>
      </c>
      <c r="B2597" s="46" t="s">
        <v>15</v>
      </c>
      <c r="C2597" s="48">
        <v>130.6</v>
      </c>
      <c r="D2597" s="49"/>
      <c r="E2597" s="48">
        <v>130.6</v>
      </c>
    </row>
    <row r="2598">
      <c r="A2598" s="46" t="s">
        <v>18</v>
      </c>
      <c r="B2598" s="46" t="s">
        <v>15</v>
      </c>
      <c r="C2598" s="48">
        <v>77.3</v>
      </c>
      <c r="D2598" s="49"/>
      <c r="E2598" s="48">
        <v>77.3</v>
      </c>
    </row>
    <row r="2599">
      <c r="A2599" s="46" t="s">
        <v>18</v>
      </c>
      <c r="B2599" s="46" t="s">
        <v>15</v>
      </c>
      <c r="C2599" s="48">
        <v>81.4</v>
      </c>
      <c r="D2599" s="49"/>
      <c r="E2599" s="48">
        <v>81.4</v>
      </c>
    </row>
    <row r="2600">
      <c r="A2600" s="46" t="s">
        <v>18</v>
      </c>
      <c r="B2600" s="46" t="s">
        <v>14</v>
      </c>
      <c r="C2600" s="48">
        <v>86.8</v>
      </c>
      <c r="D2600" s="48">
        <v>77.1</v>
      </c>
      <c r="E2600" s="48">
        <v>77.5</v>
      </c>
    </row>
    <row r="2601">
      <c r="A2601" s="46" t="s">
        <v>18</v>
      </c>
      <c r="B2601" s="46" t="s">
        <v>13</v>
      </c>
      <c r="C2601" s="49"/>
      <c r="D2601" s="48">
        <v>79.1</v>
      </c>
      <c r="E2601" s="48">
        <v>79.1</v>
      </c>
    </row>
    <row r="2602">
      <c r="A2602" s="46" t="s">
        <v>18</v>
      </c>
      <c r="B2602" s="46" t="s">
        <v>15</v>
      </c>
      <c r="C2602" s="48">
        <v>97.2</v>
      </c>
      <c r="D2602" s="49"/>
      <c r="E2602" s="48">
        <v>97.2</v>
      </c>
    </row>
    <row r="2603">
      <c r="A2603" s="46" t="s">
        <v>18</v>
      </c>
      <c r="B2603" s="46" t="s">
        <v>15</v>
      </c>
      <c r="C2603" s="48">
        <v>110.6</v>
      </c>
      <c r="D2603" s="49"/>
      <c r="E2603" s="48">
        <v>110.6</v>
      </c>
    </row>
    <row r="2604">
      <c r="A2604" s="46" t="s">
        <v>18</v>
      </c>
      <c r="B2604" s="46" t="s">
        <v>15</v>
      </c>
      <c r="C2604" s="48">
        <v>77.5</v>
      </c>
      <c r="D2604" s="49"/>
      <c r="E2604" s="48">
        <v>77.5</v>
      </c>
    </row>
    <row r="2605">
      <c r="A2605" s="46" t="s">
        <v>18</v>
      </c>
      <c r="B2605" s="46" t="s">
        <v>14</v>
      </c>
      <c r="C2605" s="48">
        <v>64.8</v>
      </c>
      <c r="D2605" s="48">
        <v>78.6</v>
      </c>
      <c r="E2605" s="48">
        <v>78.5</v>
      </c>
    </row>
    <row r="2606">
      <c r="A2606" s="46" t="s">
        <v>18</v>
      </c>
      <c r="B2606" s="46" t="s">
        <v>14</v>
      </c>
      <c r="C2606" s="48">
        <v>82.4</v>
      </c>
      <c r="D2606" s="48">
        <v>73.3</v>
      </c>
      <c r="E2606" s="48">
        <v>75.8</v>
      </c>
    </row>
    <row r="2607">
      <c r="A2607" s="46" t="s">
        <v>18</v>
      </c>
      <c r="B2607" s="46" t="s">
        <v>14</v>
      </c>
      <c r="C2607" s="48">
        <v>94.5</v>
      </c>
      <c r="D2607" s="48">
        <v>86.8</v>
      </c>
      <c r="E2607" s="48">
        <v>90.9</v>
      </c>
    </row>
    <row r="2608">
      <c r="A2608" s="46" t="s">
        <v>18</v>
      </c>
      <c r="B2608" s="46" t="s">
        <v>14</v>
      </c>
      <c r="C2608" s="48">
        <v>78.2</v>
      </c>
      <c r="D2608" s="48">
        <v>74.0</v>
      </c>
      <c r="E2608" s="48">
        <v>76.6</v>
      </c>
    </row>
    <row r="2609">
      <c r="A2609" s="46" t="s">
        <v>18</v>
      </c>
      <c r="B2609" s="46" t="s">
        <v>14</v>
      </c>
      <c r="C2609" s="48">
        <v>100.5</v>
      </c>
      <c r="D2609" s="48">
        <v>84.7</v>
      </c>
      <c r="E2609" s="48">
        <v>91.2</v>
      </c>
    </row>
    <row r="2610">
      <c r="A2610" s="46" t="s">
        <v>18</v>
      </c>
      <c r="B2610" s="46" t="s">
        <v>15</v>
      </c>
      <c r="C2610" s="48">
        <v>78.5</v>
      </c>
      <c r="D2610" s="49"/>
      <c r="E2610" s="48">
        <v>78.5</v>
      </c>
    </row>
    <row r="2611">
      <c r="A2611" s="46" t="s">
        <v>18</v>
      </c>
      <c r="B2611" s="46" t="s">
        <v>14</v>
      </c>
      <c r="C2611" s="48">
        <v>102.9</v>
      </c>
      <c r="D2611" s="48">
        <v>82.5</v>
      </c>
      <c r="E2611" s="48">
        <v>97.5</v>
      </c>
    </row>
    <row r="2612">
      <c r="A2612" s="46" t="s">
        <v>18</v>
      </c>
      <c r="B2612" s="46" t="s">
        <v>15</v>
      </c>
      <c r="C2612" s="48">
        <v>134.9</v>
      </c>
      <c r="D2612" s="49"/>
      <c r="E2612" s="48">
        <v>134.9</v>
      </c>
    </row>
    <row r="2613">
      <c r="A2613" s="46" t="s">
        <v>18</v>
      </c>
      <c r="B2613" s="46" t="s">
        <v>14</v>
      </c>
      <c r="C2613" s="48">
        <v>136.3</v>
      </c>
      <c r="D2613" s="48">
        <v>87.5</v>
      </c>
      <c r="E2613" s="48">
        <v>128.6</v>
      </c>
    </row>
    <row r="2614">
      <c r="A2614" s="46" t="s">
        <v>18</v>
      </c>
      <c r="B2614" s="46" t="s">
        <v>15</v>
      </c>
      <c r="C2614" s="48">
        <v>100.2</v>
      </c>
      <c r="D2614" s="49"/>
      <c r="E2614" s="48">
        <v>100.2</v>
      </c>
    </row>
    <row r="2615">
      <c r="A2615" s="46" t="s">
        <v>18</v>
      </c>
      <c r="B2615" s="46" t="s">
        <v>15</v>
      </c>
      <c r="C2615" s="48">
        <v>138.8</v>
      </c>
      <c r="D2615" s="49"/>
      <c r="E2615" s="48">
        <v>138.8</v>
      </c>
    </row>
    <row r="2616">
      <c r="A2616" s="46" t="s">
        <v>18</v>
      </c>
      <c r="B2616" s="46" t="s">
        <v>14</v>
      </c>
      <c r="C2616" s="48">
        <v>66.2</v>
      </c>
      <c r="D2616" s="48">
        <v>74.6</v>
      </c>
      <c r="E2616" s="48">
        <v>74.5</v>
      </c>
    </row>
    <row r="2617">
      <c r="A2617" s="46" t="s">
        <v>18</v>
      </c>
      <c r="B2617" s="46" t="s">
        <v>13</v>
      </c>
      <c r="C2617" s="49"/>
      <c r="D2617" s="48">
        <v>85.6</v>
      </c>
      <c r="E2617" s="48">
        <v>85.6</v>
      </c>
    </row>
    <row r="2618">
      <c r="A2618" s="46" t="s">
        <v>18</v>
      </c>
      <c r="B2618" s="46" t="s">
        <v>14</v>
      </c>
      <c r="C2618" s="48">
        <v>103.7</v>
      </c>
      <c r="D2618" s="48">
        <v>94.2</v>
      </c>
      <c r="E2618" s="48">
        <v>94.8</v>
      </c>
    </row>
    <row r="2619">
      <c r="A2619" s="46" t="s">
        <v>18</v>
      </c>
      <c r="B2619" s="46" t="s">
        <v>14</v>
      </c>
      <c r="C2619" s="48">
        <v>112.2</v>
      </c>
      <c r="D2619" s="48">
        <v>85.7</v>
      </c>
      <c r="E2619" s="48">
        <v>104.1</v>
      </c>
    </row>
    <row r="2620">
      <c r="A2620" s="46" t="s">
        <v>18</v>
      </c>
      <c r="B2620" s="46" t="s">
        <v>14</v>
      </c>
      <c r="C2620" s="48">
        <v>125.5</v>
      </c>
      <c r="D2620" s="48">
        <v>101.9</v>
      </c>
      <c r="E2620" s="48">
        <v>121.1</v>
      </c>
    </row>
    <row r="2621">
      <c r="A2621" s="46" t="s">
        <v>18</v>
      </c>
      <c r="B2621" s="46" t="s">
        <v>14</v>
      </c>
      <c r="C2621" s="48">
        <v>87.4</v>
      </c>
      <c r="D2621" s="48">
        <v>83.9</v>
      </c>
      <c r="E2621" s="48">
        <v>86.5</v>
      </c>
    </row>
    <row r="2622">
      <c r="A2622" s="46" t="s">
        <v>18</v>
      </c>
      <c r="B2622" s="46" t="s">
        <v>14</v>
      </c>
      <c r="C2622" s="48">
        <v>97.6</v>
      </c>
      <c r="D2622" s="48">
        <v>80.6</v>
      </c>
      <c r="E2622" s="48">
        <v>92.3</v>
      </c>
    </row>
    <row r="2623">
      <c r="A2623" s="46" t="s">
        <v>18</v>
      </c>
      <c r="B2623" s="46" t="s">
        <v>15</v>
      </c>
      <c r="C2623" s="48">
        <v>117.5</v>
      </c>
      <c r="D2623" s="49"/>
      <c r="E2623" s="48">
        <v>117.5</v>
      </c>
    </row>
    <row r="2624">
      <c r="A2624" s="46" t="s">
        <v>18</v>
      </c>
      <c r="B2624" s="46" t="s">
        <v>15</v>
      </c>
      <c r="C2624" s="48">
        <v>123.1</v>
      </c>
      <c r="D2624" s="49"/>
      <c r="E2624" s="48">
        <v>123.1</v>
      </c>
    </row>
    <row r="2625">
      <c r="A2625" s="46" t="s">
        <v>18</v>
      </c>
      <c r="B2625" s="46" t="s">
        <v>15</v>
      </c>
      <c r="C2625" s="48">
        <v>121.7</v>
      </c>
      <c r="D2625" s="49"/>
      <c r="E2625" s="48">
        <v>121.7</v>
      </c>
    </row>
    <row r="2626">
      <c r="A2626" s="46" t="s">
        <v>18</v>
      </c>
      <c r="B2626" s="46" t="s">
        <v>14</v>
      </c>
      <c r="C2626" s="48">
        <v>90.8</v>
      </c>
      <c r="D2626" s="48">
        <v>78.3</v>
      </c>
      <c r="E2626" s="48">
        <v>88.9</v>
      </c>
    </row>
    <row r="2627">
      <c r="A2627" s="46" t="s">
        <v>18</v>
      </c>
      <c r="B2627" s="46" t="s">
        <v>14</v>
      </c>
      <c r="C2627" s="48">
        <v>87.4</v>
      </c>
      <c r="D2627" s="48">
        <v>78.1</v>
      </c>
      <c r="E2627" s="48">
        <v>83.9</v>
      </c>
    </row>
    <row r="2628">
      <c r="A2628" s="46" t="s">
        <v>18</v>
      </c>
      <c r="B2628" s="46" t="s">
        <v>14</v>
      </c>
      <c r="C2628" s="48">
        <v>119.3</v>
      </c>
      <c r="D2628" s="48">
        <v>105.1</v>
      </c>
      <c r="E2628" s="48">
        <v>114.8</v>
      </c>
    </row>
    <row r="2629">
      <c r="A2629" s="46" t="s">
        <v>18</v>
      </c>
      <c r="B2629" s="46" t="s">
        <v>15</v>
      </c>
      <c r="C2629" s="48">
        <v>129.4</v>
      </c>
      <c r="D2629" s="49"/>
      <c r="E2629" s="48">
        <v>129.4</v>
      </c>
    </row>
    <row r="2630">
      <c r="A2630" s="46" t="s">
        <v>18</v>
      </c>
      <c r="B2630" s="46" t="s">
        <v>13</v>
      </c>
      <c r="C2630" s="49"/>
      <c r="D2630" s="48">
        <v>82.3</v>
      </c>
      <c r="E2630" s="48">
        <v>82.3</v>
      </c>
    </row>
    <row r="2631">
      <c r="A2631" s="46" t="s">
        <v>18</v>
      </c>
      <c r="B2631" s="46" t="s">
        <v>13</v>
      </c>
      <c r="C2631" s="49"/>
      <c r="D2631" s="48">
        <v>90.4</v>
      </c>
      <c r="E2631" s="48">
        <v>90.4</v>
      </c>
    </row>
    <row r="2632">
      <c r="A2632" s="46" t="s">
        <v>18</v>
      </c>
      <c r="B2632" s="46" t="s">
        <v>14</v>
      </c>
      <c r="C2632" s="48">
        <v>117.8</v>
      </c>
      <c r="D2632" s="48">
        <v>88.1</v>
      </c>
      <c r="E2632" s="48">
        <v>112.4</v>
      </c>
    </row>
    <row r="2633">
      <c r="A2633" s="46" t="s">
        <v>18</v>
      </c>
      <c r="B2633" s="46" t="s">
        <v>15</v>
      </c>
      <c r="C2633" s="48">
        <v>78.7</v>
      </c>
      <c r="D2633" s="49"/>
      <c r="E2633" s="48">
        <v>78.7</v>
      </c>
    </row>
    <row r="2634">
      <c r="A2634" s="46" t="s">
        <v>18</v>
      </c>
      <c r="B2634" s="46" t="s">
        <v>14</v>
      </c>
      <c r="C2634" s="48">
        <v>125.6</v>
      </c>
      <c r="D2634" s="48">
        <v>94.9</v>
      </c>
      <c r="E2634" s="48">
        <v>118.0</v>
      </c>
    </row>
    <row r="2635">
      <c r="A2635" s="46" t="s">
        <v>18</v>
      </c>
      <c r="B2635" s="46" t="s">
        <v>14</v>
      </c>
      <c r="C2635" s="48">
        <v>113.2</v>
      </c>
      <c r="D2635" s="48">
        <v>90.4</v>
      </c>
      <c r="E2635" s="48">
        <v>109.8</v>
      </c>
    </row>
    <row r="2636">
      <c r="A2636" s="46" t="s">
        <v>18</v>
      </c>
      <c r="B2636" s="46" t="s">
        <v>15</v>
      </c>
      <c r="C2636" s="48">
        <v>97.5</v>
      </c>
      <c r="D2636" s="49"/>
      <c r="E2636" s="48">
        <v>97.5</v>
      </c>
    </row>
    <row r="2637">
      <c r="A2637" s="46" t="s">
        <v>18</v>
      </c>
      <c r="B2637" s="46" t="s">
        <v>13</v>
      </c>
      <c r="C2637" s="49"/>
      <c r="D2637" s="48">
        <v>70.6</v>
      </c>
      <c r="E2637" s="48">
        <v>70.6</v>
      </c>
    </row>
    <row r="2638">
      <c r="A2638" s="46" t="s">
        <v>18</v>
      </c>
      <c r="B2638" s="46" t="s">
        <v>13</v>
      </c>
      <c r="C2638" s="49"/>
      <c r="D2638" s="48">
        <v>73.6</v>
      </c>
      <c r="E2638" s="48">
        <v>73.6</v>
      </c>
    </row>
    <row r="2639">
      <c r="A2639" s="46" t="s">
        <v>18</v>
      </c>
      <c r="B2639" s="46" t="s">
        <v>14</v>
      </c>
      <c r="C2639" s="48">
        <v>93.8</v>
      </c>
      <c r="D2639" s="48">
        <v>79.6</v>
      </c>
      <c r="E2639" s="48">
        <v>92.1</v>
      </c>
    </row>
    <row r="2640">
      <c r="A2640" s="46" t="s">
        <v>18</v>
      </c>
      <c r="B2640" s="46" t="s">
        <v>15</v>
      </c>
      <c r="C2640" s="48">
        <v>97.3</v>
      </c>
      <c r="D2640" s="49"/>
      <c r="E2640" s="48">
        <v>97.3</v>
      </c>
    </row>
    <row r="2641">
      <c r="A2641" s="46" t="s">
        <v>18</v>
      </c>
      <c r="B2641" s="46" t="s">
        <v>14</v>
      </c>
      <c r="C2641" s="48">
        <v>94.0</v>
      </c>
      <c r="D2641" s="48">
        <v>71.9</v>
      </c>
      <c r="E2641" s="48">
        <v>81.7</v>
      </c>
    </row>
    <row r="2642">
      <c r="A2642" s="46" t="s">
        <v>18</v>
      </c>
      <c r="B2642" s="46" t="s">
        <v>15</v>
      </c>
      <c r="C2642" s="48">
        <v>107.6</v>
      </c>
      <c r="D2642" s="49"/>
      <c r="E2642" s="48">
        <v>107.6</v>
      </c>
    </row>
    <row r="2643">
      <c r="A2643" s="46" t="s">
        <v>18</v>
      </c>
      <c r="B2643" s="46" t="s">
        <v>13</v>
      </c>
      <c r="C2643" s="49"/>
      <c r="D2643" s="48">
        <v>76.0</v>
      </c>
      <c r="E2643" s="48">
        <v>76.0</v>
      </c>
    </row>
    <row r="2644">
      <c r="A2644" s="46" t="s">
        <v>18</v>
      </c>
      <c r="B2644" s="46" t="s">
        <v>14</v>
      </c>
      <c r="C2644" s="48">
        <v>106.0</v>
      </c>
      <c r="D2644" s="48">
        <v>77.0</v>
      </c>
      <c r="E2644" s="48">
        <v>97.6</v>
      </c>
    </row>
    <row r="2645">
      <c r="A2645" s="46" t="s">
        <v>18</v>
      </c>
      <c r="B2645" s="46" t="s">
        <v>15</v>
      </c>
      <c r="C2645" s="48">
        <v>110.6</v>
      </c>
      <c r="D2645" s="49"/>
      <c r="E2645" s="48">
        <v>110.6</v>
      </c>
    </row>
    <row r="2646">
      <c r="A2646" s="46" t="s">
        <v>18</v>
      </c>
      <c r="B2646" s="46" t="s">
        <v>13</v>
      </c>
      <c r="C2646" s="49"/>
      <c r="D2646" s="48">
        <v>77.5</v>
      </c>
      <c r="E2646" s="48">
        <v>77.5</v>
      </c>
    </row>
    <row r="2647">
      <c r="A2647" s="46" t="s">
        <v>18</v>
      </c>
      <c r="B2647" s="46" t="s">
        <v>14</v>
      </c>
      <c r="C2647" s="48">
        <v>76.3</v>
      </c>
      <c r="D2647" s="48">
        <v>62.6</v>
      </c>
      <c r="E2647" s="48">
        <v>75.6</v>
      </c>
    </row>
    <row r="2648">
      <c r="A2648" s="46" t="s">
        <v>18</v>
      </c>
      <c r="B2648" s="46" t="s">
        <v>13</v>
      </c>
      <c r="C2648" s="49"/>
      <c r="D2648" s="48">
        <v>68.9</v>
      </c>
      <c r="E2648" s="48">
        <v>68.9</v>
      </c>
    </row>
    <row r="2649">
      <c r="A2649" s="46" t="s">
        <v>18</v>
      </c>
      <c r="B2649" s="46" t="s">
        <v>13</v>
      </c>
      <c r="C2649" s="49"/>
      <c r="D2649" s="48">
        <v>68.0</v>
      </c>
      <c r="E2649" s="48">
        <v>68.0</v>
      </c>
    </row>
    <row r="2650">
      <c r="A2650" s="46" t="s">
        <v>18</v>
      </c>
      <c r="B2650" s="46" t="s">
        <v>15</v>
      </c>
      <c r="C2650" s="48">
        <v>83.7</v>
      </c>
      <c r="D2650" s="49"/>
      <c r="E2650" s="48">
        <v>83.7</v>
      </c>
    </row>
    <row r="2651">
      <c r="A2651" s="46" t="s">
        <v>18</v>
      </c>
      <c r="B2651" s="46" t="s">
        <v>15</v>
      </c>
      <c r="C2651" s="48">
        <v>106.2</v>
      </c>
      <c r="D2651" s="49"/>
      <c r="E2651" s="48">
        <v>106.2</v>
      </c>
    </row>
    <row r="2652">
      <c r="A2652" s="46" t="s">
        <v>18</v>
      </c>
      <c r="B2652" s="46" t="s">
        <v>14</v>
      </c>
      <c r="C2652" s="48">
        <v>112.2</v>
      </c>
      <c r="D2652" s="48">
        <v>74.4</v>
      </c>
      <c r="E2652" s="48">
        <v>102.6</v>
      </c>
    </row>
    <row r="2653">
      <c r="A2653" s="46" t="s">
        <v>18</v>
      </c>
      <c r="B2653" s="46" t="s">
        <v>15</v>
      </c>
      <c r="C2653" s="48">
        <v>93.1</v>
      </c>
      <c r="D2653" s="49"/>
      <c r="E2653" s="48">
        <v>93.1</v>
      </c>
    </row>
    <row r="2654">
      <c r="A2654" s="46" t="s">
        <v>18</v>
      </c>
      <c r="B2654" s="46" t="s">
        <v>14</v>
      </c>
      <c r="C2654" s="48">
        <v>102.6</v>
      </c>
      <c r="D2654" s="48">
        <v>71.0</v>
      </c>
      <c r="E2654" s="48">
        <v>97.9</v>
      </c>
    </row>
    <row r="2655">
      <c r="A2655" s="46" t="s">
        <v>18</v>
      </c>
      <c r="B2655" s="46" t="s">
        <v>15</v>
      </c>
      <c r="C2655" s="48">
        <v>70.5</v>
      </c>
      <c r="D2655" s="49"/>
      <c r="E2655" s="48">
        <v>70.5</v>
      </c>
    </row>
    <row r="2656">
      <c r="A2656" s="46" t="s">
        <v>18</v>
      </c>
      <c r="B2656" s="46" t="s">
        <v>14</v>
      </c>
      <c r="C2656" s="48">
        <v>80.9</v>
      </c>
      <c r="D2656" s="48">
        <v>63.1</v>
      </c>
      <c r="E2656" s="48">
        <v>74.8</v>
      </c>
    </row>
    <row r="2657">
      <c r="A2657" s="46" t="s">
        <v>18</v>
      </c>
      <c r="B2657" s="46" t="s">
        <v>14</v>
      </c>
      <c r="C2657" s="48">
        <v>64.3</v>
      </c>
      <c r="D2657" s="48">
        <v>61.3</v>
      </c>
      <c r="E2657" s="48">
        <v>63.6</v>
      </c>
    </row>
    <row r="2658">
      <c r="A2658" s="46" t="s">
        <v>18</v>
      </c>
      <c r="B2658" s="46" t="s">
        <v>14</v>
      </c>
      <c r="C2658" s="48">
        <v>107.2</v>
      </c>
      <c r="D2658" s="48">
        <v>85.5</v>
      </c>
      <c r="E2658" s="48">
        <v>101.0</v>
      </c>
    </row>
    <row r="2659">
      <c r="A2659" s="46" t="s">
        <v>18</v>
      </c>
      <c r="B2659" s="46" t="s">
        <v>15</v>
      </c>
      <c r="C2659" s="48">
        <v>100.8</v>
      </c>
      <c r="D2659" s="49"/>
      <c r="E2659" s="48">
        <v>100.8</v>
      </c>
    </row>
    <row r="2660">
      <c r="A2660" s="46" t="s">
        <v>18</v>
      </c>
      <c r="B2660" s="46" t="s">
        <v>15</v>
      </c>
      <c r="C2660" s="48">
        <v>104.1</v>
      </c>
      <c r="D2660" s="49"/>
      <c r="E2660" s="48">
        <v>104.1</v>
      </c>
    </row>
    <row r="2661">
      <c r="A2661" s="46" t="s">
        <v>18</v>
      </c>
      <c r="B2661" s="46" t="s">
        <v>14</v>
      </c>
      <c r="C2661" s="48">
        <v>110.5</v>
      </c>
      <c r="D2661" s="48">
        <v>87.8</v>
      </c>
      <c r="E2661" s="48">
        <v>102.2</v>
      </c>
    </row>
    <row r="2662">
      <c r="A2662" s="46" t="s">
        <v>18</v>
      </c>
      <c r="B2662" s="46" t="s">
        <v>14</v>
      </c>
      <c r="C2662" s="48">
        <v>98.6</v>
      </c>
      <c r="D2662" s="48">
        <v>78.6</v>
      </c>
      <c r="E2662" s="48">
        <v>80.9</v>
      </c>
    </row>
    <row r="2663">
      <c r="A2663" s="46" t="s">
        <v>18</v>
      </c>
      <c r="B2663" s="46" t="s">
        <v>14</v>
      </c>
      <c r="C2663" s="48">
        <v>116.0</v>
      </c>
      <c r="D2663" s="48">
        <v>102.6</v>
      </c>
      <c r="E2663" s="48">
        <v>111.8</v>
      </c>
    </row>
    <row r="2664">
      <c r="A2664" s="46" t="s">
        <v>18</v>
      </c>
      <c r="B2664" s="46" t="s">
        <v>15</v>
      </c>
      <c r="C2664" s="48">
        <v>106.9</v>
      </c>
      <c r="D2664" s="49"/>
      <c r="E2664" s="48">
        <v>106.9</v>
      </c>
    </row>
    <row r="2665">
      <c r="A2665" s="46" t="s">
        <v>18</v>
      </c>
      <c r="B2665" s="46" t="s">
        <v>14</v>
      </c>
      <c r="C2665" s="48">
        <v>119.1</v>
      </c>
      <c r="D2665" s="48">
        <v>106.4</v>
      </c>
      <c r="E2665" s="48">
        <v>117.7</v>
      </c>
    </row>
    <row r="2666">
      <c r="A2666" s="46" t="s">
        <v>18</v>
      </c>
      <c r="B2666" s="46" t="s">
        <v>13</v>
      </c>
      <c r="C2666" s="49"/>
      <c r="D2666" s="48">
        <v>91.6</v>
      </c>
      <c r="E2666" s="48">
        <v>91.6</v>
      </c>
    </row>
    <row r="2667">
      <c r="A2667" s="46" t="s">
        <v>18</v>
      </c>
      <c r="B2667" s="46" t="s">
        <v>15</v>
      </c>
      <c r="C2667" s="48">
        <v>107.6</v>
      </c>
      <c r="D2667" s="49"/>
      <c r="E2667" s="48">
        <v>107.6</v>
      </c>
    </row>
    <row r="2668">
      <c r="A2668" s="46" t="s">
        <v>18</v>
      </c>
      <c r="B2668" s="46" t="s">
        <v>15</v>
      </c>
      <c r="C2668" s="48">
        <v>106.7</v>
      </c>
      <c r="D2668" s="49"/>
      <c r="E2668" s="48">
        <v>106.7</v>
      </c>
    </row>
    <row r="2669">
      <c r="A2669" s="46" t="s">
        <v>18</v>
      </c>
      <c r="B2669" s="46" t="s">
        <v>15</v>
      </c>
      <c r="C2669" s="48">
        <v>122.1</v>
      </c>
      <c r="D2669" s="49"/>
      <c r="E2669" s="48">
        <v>122.1</v>
      </c>
    </row>
    <row r="2670">
      <c r="A2670" s="46" t="s">
        <v>18</v>
      </c>
      <c r="B2670" s="46" t="s">
        <v>13</v>
      </c>
      <c r="C2670" s="49"/>
      <c r="D2670" s="48">
        <v>81.5</v>
      </c>
      <c r="E2670" s="48">
        <v>81.5</v>
      </c>
    </row>
    <row r="2671">
      <c r="A2671" s="46" t="s">
        <v>18</v>
      </c>
      <c r="B2671" s="46" t="s">
        <v>13</v>
      </c>
      <c r="C2671" s="49"/>
      <c r="D2671" s="48">
        <v>79.2</v>
      </c>
      <c r="E2671" s="48">
        <v>79.2</v>
      </c>
    </row>
    <row r="2672">
      <c r="A2672" s="46" t="s">
        <v>18</v>
      </c>
      <c r="B2672" s="46" t="s">
        <v>15</v>
      </c>
      <c r="C2672" s="48">
        <v>129.6</v>
      </c>
      <c r="D2672" s="49"/>
      <c r="E2672" s="48">
        <v>129.6</v>
      </c>
    </row>
    <row r="2673">
      <c r="A2673" s="46" t="s">
        <v>18</v>
      </c>
      <c r="B2673" s="46" t="s">
        <v>15</v>
      </c>
      <c r="C2673" s="48">
        <v>100.5</v>
      </c>
      <c r="D2673" s="49"/>
      <c r="E2673" s="48">
        <v>100.5</v>
      </c>
    </row>
    <row r="2674">
      <c r="A2674" s="46" t="s">
        <v>18</v>
      </c>
      <c r="B2674" s="46" t="s">
        <v>14</v>
      </c>
      <c r="C2674" s="48">
        <v>103.3</v>
      </c>
      <c r="D2674" s="48">
        <v>79.6</v>
      </c>
      <c r="E2674" s="48">
        <v>99.7</v>
      </c>
    </row>
    <row r="2675">
      <c r="A2675" s="46" t="s">
        <v>18</v>
      </c>
      <c r="B2675" s="46" t="s">
        <v>14</v>
      </c>
      <c r="C2675" s="48">
        <v>116.2</v>
      </c>
      <c r="D2675" s="48">
        <v>84.0</v>
      </c>
      <c r="E2675" s="48">
        <v>111.1</v>
      </c>
    </row>
    <row r="2676">
      <c r="A2676" s="46" t="s">
        <v>18</v>
      </c>
      <c r="B2676" s="46" t="s">
        <v>15</v>
      </c>
      <c r="C2676" s="48">
        <v>102.3</v>
      </c>
      <c r="D2676" s="49"/>
      <c r="E2676" s="48">
        <v>102.3</v>
      </c>
    </row>
    <row r="2677">
      <c r="A2677" s="46" t="s">
        <v>18</v>
      </c>
      <c r="B2677" s="46" t="s">
        <v>15</v>
      </c>
      <c r="C2677" s="48">
        <v>97.2</v>
      </c>
      <c r="D2677" s="49"/>
      <c r="E2677" s="48">
        <v>97.2</v>
      </c>
    </row>
    <row r="2678">
      <c r="A2678" s="46" t="s">
        <v>18</v>
      </c>
      <c r="B2678" s="46" t="s">
        <v>15</v>
      </c>
      <c r="C2678" s="48">
        <v>96.5</v>
      </c>
      <c r="D2678" s="49"/>
      <c r="E2678" s="48">
        <v>96.5</v>
      </c>
    </row>
    <row r="2679">
      <c r="A2679" s="46" t="s">
        <v>18</v>
      </c>
      <c r="B2679" s="46" t="s">
        <v>15</v>
      </c>
      <c r="C2679" s="48">
        <v>108.9</v>
      </c>
      <c r="D2679" s="49"/>
      <c r="E2679" s="48">
        <v>108.9</v>
      </c>
    </row>
    <row r="2680">
      <c r="A2680" s="46" t="s">
        <v>18</v>
      </c>
      <c r="B2680" s="46" t="s">
        <v>14</v>
      </c>
      <c r="C2680" s="48">
        <v>114.2</v>
      </c>
      <c r="D2680" s="48">
        <v>87.0</v>
      </c>
      <c r="E2680" s="48">
        <v>95.3</v>
      </c>
    </row>
    <row r="2681">
      <c r="A2681" s="46" t="s">
        <v>18</v>
      </c>
      <c r="B2681" s="46" t="s">
        <v>15</v>
      </c>
      <c r="C2681" s="48">
        <v>116.9</v>
      </c>
      <c r="D2681" s="49"/>
      <c r="E2681" s="48">
        <v>116.9</v>
      </c>
    </row>
    <row r="2682">
      <c r="A2682" s="46" t="s">
        <v>18</v>
      </c>
      <c r="B2682" s="46" t="s">
        <v>13</v>
      </c>
      <c r="C2682" s="49"/>
      <c r="D2682" s="48">
        <v>86.9</v>
      </c>
      <c r="E2682" s="48">
        <v>86.9</v>
      </c>
    </row>
    <row r="2683">
      <c r="A2683" s="46" t="s">
        <v>18</v>
      </c>
      <c r="B2683" s="46" t="s">
        <v>14</v>
      </c>
      <c r="C2683" s="48">
        <v>109.9</v>
      </c>
      <c r="D2683" s="48">
        <v>92.1</v>
      </c>
      <c r="E2683" s="48">
        <v>106.8</v>
      </c>
    </row>
    <row r="2684">
      <c r="A2684" s="46" t="s">
        <v>18</v>
      </c>
      <c r="B2684" s="46" t="s">
        <v>15</v>
      </c>
      <c r="C2684" s="48">
        <v>111.7</v>
      </c>
      <c r="D2684" s="49"/>
      <c r="E2684" s="48">
        <v>111.7</v>
      </c>
    </row>
    <row r="2685">
      <c r="A2685" s="46" t="s">
        <v>18</v>
      </c>
      <c r="B2685" s="46" t="s">
        <v>15</v>
      </c>
      <c r="C2685" s="48">
        <v>108.3</v>
      </c>
      <c r="D2685" s="49"/>
      <c r="E2685" s="48">
        <v>108.3</v>
      </c>
    </row>
    <row r="2686">
      <c r="A2686" s="46" t="s">
        <v>18</v>
      </c>
      <c r="B2686" s="46" t="s">
        <v>13</v>
      </c>
      <c r="C2686" s="49"/>
      <c r="D2686" s="48">
        <v>71.1</v>
      </c>
      <c r="E2686" s="48">
        <v>71.1</v>
      </c>
    </row>
    <row r="2687">
      <c r="A2687" s="46" t="s">
        <v>18</v>
      </c>
      <c r="B2687" s="46" t="s">
        <v>15</v>
      </c>
      <c r="C2687" s="48">
        <v>107.7</v>
      </c>
      <c r="D2687" s="49"/>
      <c r="E2687" s="48">
        <v>107.7</v>
      </c>
    </row>
    <row r="2688">
      <c r="A2688" s="46" t="s">
        <v>18</v>
      </c>
      <c r="B2688" s="46" t="s">
        <v>15</v>
      </c>
      <c r="C2688" s="48">
        <v>110.1</v>
      </c>
      <c r="D2688" s="49"/>
      <c r="E2688" s="48">
        <v>110.1</v>
      </c>
    </row>
    <row r="2689">
      <c r="A2689" s="46" t="s">
        <v>18</v>
      </c>
      <c r="B2689" s="46" t="s">
        <v>14</v>
      </c>
      <c r="C2689" s="48">
        <v>111.8</v>
      </c>
      <c r="D2689" s="48">
        <v>89.3</v>
      </c>
      <c r="E2689" s="48">
        <v>105.9</v>
      </c>
    </row>
    <row r="2690">
      <c r="A2690" s="46" t="s">
        <v>18</v>
      </c>
      <c r="B2690" s="46" t="s">
        <v>13</v>
      </c>
      <c r="C2690" s="49"/>
      <c r="D2690" s="48">
        <v>83.9</v>
      </c>
      <c r="E2690" s="48">
        <v>83.9</v>
      </c>
    </row>
    <row r="2691">
      <c r="A2691" s="46" t="s">
        <v>18</v>
      </c>
      <c r="B2691" s="46" t="s">
        <v>13</v>
      </c>
      <c r="C2691" s="49"/>
      <c r="D2691" s="48">
        <v>98.5</v>
      </c>
      <c r="E2691" s="48">
        <v>98.5</v>
      </c>
    </row>
    <row r="2692">
      <c r="A2692" s="46" t="s">
        <v>18</v>
      </c>
      <c r="B2692" s="46" t="s">
        <v>15</v>
      </c>
      <c r="C2692" s="48">
        <v>107.4</v>
      </c>
      <c r="D2692" s="49"/>
      <c r="E2692" s="48">
        <v>107.4</v>
      </c>
    </row>
    <row r="2693">
      <c r="A2693" s="46" t="s">
        <v>18</v>
      </c>
      <c r="B2693" s="46" t="s">
        <v>15</v>
      </c>
      <c r="C2693" s="48">
        <v>117.0</v>
      </c>
      <c r="D2693" s="49"/>
      <c r="E2693" s="48">
        <v>117.0</v>
      </c>
    </row>
    <row r="2694">
      <c r="A2694" s="46" t="s">
        <v>18</v>
      </c>
      <c r="B2694" s="46" t="s">
        <v>13</v>
      </c>
      <c r="C2694" s="49"/>
      <c r="D2694" s="48">
        <v>89.4</v>
      </c>
      <c r="E2694" s="48">
        <v>89.4</v>
      </c>
    </row>
    <row r="2695">
      <c r="A2695" s="46" t="s">
        <v>18</v>
      </c>
      <c r="B2695" s="46" t="s">
        <v>13</v>
      </c>
      <c r="C2695" s="49"/>
      <c r="D2695" s="48">
        <v>79.2</v>
      </c>
      <c r="E2695" s="48">
        <v>79.2</v>
      </c>
    </row>
    <row r="2696">
      <c r="A2696" s="46" t="s">
        <v>18</v>
      </c>
      <c r="B2696" s="46" t="s">
        <v>13</v>
      </c>
      <c r="C2696" s="49"/>
      <c r="D2696" s="48">
        <v>62.6</v>
      </c>
      <c r="E2696" s="48">
        <v>62.6</v>
      </c>
    </row>
    <row r="2697">
      <c r="A2697" s="46" t="s">
        <v>18</v>
      </c>
      <c r="B2697" s="46" t="s">
        <v>13</v>
      </c>
      <c r="C2697" s="49"/>
      <c r="D2697" s="48">
        <v>70.2</v>
      </c>
      <c r="E2697" s="48">
        <v>70.2</v>
      </c>
    </row>
    <row r="2698">
      <c r="A2698" s="46" t="s">
        <v>18</v>
      </c>
      <c r="B2698" s="46" t="s">
        <v>14</v>
      </c>
      <c r="C2698" s="48">
        <v>115.4</v>
      </c>
      <c r="D2698" s="48">
        <v>89.1</v>
      </c>
      <c r="E2698" s="48">
        <v>111.5</v>
      </c>
    </row>
    <row r="2699">
      <c r="A2699" s="46" t="s">
        <v>18</v>
      </c>
      <c r="B2699" s="46" t="s">
        <v>14</v>
      </c>
      <c r="C2699" s="48">
        <v>114.7</v>
      </c>
      <c r="D2699" s="48">
        <v>96.7</v>
      </c>
      <c r="E2699" s="48">
        <v>102.0</v>
      </c>
    </row>
    <row r="2700">
      <c r="A2700" s="46" t="s">
        <v>18</v>
      </c>
      <c r="B2700" s="46" t="s">
        <v>14</v>
      </c>
      <c r="C2700" s="48">
        <v>108.0</v>
      </c>
      <c r="D2700" s="48">
        <v>93.9</v>
      </c>
      <c r="E2700" s="48">
        <v>104.1</v>
      </c>
    </row>
    <row r="2701">
      <c r="A2701" s="46" t="s">
        <v>18</v>
      </c>
      <c r="B2701" s="46" t="s">
        <v>15</v>
      </c>
      <c r="C2701" s="48">
        <v>97.9</v>
      </c>
      <c r="D2701" s="49"/>
      <c r="E2701" s="48">
        <v>97.9</v>
      </c>
    </row>
    <row r="2702">
      <c r="A2702" s="46" t="s">
        <v>18</v>
      </c>
      <c r="B2702" s="46" t="s">
        <v>14</v>
      </c>
      <c r="C2702" s="48">
        <v>130.2</v>
      </c>
      <c r="D2702" s="48">
        <v>95.1</v>
      </c>
      <c r="E2702" s="48">
        <v>119.1</v>
      </c>
    </row>
    <row r="2703">
      <c r="A2703" s="46" t="s">
        <v>18</v>
      </c>
      <c r="B2703" s="46" t="s">
        <v>15</v>
      </c>
      <c r="C2703" s="48">
        <v>138.8</v>
      </c>
      <c r="D2703" s="49"/>
      <c r="E2703" s="48">
        <v>138.8</v>
      </c>
    </row>
    <row r="2704">
      <c r="A2704" s="46" t="s">
        <v>18</v>
      </c>
      <c r="B2704" s="46" t="s">
        <v>14</v>
      </c>
      <c r="C2704" s="48">
        <v>92.7</v>
      </c>
      <c r="D2704" s="48">
        <v>76.4</v>
      </c>
      <c r="E2704" s="48">
        <v>91.6</v>
      </c>
    </row>
    <row r="2705">
      <c r="A2705" s="46" t="s">
        <v>18</v>
      </c>
      <c r="B2705" s="46" t="s">
        <v>15</v>
      </c>
      <c r="C2705" s="48">
        <v>122.7</v>
      </c>
      <c r="D2705" s="49"/>
      <c r="E2705" s="48">
        <v>122.7</v>
      </c>
    </row>
    <row r="2706">
      <c r="A2706" s="46" t="s">
        <v>18</v>
      </c>
      <c r="B2706" s="46" t="s">
        <v>15</v>
      </c>
      <c r="C2706" s="48">
        <v>127.0</v>
      </c>
      <c r="D2706" s="49"/>
      <c r="E2706" s="48">
        <v>127.0</v>
      </c>
    </row>
    <row r="2707">
      <c r="A2707" s="46" t="s">
        <v>18</v>
      </c>
      <c r="B2707" s="46" t="s">
        <v>15</v>
      </c>
      <c r="C2707" s="48">
        <v>114.4</v>
      </c>
      <c r="D2707" s="49"/>
      <c r="E2707" s="48">
        <v>114.4</v>
      </c>
    </row>
    <row r="2708">
      <c r="A2708" s="46" t="s">
        <v>18</v>
      </c>
      <c r="B2708" s="46" t="s">
        <v>14</v>
      </c>
      <c r="C2708" s="48">
        <v>115.9</v>
      </c>
      <c r="D2708" s="48">
        <v>82.0</v>
      </c>
      <c r="E2708" s="48">
        <v>107.5</v>
      </c>
    </row>
    <row r="2709">
      <c r="A2709" s="46" t="s">
        <v>18</v>
      </c>
      <c r="B2709" s="46" t="s">
        <v>14</v>
      </c>
      <c r="C2709" s="48">
        <v>117.5</v>
      </c>
      <c r="D2709" s="48">
        <v>88.0</v>
      </c>
      <c r="E2709" s="48">
        <v>111.5</v>
      </c>
    </row>
    <row r="2710">
      <c r="A2710" s="46" t="s">
        <v>18</v>
      </c>
      <c r="B2710" s="46" t="s">
        <v>14</v>
      </c>
      <c r="C2710" s="48">
        <v>98.1</v>
      </c>
      <c r="D2710" s="48">
        <v>85.6</v>
      </c>
      <c r="E2710" s="48">
        <v>89.6</v>
      </c>
    </row>
    <row r="2711">
      <c r="A2711" s="46" t="s">
        <v>18</v>
      </c>
      <c r="B2711" s="46" t="s">
        <v>15</v>
      </c>
      <c r="C2711" s="48">
        <v>113.5</v>
      </c>
      <c r="D2711" s="49"/>
      <c r="E2711" s="48">
        <v>113.5</v>
      </c>
    </row>
    <row r="2712">
      <c r="A2712" s="46" t="s">
        <v>18</v>
      </c>
      <c r="B2712" s="46" t="s">
        <v>15</v>
      </c>
      <c r="C2712" s="48">
        <v>113.1</v>
      </c>
      <c r="D2712" s="49"/>
      <c r="E2712" s="48">
        <v>113.1</v>
      </c>
    </row>
    <row r="2713">
      <c r="A2713" s="46" t="s">
        <v>18</v>
      </c>
      <c r="B2713" s="46" t="s">
        <v>14</v>
      </c>
      <c r="C2713" s="48">
        <v>91.8</v>
      </c>
      <c r="D2713" s="48">
        <v>82.3</v>
      </c>
      <c r="E2713" s="48">
        <v>87.7</v>
      </c>
    </row>
    <row r="2714">
      <c r="A2714" s="46" t="s">
        <v>18</v>
      </c>
      <c r="B2714" s="46" t="s">
        <v>13</v>
      </c>
      <c r="C2714" s="49"/>
      <c r="D2714" s="48">
        <v>102.9</v>
      </c>
      <c r="E2714" s="48">
        <v>102.9</v>
      </c>
    </row>
    <row r="2715">
      <c r="A2715" s="46" t="s">
        <v>18</v>
      </c>
      <c r="B2715" s="46" t="s">
        <v>15</v>
      </c>
      <c r="C2715" s="48">
        <v>117.6</v>
      </c>
      <c r="D2715" s="49"/>
      <c r="E2715" s="48">
        <v>117.6</v>
      </c>
    </row>
    <row r="2716">
      <c r="A2716" s="46" t="s">
        <v>18</v>
      </c>
      <c r="B2716" s="46" t="s">
        <v>15</v>
      </c>
      <c r="C2716" s="48">
        <v>118.4</v>
      </c>
      <c r="D2716" s="49"/>
      <c r="E2716" s="48">
        <v>118.4</v>
      </c>
    </row>
    <row r="2717">
      <c r="A2717" s="46" t="s">
        <v>18</v>
      </c>
      <c r="B2717" s="46" t="s">
        <v>13</v>
      </c>
      <c r="C2717" s="49"/>
      <c r="D2717" s="48">
        <v>89.2</v>
      </c>
      <c r="E2717" s="48">
        <v>89.2</v>
      </c>
    </row>
    <row r="2718">
      <c r="A2718" s="46" t="s">
        <v>18</v>
      </c>
      <c r="B2718" s="46" t="s">
        <v>14</v>
      </c>
      <c r="C2718" s="48">
        <v>122.7</v>
      </c>
      <c r="D2718" s="48">
        <v>60.0</v>
      </c>
      <c r="E2718" s="48">
        <v>122.6</v>
      </c>
    </row>
    <row r="2719">
      <c r="A2719" s="46" t="s">
        <v>18</v>
      </c>
      <c r="B2719" s="46" t="s">
        <v>15</v>
      </c>
      <c r="C2719" s="48">
        <v>132.4</v>
      </c>
      <c r="D2719" s="49"/>
      <c r="E2719" s="48">
        <v>132.4</v>
      </c>
    </row>
    <row r="2720">
      <c r="A2720" s="46" t="s">
        <v>18</v>
      </c>
      <c r="B2720" s="46" t="s">
        <v>14</v>
      </c>
      <c r="C2720" s="48">
        <v>107.0</v>
      </c>
      <c r="D2720" s="48">
        <v>87.2</v>
      </c>
      <c r="E2720" s="48">
        <v>90.3</v>
      </c>
    </row>
    <row r="2721">
      <c r="A2721" s="46" t="s">
        <v>18</v>
      </c>
      <c r="B2721" s="46" t="s">
        <v>14</v>
      </c>
      <c r="C2721" s="48">
        <v>100.5</v>
      </c>
      <c r="D2721" s="48">
        <v>83.5</v>
      </c>
      <c r="E2721" s="48">
        <v>88.9</v>
      </c>
    </row>
    <row r="2722">
      <c r="A2722" s="46" t="s">
        <v>18</v>
      </c>
      <c r="B2722" s="46" t="s">
        <v>15</v>
      </c>
      <c r="C2722" s="48">
        <v>112.1</v>
      </c>
      <c r="D2722" s="49"/>
      <c r="E2722" s="48">
        <v>112.1</v>
      </c>
    </row>
    <row r="2723">
      <c r="A2723" s="46" t="s">
        <v>18</v>
      </c>
      <c r="B2723" s="46" t="s">
        <v>15</v>
      </c>
      <c r="C2723" s="48">
        <v>119.3</v>
      </c>
      <c r="D2723" s="49"/>
      <c r="E2723" s="48">
        <v>119.3</v>
      </c>
    </row>
    <row r="2724">
      <c r="A2724" s="46" t="s">
        <v>18</v>
      </c>
      <c r="B2724" s="46" t="s">
        <v>15</v>
      </c>
      <c r="C2724" s="48">
        <v>119.9</v>
      </c>
      <c r="D2724" s="49"/>
      <c r="E2724" s="48">
        <v>119.9</v>
      </c>
    </row>
    <row r="2725">
      <c r="A2725" s="46" t="s">
        <v>18</v>
      </c>
      <c r="B2725" s="46" t="s">
        <v>13</v>
      </c>
      <c r="C2725" s="49"/>
      <c r="D2725" s="48">
        <v>94.4</v>
      </c>
      <c r="E2725" s="48">
        <v>94.4</v>
      </c>
    </row>
    <row r="2726">
      <c r="A2726" s="46" t="s">
        <v>18</v>
      </c>
      <c r="B2726" s="46" t="s">
        <v>13</v>
      </c>
      <c r="C2726" s="49"/>
      <c r="D2726" s="48">
        <v>95.3</v>
      </c>
      <c r="E2726" s="48">
        <v>95.3</v>
      </c>
    </row>
    <row r="2727">
      <c r="A2727" s="46" t="s">
        <v>18</v>
      </c>
      <c r="B2727" s="46" t="s">
        <v>13</v>
      </c>
      <c r="C2727" s="49"/>
      <c r="D2727" s="48">
        <v>86.1</v>
      </c>
      <c r="E2727" s="48">
        <v>86.1</v>
      </c>
    </row>
    <row r="2728">
      <c r="A2728" s="46" t="s">
        <v>18</v>
      </c>
      <c r="B2728" s="46" t="s">
        <v>14</v>
      </c>
      <c r="C2728" s="48">
        <v>115.3</v>
      </c>
      <c r="D2728" s="48">
        <v>92.8</v>
      </c>
      <c r="E2728" s="48">
        <v>109.1</v>
      </c>
    </row>
    <row r="2729">
      <c r="A2729" s="46" t="s">
        <v>18</v>
      </c>
      <c r="B2729" s="46" t="s">
        <v>14</v>
      </c>
      <c r="C2729" s="48">
        <v>117.0</v>
      </c>
      <c r="D2729" s="48">
        <v>89.4</v>
      </c>
      <c r="E2729" s="48">
        <v>110.1</v>
      </c>
    </row>
    <row r="2730">
      <c r="A2730" s="46" t="s">
        <v>18</v>
      </c>
      <c r="B2730" s="46" t="s">
        <v>13</v>
      </c>
      <c r="C2730" s="49"/>
      <c r="D2730" s="48">
        <v>95.3</v>
      </c>
      <c r="E2730" s="48">
        <v>95.3</v>
      </c>
    </row>
    <row r="2731">
      <c r="A2731" s="46" t="s">
        <v>18</v>
      </c>
      <c r="B2731" s="46" t="s">
        <v>13</v>
      </c>
      <c r="C2731" s="49"/>
      <c r="D2731" s="48">
        <v>82.9</v>
      </c>
      <c r="E2731" s="48">
        <v>82.9</v>
      </c>
    </row>
    <row r="2732">
      <c r="A2732" s="46" t="s">
        <v>18</v>
      </c>
      <c r="B2732" s="46" t="s">
        <v>13</v>
      </c>
      <c r="C2732" s="49"/>
      <c r="D2732" s="48">
        <v>89.9</v>
      </c>
      <c r="E2732" s="48">
        <v>89.9</v>
      </c>
    </row>
    <row r="2733">
      <c r="A2733" s="46" t="s">
        <v>18</v>
      </c>
      <c r="B2733" s="46" t="s">
        <v>13</v>
      </c>
      <c r="C2733" s="49"/>
      <c r="D2733" s="48">
        <v>85.7</v>
      </c>
      <c r="E2733" s="48">
        <v>85.7</v>
      </c>
    </row>
    <row r="2734">
      <c r="A2734" s="46" t="s">
        <v>18</v>
      </c>
      <c r="B2734" s="46" t="s">
        <v>15</v>
      </c>
      <c r="C2734" s="48">
        <v>103.8</v>
      </c>
      <c r="D2734" s="49"/>
      <c r="E2734" s="48">
        <v>103.8</v>
      </c>
    </row>
    <row r="2735">
      <c r="A2735" s="46" t="s">
        <v>18</v>
      </c>
      <c r="B2735" s="46" t="s">
        <v>15</v>
      </c>
      <c r="C2735" s="48">
        <v>113.1</v>
      </c>
      <c r="D2735" s="49"/>
      <c r="E2735" s="48">
        <v>113.1</v>
      </c>
    </row>
    <row r="2736">
      <c r="A2736" s="46" t="s">
        <v>18</v>
      </c>
      <c r="B2736" s="46" t="s">
        <v>13</v>
      </c>
      <c r="C2736" s="49"/>
      <c r="D2736" s="48">
        <v>80.9</v>
      </c>
      <c r="E2736" s="48">
        <v>80.9</v>
      </c>
    </row>
    <row r="2737">
      <c r="A2737" s="46" t="s">
        <v>18</v>
      </c>
      <c r="B2737" s="46" t="s">
        <v>14</v>
      </c>
      <c r="C2737" s="48">
        <v>111.0</v>
      </c>
      <c r="D2737" s="48">
        <v>98.2</v>
      </c>
      <c r="E2737" s="48">
        <v>106.8</v>
      </c>
    </row>
    <row r="2738">
      <c r="A2738" s="46" t="s">
        <v>18</v>
      </c>
      <c r="B2738" s="46" t="s">
        <v>15</v>
      </c>
      <c r="C2738" s="48">
        <v>115.6</v>
      </c>
      <c r="D2738" s="49"/>
      <c r="E2738" s="48">
        <v>115.6</v>
      </c>
    </row>
    <row r="2739">
      <c r="A2739" s="46" t="s">
        <v>18</v>
      </c>
      <c r="B2739" s="46" t="s">
        <v>13</v>
      </c>
      <c r="C2739" s="49"/>
      <c r="D2739" s="48">
        <v>83.4</v>
      </c>
      <c r="E2739" s="48">
        <v>83.4</v>
      </c>
    </row>
    <row r="2740">
      <c r="A2740" s="46" t="s">
        <v>18</v>
      </c>
      <c r="B2740" s="46" t="s">
        <v>14</v>
      </c>
      <c r="C2740" s="48">
        <v>110.1</v>
      </c>
      <c r="D2740" s="48">
        <v>82.5</v>
      </c>
      <c r="E2740" s="48">
        <v>96.2</v>
      </c>
    </row>
    <row r="2741">
      <c r="A2741" s="46" t="s">
        <v>18</v>
      </c>
      <c r="B2741" s="46" t="s">
        <v>15</v>
      </c>
      <c r="C2741" s="48">
        <v>99.3</v>
      </c>
      <c r="D2741" s="49"/>
      <c r="E2741" s="48">
        <v>99.3</v>
      </c>
    </row>
    <row r="2742">
      <c r="A2742" s="46" t="s">
        <v>18</v>
      </c>
      <c r="B2742" s="46" t="s">
        <v>13</v>
      </c>
      <c r="C2742" s="49"/>
      <c r="D2742" s="48">
        <v>78.9</v>
      </c>
      <c r="E2742" s="48">
        <v>78.9</v>
      </c>
    </row>
    <row r="2743">
      <c r="A2743" s="46" t="s">
        <v>18</v>
      </c>
      <c r="B2743" s="46" t="s">
        <v>15</v>
      </c>
      <c r="C2743" s="48">
        <v>110.3</v>
      </c>
      <c r="D2743" s="49"/>
      <c r="E2743" s="48">
        <v>110.3</v>
      </c>
    </row>
    <row r="2744">
      <c r="A2744" s="46" t="s">
        <v>18</v>
      </c>
      <c r="B2744" s="46" t="s">
        <v>15</v>
      </c>
      <c r="C2744" s="48">
        <v>114.9</v>
      </c>
      <c r="D2744" s="49"/>
      <c r="E2744" s="48">
        <v>114.9</v>
      </c>
    </row>
    <row r="2745">
      <c r="A2745" s="46" t="s">
        <v>18</v>
      </c>
      <c r="B2745" s="46" t="s">
        <v>13</v>
      </c>
      <c r="C2745" s="49"/>
      <c r="D2745" s="48">
        <v>85.3</v>
      </c>
      <c r="E2745" s="48">
        <v>85.3</v>
      </c>
    </row>
    <row r="2746">
      <c r="A2746" s="46" t="s">
        <v>18</v>
      </c>
      <c r="B2746" s="46" t="s">
        <v>13</v>
      </c>
      <c r="C2746" s="49"/>
      <c r="D2746" s="48">
        <v>85.4</v>
      </c>
      <c r="E2746" s="48">
        <v>85.4</v>
      </c>
    </row>
    <row r="2747">
      <c r="A2747" s="46" t="s">
        <v>18</v>
      </c>
      <c r="B2747" s="46" t="s">
        <v>13</v>
      </c>
      <c r="C2747" s="49"/>
      <c r="D2747" s="48">
        <v>96.5</v>
      </c>
      <c r="E2747" s="48">
        <v>96.5</v>
      </c>
    </row>
    <row r="2748">
      <c r="A2748" s="46" t="s">
        <v>18</v>
      </c>
      <c r="B2748" s="46" t="s">
        <v>15</v>
      </c>
      <c r="C2748" s="48">
        <v>111.1</v>
      </c>
      <c r="D2748" s="49"/>
      <c r="E2748" s="48">
        <v>111.1</v>
      </c>
    </row>
    <row r="2749">
      <c r="A2749" s="46" t="s">
        <v>18</v>
      </c>
      <c r="B2749" s="46" t="s">
        <v>15</v>
      </c>
      <c r="C2749" s="48">
        <v>107.7</v>
      </c>
      <c r="D2749" s="49"/>
      <c r="E2749" s="48">
        <v>107.7</v>
      </c>
    </row>
    <row r="2750">
      <c r="A2750" s="46" t="s">
        <v>18</v>
      </c>
      <c r="B2750" s="46" t="s">
        <v>15</v>
      </c>
      <c r="C2750" s="48">
        <v>124.6</v>
      </c>
      <c r="D2750" s="49"/>
      <c r="E2750" s="48">
        <v>124.6</v>
      </c>
    </row>
    <row r="2751">
      <c r="A2751" s="46" t="s">
        <v>18</v>
      </c>
      <c r="B2751" s="46" t="s">
        <v>13</v>
      </c>
      <c r="C2751" s="49"/>
      <c r="D2751" s="48">
        <v>89.0</v>
      </c>
      <c r="E2751" s="48">
        <v>89.0</v>
      </c>
    </row>
    <row r="2752">
      <c r="A2752" s="46" t="s">
        <v>18</v>
      </c>
      <c r="B2752" s="46" t="s">
        <v>13</v>
      </c>
      <c r="C2752" s="49"/>
      <c r="D2752" s="48">
        <v>88.3</v>
      </c>
      <c r="E2752" s="48">
        <v>88.3</v>
      </c>
    </row>
    <row r="2753">
      <c r="A2753" s="46" t="s">
        <v>18</v>
      </c>
      <c r="B2753" s="46" t="s">
        <v>14</v>
      </c>
      <c r="C2753" s="48">
        <v>101.2</v>
      </c>
      <c r="D2753" s="48">
        <v>80.5</v>
      </c>
      <c r="E2753" s="48">
        <v>92.5</v>
      </c>
    </row>
    <row r="2754">
      <c r="A2754" s="46" t="s">
        <v>18</v>
      </c>
      <c r="B2754" s="46" t="s">
        <v>15</v>
      </c>
      <c r="C2754" s="48">
        <v>116.1</v>
      </c>
      <c r="D2754" s="49"/>
      <c r="E2754" s="48">
        <v>116.1</v>
      </c>
    </row>
    <row r="2755">
      <c r="A2755" s="46" t="s">
        <v>18</v>
      </c>
      <c r="B2755" s="46" t="s">
        <v>15</v>
      </c>
      <c r="C2755" s="48">
        <v>108.5</v>
      </c>
      <c r="D2755" s="49"/>
      <c r="E2755" s="48">
        <v>108.5</v>
      </c>
    </row>
    <row r="2756">
      <c r="A2756" s="46" t="s">
        <v>18</v>
      </c>
      <c r="B2756" s="46" t="s">
        <v>14</v>
      </c>
      <c r="C2756" s="48">
        <v>107.2</v>
      </c>
      <c r="D2756" s="48">
        <v>84.2</v>
      </c>
      <c r="E2756" s="48">
        <v>104.3</v>
      </c>
    </row>
    <row r="2757">
      <c r="A2757" s="46" t="s">
        <v>18</v>
      </c>
      <c r="B2757" s="46" t="s">
        <v>13</v>
      </c>
      <c r="C2757" s="49"/>
      <c r="D2757" s="48">
        <v>80.5</v>
      </c>
      <c r="E2757" s="48">
        <v>80.5</v>
      </c>
    </row>
    <row r="2758">
      <c r="A2758" s="46" t="s">
        <v>18</v>
      </c>
      <c r="B2758" s="46" t="s">
        <v>14</v>
      </c>
      <c r="C2758" s="48">
        <v>100.5</v>
      </c>
      <c r="D2758" s="48">
        <v>73.9</v>
      </c>
      <c r="E2758" s="48">
        <v>95.6</v>
      </c>
    </row>
    <row r="2759">
      <c r="A2759" s="46" t="s">
        <v>18</v>
      </c>
      <c r="B2759" s="46" t="s">
        <v>14</v>
      </c>
      <c r="C2759" s="48">
        <v>117.2</v>
      </c>
      <c r="D2759" s="48">
        <v>91.1</v>
      </c>
      <c r="E2759" s="48">
        <v>112.9</v>
      </c>
    </row>
    <row r="2760">
      <c r="A2760" s="46" t="s">
        <v>18</v>
      </c>
      <c r="B2760" s="46" t="s">
        <v>14</v>
      </c>
      <c r="C2760" s="48">
        <v>119.6</v>
      </c>
      <c r="D2760" s="48">
        <v>80.6</v>
      </c>
      <c r="E2760" s="48">
        <v>113.3</v>
      </c>
    </row>
    <row r="2761">
      <c r="A2761" s="46" t="s">
        <v>18</v>
      </c>
      <c r="B2761" s="46" t="s">
        <v>15</v>
      </c>
      <c r="C2761" s="48">
        <v>138.8</v>
      </c>
      <c r="D2761" s="49"/>
      <c r="E2761" s="48">
        <v>138.8</v>
      </c>
    </row>
    <row r="2762">
      <c r="A2762" s="46" t="s">
        <v>18</v>
      </c>
      <c r="B2762" s="46" t="s">
        <v>14</v>
      </c>
      <c r="C2762" s="48">
        <v>102.1</v>
      </c>
      <c r="D2762" s="48">
        <v>87.5</v>
      </c>
      <c r="E2762" s="48">
        <v>99.3</v>
      </c>
    </row>
    <row r="2763">
      <c r="A2763" s="46" t="s">
        <v>18</v>
      </c>
      <c r="B2763" s="46" t="s">
        <v>13</v>
      </c>
      <c r="C2763" s="49"/>
      <c r="D2763" s="48">
        <v>103.3</v>
      </c>
      <c r="E2763" s="48">
        <v>103.3</v>
      </c>
    </row>
    <row r="2764">
      <c r="A2764" s="46" t="s">
        <v>18</v>
      </c>
      <c r="B2764" s="46" t="s">
        <v>13</v>
      </c>
      <c r="C2764" s="49"/>
      <c r="D2764" s="48">
        <v>95.5</v>
      </c>
      <c r="E2764" s="48">
        <v>95.5</v>
      </c>
    </row>
    <row r="2765">
      <c r="A2765" s="46" t="s">
        <v>18</v>
      </c>
      <c r="B2765" s="46" t="s">
        <v>14</v>
      </c>
      <c r="C2765" s="48">
        <v>125.8</v>
      </c>
      <c r="D2765" s="48">
        <v>102.5</v>
      </c>
      <c r="E2765" s="48">
        <v>120.8</v>
      </c>
    </row>
    <row r="2766">
      <c r="A2766" s="46" t="s">
        <v>18</v>
      </c>
      <c r="B2766" s="46" t="s">
        <v>15</v>
      </c>
      <c r="C2766" s="48">
        <v>126.8</v>
      </c>
      <c r="D2766" s="49"/>
      <c r="E2766" s="48">
        <v>126.8</v>
      </c>
    </row>
    <row r="2767">
      <c r="A2767" s="46" t="s">
        <v>18</v>
      </c>
      <c r="B2767" s="46" t="s">
        <v>15</v>
      </c>
      <c r="C2767" s="48">
        <v>122.6</v>
      </c>
      <c r="D2767" s="49"/>
      <c r="E2767" s="48">
        <v>122.6</v>
      </c>
    </row>
    <row r="2768">
      <c r="A2768" s="46" t="s">
        <v>18</v>
      </c>
      <c r="B2768" s="46" t="s">
        <v>14</v>
      </c>
      <c r="C2768" s="48">
        <v>109.7</v>
      </c>
      <c r="D2768" s="48">
        <v>87.8</v>
      </c>
      <c r="E2768" s="48">
        <v>100.2</v>
      </c>
    </row>
    <row r="2769">
      <c r="A2769" s="46" t="s">
        <v>18</v>
      </c>
      <c r="B2769" s="46" t="s">
        <v>13</v>
      </c>
      <c r="C2769" s="49"/>
      <c r="D2769" s="48">
        <v>80.9</v>
      </c>
      <c r="E2769" s="48">
        <v>80.9</v>
      </c>
    </row>
    <row r="2770">
      <c r="A2770" s="46" t="s">
        <v>18</v>
      </c>
      <c r="B2770" s="46" t="s">
        <v>13</v>
      </c>
      <c r="C2770" s="49"/>
      <c r="D2770" s="48">
        <v>95.1</v>
      </c>
      <c r="E2770" s="48">
        <v>95.1</v>
      </c>
    </row>
    <row r="2771">
      <c r="A2771" s="46" t="s">
        <v>18</v>
      </c>
      <c r="B2771" s="46" t="s">
        <v>14</v>
      </c>
      <c r="C2771" s="48">
        <v>121.4</v>
      </c>
      <c r="D2771" s="48">
        <v>103.2</v>
      </c>
      <c r="E2771" s="48">
        <v>117.4</v>
      </c>
    </row>
    <row r="2772">
      <c r="A2772" s="46" t="s">
        <v>18</v>
      </c>
      <c r="B2772" s="46" t="s">
        <v>15</v>
      </c>
      <c r="C2772" s="48">
        <v>124.2</v>
      </c>
      <c r="D2772" s="49"/>
      <c r="E2772" s="48">
        <v>124.2</v>
      </c>
    </row>
    <row r="2773">
      <c r="A2773" s="46" t="s">
        <v>18</v>
      </c>
      <c r="B2773" s="46" t="s">
        <v>15</v>
      </c>
      <c r="C2773" s="48">
        <v>107.3</v>
      </c>
      <c r="D2773" s="49"/>
      <c r="E2773" s="48">
        <v>107.3</v>
      </c>
    </row>
    <row r="2774">
      <c r="A2774" s="46" t="s">
        <v>18</v>
      </c>
      <c r="B2774" s="46" t="s">
        <v>15</v>
      </c>
      <c r="C2774" s="48">
        <v>124.8</v>
      </c>
      <c r="D2774" s="49"/>
      <c r="E2774" s="48">
        <v>124.8</v>
      </c>
    </row>
    <row r="2775">
      <c r="A2775" s="46" t="s">
        <v>18</v>
      </c>
      <c r="B2775" s="46" t="s">
        <v>15</v>
      </c>
      <c r="C2775" s="48">
        <v>88.0</v>
      </c>
      <c r="D2775" s="49"/>
      <c r="E2775" s="48">
        <v>88.0</v>
      </c>
    </row>
    <row r="2776">
      <c r="A2776" s="46" t="s">
        <v>18</v>
      </c>
      <c r="B2776" s="46" t="s">
        <v>13</v>
      </c>
      <c r="C2776" s="49"/>
      <c r="D2776" s="48">
        <v>88.2</v>
      </c>
      <c r="E2776" s="48">
        <v>88.2</v>
      </c>
    </row>
    <row r="2777">
      <c r="A2777" s="46" t="s">
        <v>18</v>
      </c>
      <c r="B2777" s="46" t="s">
        <v>15</v>
      </c>
      <c r="C2777" s="48">
        <v>99.8</v>
      </c>
      <c r="D2777" s="49"/>
      <c r="E2777" s="48">
        <v>99.8</v>
      </c>
    </row>
    <row r="2778">
      <c r="A2778" s="46" t="s">
        <v>18</v>
      </c>
      <c r="B2778" s="46" t="s">
        <v>14</v>
      </c>
      <c r="C2778" s="48">
        <v>113.5</v>
      </c>
      <c r="D2778" s="48">
        <v>89.8</v>
      </c>
      <c r="E2778" s="48">
        <v>104.0</v>
      </c>
    </row>
    <row r="2779">
      <c r="A2779" s="46" t="s">
        <v>18</v>
      </c>
      <c r="B2779" s="46" t="s">
        <v>15</v>
      </c>
      <c r="C2779" s="48">
        <v>107.9</v>
      </c>
      <c r="D2779" s="49"/>
      <c r="E2779" s="48">
        <v>107.9</v>
      </c>
    </row>
    <row r="2780">
      <c r="A2780" s="46" t="s">
        <v>18</v>
      </c>
      <c r="B2780" s="46" t="s">
        <v>15</v>
      </c>
      <c r="C2780" s="48">
        <v>113.9</v>
      </c>
      <c r="D2780" s="49"/>
      <c r="E2780" s="48">
        <v>113.9</v>
      </c>
    </row>
    <row r="2781">
      <c r="A2781" s="46" t="s">
        <v>18</v>
      </c>
      <c r="B2781" s="46" t="s">
        <v>13</v>
      </c>
      <c r="C2781" s="49"/>
      <c r="D2781" s="48">
        <v>84.7</v>
      </c>
      <c r="E2781" s="48">
        <v>84.7</v>
      </c>
    </row>
    <row r="2782">
      <c r="A2782" s="46" t="s">
        <v>18</v>
      </c>
      <c r="B2782" s="46" t="s">
        <v>15</v>
      </c>
      <c r="C2782" s="48">
        <v>102.4</v>
      </c>
      <c r="D2782" s="49"/>
      <c r="E2782" s="48">
        <v>102.4</v>
      </c>
    </row>
    <row r="2783">
      <c r="A2783" s="46" t="s">
        <v>18</v>
      </c>
      <c r="B2783" s="46" t="s">
        <v>14</v>
      </c>
      <c r="C2783" s="48">
        <v>123.2</v>
      </c>
      <c r="D2783" s="48">
        <v>100.9</v>
      </c>
      <c r="E2783" s="48">
        <v>116.2</v>
      </c>
    </row>
    <row r="2784">
      <c r="A2784" s="46" t="s">
        <v>18</v>
      </c>
      <c r="B2784" s="46" t="s">
        <v>14</v>
      </c>
      <c r="C2784" s="48">
        <v>132.2</v>
      </c>
      <c r="D2784" s="48">
        <v>93.8</v>
      </c>
      <c r="E2784" s="48">
        <v>121.8</v>
      </c>
    </row>
    <row r="2785">
      <c r="A2785" s="46" t="s">
        <v>18</v>
      </c>
      <c r="B2785" s="46" t="s">
        <v>14</v>
      </c>
      <c r="C2785" s="48">
        <v>125.6</v>
      </c>
      <c r="D2785" s="48">
        <v>86.5</v>
      </c>
      <c r="E2785" s="48">
        <v>118.4</v>
      </c>
    </row>
    <row r="2786">
      <c r="A2786" s="46" t="s">
        <v>18</v>
      </c>
      <c r="B2786" s="46" t="s">
        <v>14</v>
      </c>
      <c r="C2786" s="48">
        <v>117.8</v>
      </c>
      <c r="D2786" s="48">
        <v>97.0</v>
      </c>
      <c r="E2786" s="48">
        <v>101.5</v>
      </c>
    </row>
    <row r="2787">
      <c r="A2787" s="46" t="s">
        <v>18</v>
      </c>
      <c r="B2787" s="46" t="s">
        <v>15</v>
      </c>
      <c r="C2787" s="48">
        <v>110.9</v>
      </c>
      <c r="D2787" s="49"/>
      <c r="E2787" s="48">
        <v>110.9</v>
      </c>
    </row>
    <row r="2788">
      <c r="A2788" s="46" t="s">
        <v>18</v>
      </c>
      <c r="B2788" s="46" t="s">
        <v>13</v>
      </c>
      <c r="C2788" s="49"/>
      <c r="D2788" s="48">
        <v>83.9</v>
      </c>
      <c r="E2788" s="48">
        <v>83.9</v>
      </c>
    </row>
    <row r="2789">
      <c r="A2789" s="46" t="s">
        <v>18</v>
      </c>
      <c r="B2789" s="46" t="s">
        <v>15</v>
      </c>
      <c r="C2789" s="48">
        <v>126.9</v>
      </c>
      <c r="D2789" s="49"/>
      <c r="E2789" s="48">
        <v>126.9</v>
      </c>
    </row>
    <row r="2790">
      <c r="A2790" s="46" t="s">
        <v>18</v>
      </c>
      <c r="B2790" s="46" t="s">
        <v>15</v>
      </c>
      <c r="C2790" s="48">
        <v>104.4</v>
      </c>
      <c r="D2790" s="49"/>
      <c r="E2790" s="48">
        <v>104.4</v>
      </c>
    </row>
    <row r="2791">
      <c r="A2791" s="46" t="s">
        <v>18</v>
      </c>
      <c r="B2791" s="46" t="s">
        <v>14</v>
      </c>
      <c r="C2791" s="48">
        <v>106.0</v>
      </c>
      <c r="D2791" s="48">
        <v>84.5</v>
      </c>
      <c r="E2791" s="48">
        <v>96.1</v>
      </c>
    </row>
    <row r="2792">
      <c r="A2792" s="46" t="s">
        <v>18</v>
      </c>
      <c r="B2792" s="46" t="s">
        <v>14</v>
      </c>
      <c r="C2792" s="48">
        <v>115.7</v>
      </c>
      <c r="D2792" s="48">
        <v>96.1</v>
      </c>
      <c r="E2792" s="48">
        <v>114.2</v>
      </c>
    </row>
    <row r="2793">
      <c r="A2793" s="46" t="s">
        <v>18</v>
      </c>
      <c r="B2793" s="46" t="s">
        <v>15</v>
      </c>
      <c r="C2793" s="48">
        <v>118.6</v>
      </c>
      <c r="D2793" s="49"/>
      <c r="E2793" s="48">
        <v>118.6</v>
      </c>
    </row>
    <row r="2794">
      <c r="A2794" s="46" t="s">
        <v>18</v>
      </c>
      <c r="B2794" s="46" t="s">
        <v>15</v>
      </c>
      <c r="C2794" s="48">
        <v>124.8</v>
      </c>
      <c r="D2794" s="49"/>
      <c r="E2794" s="48">
        <v>124.8</v>
      </c>
    </row>
    <row r="2795">
      <c r="A2795" s="46" t="s">
        <v>18</v>
      </c>
      <c r="B2795" s="46" t="s">
        <v>13</v>
      </c>
      <c r="C2795" s="49"/>
      <c r="D2795" s="48">
        <v>88.1</v>
      </c>
      <c r="E2795" s="48">
        <v>88.1</v>
      </c>
    </row>
    <row r="2796">
      <c r="A2796" s="46" t="s">
        <v>18</v>
      </c>
      <c r="B2796" s="46" t="s">
        <v>15</v>
      </c>
      <c r="C2796" s="48">
        <v>124.2</v>
      </c>
      <c r="D2796" s="49"/>
      <c r="E2796" s="48">
        <v>124.2</v>
      </c>
    </row>
    <row r="2797">
      <c r="A2797" s="46" t="s">
        <v>18</v>
      </c>
      <c r="B2797" s="46" t="s">
        <v>14</v>
      </c>
      <c r="C2797" s="48">
        <v>126.6</v>
      </c>
      <c r="D2797" s="48">
        <v>97.7</v>
      </c>
      <c r="E2797" s="48">
        <v>106.3</v>
      </c>
    </row>
    <row r="2798">
      <c r="A2798" s="46" t="s">
        <v>18</v>
      </c>
      <c r="B2798" s="46" t="s">
        <v>14</v>
      </c>
      <c r="C2798" s="48">
        <v>118.3</v>
      </c>
      <c r="D2798" s="48">
        <v>84.8</v>
      </c>
      <c r="E2798" s="48">
        <v>106.6</v>
      </c>
    </row>
    <row r="2799">
      <c r="A2799" s="46" t="s">
        <v>18</v>
      </c>
      <c r="B2799" s="46" t="s">
        <v>14</v>
      </c>
      <c r="C2799" s="48">
        <v>126.6</v>
      </c>
      <c r="D2799" s="48">
        <v>90.8</v>
      </c>
      <c r="E2799" s="48">
        <v>120.1</v>
      </c>
    </row>
    <row r="2800">
      <c r="A2800" s="46" t="s">
        <v>18</v>
      </c>
      <c r="B2800" s="46" t="s">
        <v>14</v>
      </c>
      <c r="C2800" s="48">
        <v>101.9</v>
      </c>
      <c r="D2800" s="48">
        <v>79.0</v>
      </c>
      <c r="E2800" s="48">
        <v>93.5</v>
      </c>
    </row>
    <row r="2801">
      <c r="A2801" s="46" t="s">
        <v>18</v>
      </c>
      <c r="B2801" s="46" t="s">
        <v>15</v>
      </c>
      <c r="C2801" s="48">
        <v>133.7</v>
      </c>
      <c r="D2801" s="49"/>
      <c r="E2801" s="48">
        <v>133.7</v>
      </c>
    </row>
    <row r="2802">
      <c r="A2802" s="46" t="s">
        <v>18</v>
      </c>
      <c r="B2802" s="46" t="s">
        <v>15</v>
      </c>
      <c r="C2802" s="48">
        <v>119.0</v>
      </c>
      <c r="D2802" s="49"/>
      <c r="E2802" s="48">
        <v>119.0</v>
      </c>
    </row>
    <row r="2803">
      <c r="A2803" s="46" t="s">
        <v>18</v>
      </c>
      <c r="B2803" s="46" t="s">
        <v>13</v>
      </c>
      <c r="C2803" s="49"/>
      <c r="D2803" s="48">
        <v>88.7</v>
      </c>
      <c r="E2803" s="48">
        <v>88.7</v>
      </c>
    </row>
    <row r="2804">
      <c r="A2804" s="46" t="s">
        <v>18</v>
      </c>
      <c r="B2804" s="46" t="s">
        <v>15</v>
      </c>
      <c r="C2804" s="48">
        <v>112.3</v>
      </c>
      <c r="D2804" s="49"/>
      <c r="E2804" s="48">
        <v>112.3</v>
      </c>
    </row>
    <row r="2805">
      <c r="A2805" s="46" t="s">
        <v>18</v>
      </c>
      <c r="B2805" s="46" t="s">
        <v>15</v>
      </c>
      <c r="C2805" s="48">
        <v>113.5</v>
      </c>
      <c r="D2805" s="49"/>
      <c r="E2805" s="48">
        <v>113.5</v>
      </c>
    </row>
    <row r="2806">
      <c r="A2806" s="46" t="s">
        <v>18</v>
      </c>
      <c r="B2806" s="46" t="s">
        <v>13</v>
      </c>
      <c r="C2806" s="49"/>
      <c r="D2806" s="48">
        <v>81.1</v>
      </c>
      <c r="E2806" s="48">
        <v>81.1</v>
      </c>
    </row>
    <row r="2807">
      <c r="A2807" s="46" t="s">
        <v>18</v>
      </c>
      <c r="B2807" s="46" t="s">
        <v>15</v>
      </c>
      <c r="C2807" s="48">
        <v>103.9</v>
      </c>
      <c r="D2807" s="49"/>
      <c r="E2807" s="48">
        <v>103.9</v>
      </c>
    </row>
    <row r="2808">
      <c r="A2808" s="46" t="s">
        <v>18</v>
      </c>
      <c r="B2808" s="46" t="s">
        <v>15</v>
      </c>
      <c r="C2808" s="48">
        <v>119.3</v>
      </c>
      <c r="D2808" s="49"/>
      <c r="E2808" s="48">
        <v>119.3</v>
      </c>
    </row>
    <row r="2809">
      <c r="A2809" s="46" t="s">
        <v>18</v>
      </c>
      <c r="B2809" s="46" t="s">
        <v>15</v>
      </c>
      <c r="C2809" s="48">
        <v>104.7</v>
      </c>
      <c r="D2809" s="49"/>
      <c r="E2809" s="48">
        <v>104.7</v>
      </c>
    </row>
    <row r="2810">
      <c r="A2810" s="46" t="s">
        <v>18</v>
      </c>
      <c r="B2810" s="46" t="s">
        <v>13</v>
      </c>
      <c r="C2810" s="49"/>
      <c r="D2810" s="48">
        <v>85.9</v>
      </c>
      <c r="E2810" s="48">
        <v>85.9</v>
      </c>
    </row>
    <row r="2811">
      <c r="A2811" s="46" t="s">
        <v>18</v>
      </c>
      <c r="B2811" s="46" t="s">
        <v>13</v>
      </c>
      <c r="C2811" s="49"/>
      <c r="D2811" s="48">
        <v>73.4</v>
      </c>
      <c r="E2811" s="48">
        <v>73.4</v>
      </c>
    </row>
    <row r="2812">
      <c r="A2812" s="46" t="s">
        <v>18</v>
      </c>
      <c r="B2812" s="46" t="s">
        <v>15</v>
      </c>
      <c r="C2812" s="48">
        <v>118.3</v>
      </c>
      <c r="D2812" s="49"/>
      <c r="E2812" s="48">
        <v>118.3</v>
      </c>
    </row>
    <row r="2813">
      <c r="A2813" s="46" t="s">
        <v>18</v>
      </c>
      <c r="B2813" s="46" t="s">
        <v>13</v>
      </c>
      <c r="C2813" s="49"/>
      <c r="D2813" s="48">
        <v>85.3</v>
      </c>
      <c r="E2813" s="48">
        <v>85.3</v>
      </c>
    </row>
    <row r="2814">
      <c r="A2814" s="46" t="s">
        <v>18</v>
      </c>
      <c r="B2814" s="46" t="s">
        <v>14</v>
      </c>
      <c r="C2814" s="48">
        <v>101.5</v>
      </c>
      <c r="D2814" s="48">
        <v>83.6</v>
      </c>
      <c r="E2814" s="48">
        <v>92.4</v>
      </c>
    </row>
    <row r="2815">
      <c r="A2815" s="46" t="s">
        <v>18</v>
      </c>
      <c r="B2815" s="46" t="s">
        <v>15</v>
      </c>
      <c r="C2815" s="48">
        <v>111.6</v>
      </c>
      <c r="D2815" s="49"/>
      <c r="E2815" s="48">
        <v>111.6</v>
      </c>
    </row>
    <row r="2816">
      <c r="A2816" s="46" t="s">
        <v>18</v>
      </c>
      <c r="B2816" s="46" t="s">
        <v>15</v>
      </c>
      <c r="C2816" s="48">
        <v>100.2</v>
      </c>
      <c r="D2816" s="49"/>
      <c r="E2816" s="48">
        <v>100.2</v>
      </c>
    </row>
    <row r="2817">
      <c r="A2817" s="46" t="s">
        <v>18</v>
      </c>
      <c r="B2817" s="46" t="s">
        <v>13</v>
      </c>
      <c r="C2817" s="49"/>
      <c r="D2817" s="48">
        <v>83.8</v>
      </c>
      <c r="E2817" s="48">
        <v>83.8</v>
      </c>
    </row>
    <row r="2818">
      <c r="A2818" s="46" t="s">
        <v>18</v>
      </c>
      <c r="B2818" s="46" t="s">
        <v>13</v>
      </c>
      <c r="C2818" s="49"/>
      <c r="D2818" s="48">
        <v>92.8</v>
      </c>
      <c r="E2818" s="48">
        <v>92.8</v>
      </c>
    </row>
    <row r="2819">
      <c r="A2819" s="46" t="s">
        <v>18</v>
      </c>
      <c r="B2819" s="46" t="s">
        <v>14</v>
      </c>
      <c r="C2819" s="48">
        <v>118.5</v>
      </c>
      <c r="D2819" s="48">
        <v>88.9</v>
      </c>
      <c r="E2819" s="48">
        <v>112.8</v>
      </c>
    </row>
    <row r="2820">
      <c r="A2820" s="46" t="s">
        <v>18</v>
      </c>
      <c r="B2820" s="46" t="s">
        <v>13</v>
      </c>
      <c r="C2820" s="49"/>
      <c r="D2820" s="48">
        <v>98.2</v>
      </c>
      <c r="E2820" s="48">
        <v>98.2</v>
      </c>
    </row>
    <row r="2821">
      <c r="A2821" s="46" t="s">
        <v>18</v>
      </c>
      <c r="B2821" s="46" t="s">
        <v>15</v>
      </c>
      <c r="C2821" s="48">
        <v>119.6</v>
      </c>
      <c r="D2821" s="49"/>
      <c r="E2821" s="48">
        <v>119.6</v>
      </c>
    </row>
    <row r="2822">
      <c r="A2822" s="46" t="s">
        <v>18</v>
      </c>
      <c r="B2822" s="46" t="s">
        <v>15</v>
      </c>
      <c r="C2822" s="48">
        <v>117.9</v>
      </c>
      <c r="D2822" s="49"/>
      <c r="E2822" s="48">
        <v>117.9</v>
      </c>
    </row>
    <row r="2823">
      <c r="A2823" s="46" t="s">
        <v>18</v>
      </c>
      <c r="B2823" s="46" t="s">
        <v>14</v>
      </c>
      <c r="C2823" s="48">
        <v>118.9</v>
      </c>
      <c r="D2823" s="48">
        <v>90.3</v>
      </c>
      <c r="E2823" s="48">
        <v>92.6</v>
      </c>
    </row>
    <row r="2824">
      <c r="A2824" s="46" t="s">
        <v>18</v>
      </c>
      <c r="B2824" s="46" t="s">
        <v>13</v>
      </c>
      <c r="C2824" s="49"/>
      <c r="D2824" s="48">
        <v>88.7</v>
      </c>
      <c r="E2824" s="48">
        <v>88.7</v>
      </c>
    </row>
    <row r="2825">
      <c r="A2825" s="46" t="s">
        <v>18</v>
      </c>
      <c r="B2825" s="46" t="s">
        <v>13</v>
      </c>
      <c r="C2825" s="49"/>
      <c r="D2825" s="48">
        <v>85.9</v>
      </c>
      <c r="E2825" s="48">
        <v>85.9</v>
      </c>
    </row>
    <row r="2826">
      <c r="A2826" s="46" t="s">
        <v>18</v>
      </c>
      <c r="B2826" s="46" t="s">
        <v>13</v>
      </c>
      <c r="C2826" s="49"/>
      <c r="D2826" s="48">
        <v>81.1</v>
      </c>
      <c r="E2826" s="48">
        <v>81.1</v>
      </c>
    </row>
    <row r="2827">
      <c r="A2827" s="46" t="s">
        <v>18</v>
      </c>
      <c r="B2827" s="46" t="s">
        <v>14</v>
      </c>
      <c r="C2827" s="48">
        <v>110.5</v>
      </c>
      <c r="D2827" s="48">
        <v>88.4</v>
      </c>
      <c r="E2827" s="48">
        <v>93.1</v>
      </c>
    </row>
    <row r="2828">
      <c r="A2828" s="46" t="s">
        <v>18</v>
      </c>
      <c r="B2828" s="46" t="s">
        <v>15</v>
      </c>
      <c r="C2828" s="48">
        <v>117.4</v>
      </c>
      <c r="D2828" s="49"/>
      <c r="E2828" s="48">
        <v>117.4</v>
      </c>
    </row>
    <row r="2829">
      <c r="A2829" s="46" t="s">
        <v>18</v>
      </c>
      <c r="B2829" s="46" t="s">
        <v>15</v>
      </c>
      <c r="C2829" s="48">
        <v>122.0</v>
      </c>
      <c r="D2829" s="49"/>
      <c r="E2829" s="48">
        <v>122.0</v>
      </c>
    </row>
    <row r="2830">
      <c r="A2830" s="46" t="s">
        <v>18</v>
      </c>
      <c r="B2830" s="46" t="s">
        <v>15</v>
      </c>
      <c r="C2830" s="48">
        <v>116.8</v>
      </c>
      <c r="D2830" s="49"/>
      <c r="E2830" s="48">
        <v>116.8</v>
      </c>
    </row>
    <row r="2831">
      <c r="A2831" s="46" t="s">
        <v>18</v>
      </c>
      <c r="B2831" s="46" t="s">
        <v>14</v>
      </c>
      <c r="C2831" s="48">
        <v>108.3</v>
      </c>
      <c r="D2831" s="48">
        <v>91.5</v>
      </c>
      <c r="E2831" s="48">
        <v>103.8</v>
      </c>
    </row>
    <row r="2832">
      <c r="A2832" s="46" t="s">
        <v>18</v>
      </c>
      <c r="B2832" s="46" t="s">
        <v>13</v>
      </c>
      <c r="C2832" s="49"/>
      <c r="D2832" s="48">
        <v>89.9</v>
      </c>
      <c r="E2832" s="48">
        <v>89.9</v>
      </c>
    </row>
    <row r="2833">
      <c r="A2833" s="46" t="s">
        <v>18</v>
      </c>
      <c r="B2833" s="46" t="s">
        <v>14</v>
      </c>
      <c r="C2833" s="48">
        <v>79.0</v>
      </c>
      <c r="D2833" s="48">
        <v>86.1</v>
      </c>
      <c r="E2833" s="48">
        <v>85.7</v>
      </c>
    </row>
    <row r="2834">
      <c r="A2834" s="46" t="s">
        <v>18</v>
      </c>
      <c r="B2834" s="46" t="s">
        <v>13</v>
      </c>
      <c r="C2834" s="49"/>
      <c r="D2834" s="48">
        <v>94.7</v>
      </c>
      <c r="E2834" s="48">
        <v>94.7</v>
      </c>
    </row>
    <row r="2835">
      <c r="A2835" s="46" t="s">
        <v>18</v>
      </c>
      <c r="B2835" s="46" t="s">
        <v>13</v>
      </c>
      <c r="C2835" s="49"/>
      <c r="D2835" s="48">
        <v>80.0</v>
      </c>
      <c r="E2835" s="48">
        <v>80.0</v>
      </c>
    </row>
    <row r="2836">
      <c r="A2836" s="46" t="s">
        <v>18</v>
      </c>
      <c r="B2836" s="46" t="s">
        <v>14</v>
      </c>
      <c r="C2836" s="48">
        <v>112.4</v>
      </c>
      <c r="D2836" s="48">
        <v>89.1</v>
      </c>
      <c r="E2836" s="48">
        <v>105.8</v>
      </c>
    </row>
    <row r="2837">
      <c r="A2837" s="46" t="s">
        <v>18</v>
      </c>
      <c r="B2837" s="46" t="s">
        <v>14</v>
      </c>
      <c r="C2837" s="48">
        <v>98.1</v>
      </c>
      <c r="D2837" s="48">
        <v>85.0</v>
      </c>
      <c r="E2837" s="48">
        <v>89.6</v>
      </c>
    </row>
    <row r="2838">
      <c r="A2838" s="46" t="s">
        <v>18</v>
      </c>
      <c r="B2838" s="46" t="s">
        <v>14</v>
      </c>
      <c r="C2838" s="48">
        <v>110.9</v>
      </c>
      <c r="D2838" s="48">
        <v>86.2</v>
      </c>
      <c r="E2838" s="48">
        <v>102.8</v>
      </c>
    </row>
    <row r="2839">
      <c r="A2839" s="46" t="s">
        <v>18</v>
      </c>
      <c r="B2839" s="46" t="s">
        <v>13</v>
      </c>
      <c r="C2839" s="49"/>
      <c r="D2839" s="48">
        <v>78.2</v>
      </c>
      <c r="E2839" s="48">
        <v>78.2</v>
      </c>
    </row>
    <row r="2840">
      <c r="A2840" s="46" t="s">
        <v>18</v>
      </c>
      <c r="B2840" s="46" t="s">
        <v>15</v>
      </c>
      <c r="C2840" s="48">
        <v>117.6</v>
      </c>
      <c r="D2840" s="49"/>
      <c r="E2840" s="48">
        <v>117.6</v>
      </c>
    </row>
    <row r="2841">
      <c r="A2841" s="46" t="s">
        <v>18</v>
      </c>
      <c r="B2841" s="46" t="s">
        <v>15</v>
      </c>
      <c r="C2841" s="48">
        <v>112.6</v>
      </c>
      <c r="D2841" s="49"/>
      <c r="E2841" s="48">
        <v>112.6</v>
      </c>
    </row>
    <row r="2842">
      <c r="A2842" s="46" t="s">
        <v>18</v>
      </c>
      <c r="B2842" s="46" t="s">
        <v>13</v>
      </c>
      <c r="C2842" s="49"/>
      <c r="D2842" s="48">
        <v>91.3</v>
      </c>
      <c r="E2842" s="48">
        <v>91.3</v>
      </c>
    </row>
    <row r="2843">
      <c r="A2843" s="46" t="s">
        <v>18</v>
      </c>
      <c r="B2843" s="46" t="s">
        <v>14</v>
      </c>
      <c r="C2843" s="48">
        <v>107.3</v>
      </c>
      <c r="D2843" s="48">
        <v>88.0</v>
      </c>
      <c r="E2843" s="48">
        <v>98.1</v>
      </c>
    </row>
    <row r="2844">
      <c r="A2844" s="46" t="s">
        <v>18</v>
      </c>
      <c r="B2844" s="46" t="s">
        <v>13</v>
      </c>
      <c r="C2844" s="49"/>
      <c r="D2844" s="48">
        <v>85.0</v>
      </c>
      <c r="E2844" s="48">
        <v>85.0</v>
      </c>
    </row>
    <row r="2845">
      <c r="A2845" s="46" t="s">
        <v>18</v>
      </c>
      <c r="B2845" s="46" t="s">
        <v>13</v>
      </c>
      <c r="C2845" s="49"/>
      <c r="D2845" s="48">
        <v>77.6</v>
      </c>
      <c r="E2845" s="48">
        <v>77.6</v>
      </c>
    </row>
    <row r="2846">
      <c r="A2846" s="46" t="s">
        <v>18</v>
      </c>
      <c r="B2846" s="46" t="s">
        <v>15</v>
      </c>
      <c r="C2846" s="48">
        <v>99.5</v>
      </c>
      <c r="D2846" s="49"/>
      <c r="E2846" s="48">
        <v>99.5</v>
      </c>
    </row>
    <row r="2847">
      <c r="A2847" s="46" t="s">
        <v>18</v>
      </c>
      <c r="B2847" s="46" t="s">
        <v>13</v>
      </c>
      <c r="C2847" s="49"/>
      <c r="D2847" s="48">
        <v>87.7</v>
      </c>
      <c r="E2847" s="48">
        <v>87.7</v>
      </c>
    </row>
    <row r="2848">
      <c r="A2848" s="46" t="s">
        <v>18</v>
      </c>
      <c r="B2848" s="46" t="s">
        <v>15</v>
      </c>
      <c r="C2848" s="48">
        <v>97.2</v>
      </c>
      <c r="D2848" s="49"/>
      <c r="E2848" s="48">
        <v>97.2</v>
      </c>
    </row>
    <row r="2849">
      <c r="A2849" s="46" t="s">
        <v>18</v>
      </c>
      <c r="B2849" s="46" t="s">
        <v>14</v>
      </c>
      <c r="C2849" s="48">
        <v>108.6</v>
      </c>
      <c r="D2849" s="48">
        <v>80.6</v>
      </c>
      <c r="E2849" s="48">
        <v>104.6</v>
      </c>
    </row>
    <row r="2850">
      <c r="A2850" s="46" t="s">
        <v>18</v>
      </c>
      <c r="B2850" s="46" t="s">
        <v>15</v>
      </c>
      <c r="C2850" s="48">
        <v>105.3</v>
      </c>
      <c r="D2850" s="49"/>
      <c r="E2850" s="48">
        <v>105.3</v>
      </c>
    </row>
    <row r="2851">
      <c r="A2851" s="46" t="s">
        <v>18</v>
      </c>
      <c r="B2851" s="46" t="s">
        <v>13</v>
      </c>
      <c r="C2851" s="49"/>
      <c r="D2851" s="48">
        <v>74.9</v>
      </c>
      <c r="E2851" s="48">
        <v>74.9</v>
      </c>
    </row>
    <row r="2852">
      <c r="A2852" s="46" t="s">
        <v>18</v>
      </c>
      <c r="B2852" s="46" t="s">
        <v>15</v>
      </c>
      <c r="C2852" s="48">
        <v>114.2</v>
      </c>
      <c r="D2852" s="49"/>
      <c r="E2852" s="48">
        <v>114.2</v>
      </c>
    </row>
    <row r="2853">
      <c r="A2853" s="46" t="s">
        <v>18</v>
      </c>
      <c r="B2853" s="46" t="s">
        <v>15</v>
      </c>
      <c r="C2853" s="48">
        <v>112.3</v>
      </c>
      <c r="D2853" s="49"/>
      <c r="E2853" s="48">
        <v>112.3</v>
      </c>
    </row>
    <row r="2854">
      <c r="A2854" s="46" t="s">
        <v>18</v>
      </c>
      <c r="B2854" s="46" t="s">
        <v>13</v>
      </c>
      <c r="C2854" s="49"/>
      <c r="D2854" s="48">
        <v>84.5</v>
      </c>
      <c r="E2854" s="48">
        <v>84.5</v>
      </c>
    </row>
    <row r="2855">
      <c r="A2855" s="46" t="s">
        <v>18</v>
      </c>
      <c r="B2855" s="46" t="s">
        <v>15</v>
      </c>
      <c r="C2855" s="48">
        <v>111.5</v>
      </c>
      <c r="D2855" s="49"/>
      <c r="E2855" s="48">
        <v>111.5</v>
      </c>
    </row>
    <row r="2856">
      <c r="A2856" s="46" t="s">
        <v>18</v>
      </c>
      <c r="B2856" s="46" t="s">
        <v>13</v>
      </c>
      <c r="C2856" s="49"/>
      <c r="D2856" s="48">
        <v>79.8</v>
      </c>
      <c r="E2856" s="48">
        <v>79.8</v>
      </c>
    </row>
    <row r="2857">
      <c r="A2857" s="46" t="s">
        <v>18</v>
      </c>
      <c r="B2857" s="46" t="s">
        <v>14</v>
      </c>
      <c r="C2857" s="48">
        <v>99.2</v>
      </c>
      <c r="D2857" s="48">
        <v>78.2</v>
      </c>
      <c r="E2857" s="48">
        <v>97.1</v>
      </c>
    </row>
    <row r="2858">
      <c r="A2858" s="46" t="s">
        <v>18</v>
      </c>
      <c r="B2858" s="46" t="s">
        <v>13</v>
      </c>
      <c r="C2858" s="49"/>
      <c r="D2858" s="48">
        <v>76.7</v>
      </c>
      <c r="E2858" s="48">
        <v>76.7</v>
      </c>
    </row>
    <row r="2859">
      <c r="A2859" s="46" t="s">
        <v>18</v>
      </c>
      <c r="B2859" s="46" t="s">
        <v>13</v>
      </c>
      <c r="C2859" s="49"/>
      <c r="D2859" s="48">
        <v>74.5</v>
      </c>
      <c r="E2859" s="48">
        <v>74.5</v>
      </c>
    </row>
    <row r="2860">
      <c r="A2860" s="46" t="s">
        <v>18</v>
      </c>
      <c r="B2860" s="46" t="s">
        <v>13</v>
      </c>
      <c r="C2860" s="49"/>
      <c r="D2860" s="48">
        <v>77.5</v>
      </c>
      <c r="E2860" s="48">
        <v>77.5</v>
      </c>
    </row>
    <row r="2861">
      <c r="A2861" s="46" t="s">
        <v>18</v>
      </c>
      <c r="B2861" s="46" t="s">
        <v>13</v>
      </c>
      <c r="C2861" s="49"/>
      <c r="D2861" s="48">
        <v>82.9</v>
      </c>
      <c r="E2861" s="48">
        <v>82.9</v>
      </c>
    </row>
    <row r="2862">
      <c r="A2862" s="46" t="s">
        <v>18</v>
      </c>
      <c r="B2862" s="46" t="s">
        <v>13</v>
      </c>
      <c r="C2862" s="49"/>
      <c r="D2862" s="48">
        <v>85.6</v>
      </c>
      <c r="E2862" s="48">
        <v>85.6</v>
      </c>
    </row>
    <row r="2863">
      <c r="A2863" s="46" t="s">
        <v>18</v>
      </c>
      <c r="B2863" s="46" t="s">
        <v>13</v>
      </c>
      <c r="C2863" s="49"/>
      <c r="D2863" s="48">
        <v>80.7</v>
      </c>
      <c r="E2863" s="48">
        <v>80.7</v>
      </c>
    </row>
    <row r="2864">
      <c r="A2864" s="46" t="s">
        <v>18</v>
      </c>
      <c r="B2864" s="46" t="s">
        <v>13</v>
      </c>
      <c r="C2864" s="49"/>
      <c r="D2864" s="48">
        <v>81.3</v>
      </c>
      <c r="E2864" s="48">
        <v>81.3</v>
      </c>
    </row>
    <row r="2865">
      <c r="A2865" s="46" t="s">
        <v>18</v>
      </c>
      <c r="B2865" s="46" t="s">
        <v>15</v>
      </c>
      <c r="C2865" s="48">
        <v>121.4</v>
      </c>
      <c r="D2865" s="49"/>
      <c r="E2865" s="48">
        <v>121.4</v>
      </c>
    </row>
    <row r="2866">
      <c r="A2866" s="46" t="s">
        <v>18</v>
      </c>
      <c r="B2866" s="46" t="s">
        <v>14</v>
      </c>
      <c r="C2866" s="48">
        <v>119.9</v>
      </c>
      <c r="D2866" s="48">
        <v>94.1</v>
      </c>
      <c r="E2866" s="48">
        <v>113.7</v>
      </c>
    </row>
    <row r="2867">
      <c r="A2867" s="46" t="s">
        <v>18</v>
      </c>
      <c r="B2867" s="46" t="s">
        <v>14</v>
      </c>
      <c r="C2867" s="48">
        <v>102.0</v>
      </c>
      <c r="D2867" s="48">
        <v>87.2</v>
      </c>
      <c r="E2867" s="48">
        <v>89.7</v>
      </c>
    </row>
    <row r="2868">
      <c r="A2868" s="46" t="s">
        <v>18</v>
      </c>
      <c r="B2868" s="46" t="s">
        <v>13</v>
      </c>
      <c r="C2868" s="49"/>
      <c r="D2868" s="48">
        <v>87.9</v>
      </c>
      <c r="E2868" s="48">
        <v>87.9</v>
      </c>
    </row>
    <row r="2869">
      <c r="A2869" s="46" t="s">
        <v>18</v>
      </c>
      <c r="B2869" s="46" t="s">
        <v>14</v>
      </c>
      <c r="C2869" s="48">
        <v>94.3</v>
      </c>
      <c r="D2869" s="48">
        <v>90.7</v>
      </c>
      <c r="E2869" s="48">
        <v>91.0</v>
      </c>
    </row>
    <row r="2870">
      <c r="A2870" s="46" t="s">
        <v>18</v>
      </c>
      <c r="B2870" s="46" t="s">
        <v>14</v>
      </c>
      <c r="C2870" s="48">
        <v>118.9</v>
      </c>
      <c r="D2870" s="48">
        <v>84.4</v>
      </c>
      <c r="E2870" s="48">
        <v>110.8</v>
      </c>
    </row>
    <row r="2871">
      <c r="A2871" s="46" t="s">
        <v>18</v>
      </c>
      <c r="B2871" s="46" t="s">
        <v>15</v>
      </c>
      <c r="C2871" s="48">
        <v>91.3</v>
      </c>
      <c r="D2871" s="49"/>
      <c r="E2871" s="48">
        <v>91.3</v>
      </c>
    </row>
    <row r="2872">
      <c r="A2872" s="46" t="s">
        <v>18</v>
      </c>
      <c r="B2872" s="46" t="s">
        <v>15</v>
      </c>
      <c r="C2872" s="48">
        <v>88.1</v>
      </c>
      <c r="D2872" s="49"/>
      <c r="E2872" s="48">
        <v>88.1</v>
      </c>
    </row>
    <row r="2873">
      <c r="A2873" s="46" t="s">
        <v>18</v>
      </c>
      <c r="B2873" s="46" t="s">
        <v>14</v>
      </c>
      <c r="C2873" s="48">
        <v>71.0</v>
      </c>
      <c r="D2873" s="48">
        <v>65.0</v>
      </c>
      <c r="E2873" s="48">
        <v>67.7</v>
      </c>
    </row>
    <row r="2874">
      <c r="A2874" s="46" t="s">
        <v>18</v>
      </c>
      <c r="B2874" s="46" t="s">
        <v>15</v>
      </c>
      <c r="C2874" s="48">
        <v>127.8</v>
      </c>
      <c r="D2874" s="49"/>
      <c r="E2874" s="48">
        <v>127.8</v>
      </c>
    </row>
    <row r="2875">
      <c r="A2875" s="46" t="s">
        <v>18</v>
      </c>
      <c r="B2875" s="46" t="s">
        <v>14</v>
      </c>
      <c r="C2875" s="48">
        <v>103.6</v>
      </c>
      <c r="D2875" s="48">
        <v>77.7</v>
      </c>
      <c r="E2875" s="48">
        <v>98.9</v>
      </c>
    </row>
    <row r="2876">
      <c r="A2876" s="46" t="s">
        <v>18</v>
      </c>
      <c r="B2876" s="46" t="s">
        <v>15</v>
      </c>
      <c r="C2876" s="48">
        <v>117.4</v>
      </c>
      <c r="D2876" s="49"/>
      <c r="E2876" s="48">
        <v>117.4</v>
      </c>
    </row>
    <row r="2877">
      <c r="A2877" s="46" t="s">
        <v>18</v>
      </c>
      <c r="B2877" s="46" t="s">
        <v>14</v>
      </c>
      <c r="C2877" s="48">
        <v>107.8</v>
      </c>
      <c r="D2877" s="48">
        <v>84.4</v>
      </c>
      <c r="E2877" s="48">
        <v>90.6</v>
      </c>
    </row>
    <row r="2878">
      <c r="A2878" s="46" t="s">
        <v>18</v>
      </c>
      <c r="B2878" s="46" t="s">
        <v>13</v>
      </c>
      <c r="C2878" s="49"/>
      <c r="D2878" s="48">
        <v>75.0</v>
      </c>
      <c r="E2878" s="48">
        <v>75.0</v>
      </c>
    </row>
    <row r="2879">
      <c r="A2879" s="46" t="s">
        <v>18</v>
      </c>
      <c r="B2879" s="46" t="s">
        <v>14</v>
      </c>
      <c r="C2879" s="48">
        <v>114.8</v>
      </c>
      <c r="D2879" s="48">
        <v>89.1</v>
      </c>
      <c r="E2879" s="48">
        <v>97.4</v>
      </c>
    </row>
    <row r="2880">
      <c r="A2880" s="46" t="s">
        <v>18</v>
      </c>
      <c r="B2880" s="46" t="s">
        <v>14</v>
      </c>
      <c r="C2880" s="48">
        <v>108.4</v>
      </c>
      <c r="D2880" s="48">
        <v>82.7</v>
      </c>
      <c r="E2880" s="48">
        <v>104.1</v>
      </c>
    </row>
    <row r="2881">
      <c r="A2881" s="46" t="s">
        <v>18</v>
      </c>
      <c r="B2881" s="46" t="s">
        <v>13</v>
      </c>
      <c r="C2881" s="49"/>
      <c r="D2881" s="48">
        <v>69.2</v>
      </c>
      <c r="E2881" s="48">
        <v>69.2</v>
      </c>
    </row>
    <row r="2882">
      <c r="A2882" s="46" t="s">
        <v>18</v>
      </c>
      <c r="B2882" s="46" t="s">
        <v>15</v>
      </c>
      <c r="C2882" s="48">
        <v>107.6</v>
      </c>
      <c r="D2882" s="49"/>
      <c r="E2882" s="48">
        <v>107.6</v>
      </c>
    </row>
    <row r="2883">
      <c r="A2883" s="46" t="s">
        <v>18</v>
      </c>
      <c r="B2883" s="46" t="s">
        <v>13</v>
      </c>
      <c r="C2883" s="49"/>
      <c r="D2883" s="48">
        <v>91.4</v>
      </c>
      <c r="E2883" s="48">
        <v>91.4</v>
      </c>
    </row>
    <row r="2884">
      <c r="A2884" s="46" t="s">
        <v>18</v>
      </c>
      <c r="B2884" s="46" t="s">
        <v>15</v>
      </c>
      <c r="C2884" s="48">
        <v>115.3</v>
      </c>
      <c r="D2884" s="49"/>
      <c r="E2884" s="48">
        <v>115.3</v>
      </c>
    </row>
    <row r="2885">
      <c r="A2885" s="46" t="s">
        <v>18</v>
      </c>
      <c r="B2885" s="46" t="s">
        <v>14</v>
      </c>
      <c r="C2885" s="48">
        <v>89.4</v>
      </c>
      <c r="D2885" s="48">
        <v>68.8</v>
      </c>
      <c r="E2885" s="48">
        <v>80.7</v>
      </c>
    </row>
    <row r="2886">
      <c r="A2886" s="46" t="s">
        <v>18</v>
      </c>
      <c r="B2886" s="46" t="s">
        <v>15</v>
      </c>
      <c r="C2886" s="48">
        <v>114.8</v>
      </c>
      <c r="D2886" s="49"/>
      <c r="E2886" s="48">
        <v>114.8</v>
      </c>
    </row>
    <row r="2887">
      <c r="A2887" s="46" t="s">
        <v>18</v>
      </c>
      <c r="B2887" s="46" t="s">
        <v>15</v>
      </c>
      <c r="C2887" s="48">
        <v>121.3</v>
      </c>
      <c r="D2887" s="49"/>
      <c r="E2887" s="48">
        <v>121.3</v>
      </c>
    </row>
    <row r="2888">
      <c r="A2888" s="46" t="s">
        <v>18</v>
      </c>
      <c r="B2888" s="46" t="s">
        <v>15</v>
      </c>
      <c r="C2888" s="48">
        <v>114.7</v>
      </c>
      <c r="D2888" s="49"/>
      <c r="E2888" s="48">
        <v>114.7</v>
      </c>
    </row>
    <row r="2889">
      <c r="A2889" s="46" t="s">
        <v>18</v>
      </c>
      <c r="B2889" s="46" t="s">
        <v>15</v>
      </c>
      <c r="C2889" s="48">
        <v>113.8</v>
      </c>
      <c r="D2889" s="49"/>
      <c r="E2889" s="48">
        <v>113.8</v>
      </c>
    </row>
    <row r="2890">
      <c r="A2890" s="46" t="s">
        <v>18</v>
      </c>
      <c r="B2890" s="46" t="s">
        <v>14</v>
      </c>
      <c r="C2890" s="48">
        <v>116.9</v>
      </c>
      <c r="D2890" s="48">
        <v>87.2</v>
      </c>
      <c r="E2890" s="48">
        <v>91.2</v>
      </c>
    </row>
    <row r="2891">
      <c r="A2891" s="46" t="s">
        <v>18</v>
      </c>
      <c r="B2891" s="46" t="s">
        <v>15</v>
      </c>
      <c r="C2891" s="48">
        <v>127.1</v>
      </c>
      <c r="D2891" s="49"/>
      <c r="E2891" s="48">
        <v>127.1</v>
      </c>
    </row>
    <row r="2892">
      <c r="A2892" s="46" t="s">
        <v>18</v>
      </c>
      <c r="B2892" s="46" t="s">
        <v>15</v>
      </c>
      <c r="C2892" s="48">
        <v>74.9</v>
      </c>
      <c r="D2892" s="49"/>
      <c r="E2892" s="48">
        <v>74.9</v>
      </c>
    </row>
    <row r="2893">
      <c r="A2893" s="46" t="s">
        <v>18</v>
      </c>
      <c r="B2893" s="46" t="s">
        <v>13</v>
      </c>
      <c r="C2893" s="49"/>
      <c r="D2893" s="48">
        <v>78.8</v>
      </c>
      <c r="E2893" s="48">
        <v>78.8</v>
      </c>
    </row>
    <row r="2894">
      <c r="A2894" s="46" t="s">
        <v>18</v>
      </c>
      <c r="B2894" s="46" t="s">
        <v>14</v>
      </c>
      <c r="C2894" s="48">
        <v>83.8</v>
      </c>
      <c r="D2894" s="48">
        <v>71.7</v>
      </c>
      <c r="E2894" s="48">
        <v>79.5</v>
      </c>
    </row>
    <row r="2895">
      <c r="A2895" s="46" t="s">
        <v>18</v>
      </c>
      <c r="B2895" s="46" t="s">
        <v>13</v>
      </c>
      <c r="C2895" s="49"/>
      <c r="D2895" s="48">
        <v>76.7</v>
      </c>
      <c r="E2895" s="48">
        <v>76.7</v>
      </c>
    </row>
    <row r="2896">
      <c r="A2896" s="46" t="s">
        <v>18</v>
      </c>
      <c r="B2896" s="46" t="s">
        <v>13</v>
      </c>
      <c r="C2896" s="49"/>
      <c r="D2896" s="48">
        <v>77.9</v>
      </c>
      <c r="E2896" s="48">
        <v>77.9</v>
      </c>
    </row>
    <row r="2897">
      <c r="A2897" s="46" t="s">
        <v>18</v>
      </c>
      <c r="B2897" s="46" t="s">
        <v>13</v>
      </c>
      <c r="C2897" s="49"/>
      <c r="D2897" s="48">
        <v>73.3</v>
      </c>
      <c r="E2897" s="48">
        <v>73.3</v>
      </c>
    </row>
    <row r="2898">
      <c r="A2898" s="46" t="s">
        <v>18</v>
      </c>
      <c r="B2898" s="46" t="s">
        <v>13</v>
      </c>
      <c r="C2898" s="49"/>
      <c r="D2898" s="48">
        <v>67.6</v>
      </c>
      <c r="E2898" s="48">
        <v>67.6</v>
      </c>
    </row>
    <row r="2899">
      <c r="A2899" s="46" t="s">
        <v>18</v>
      </c>
      <c r="B2899" s="46" t="s">
        <v>13</v>
      </c>
      <c r="C2899" s="49"/>
      <c r="D2899" s="48">
        <v>68.5</v>
      </c>
      <c r="E2899" s="48">
        <v>68.5</v>
      </c>
    </row>
    <row r="2900">
      <c r="A2900" s="46" t="s">
        <v>18</v>
      </c>
      <c r="B2900" s="46" t="s">
        <v>15</v>
      </c>
      <c r="C2900" s="48">
        <v>103.4</v>
      </c>
      <c r="D2900" s="49"/>
      <c r="E2900" s="48">
        <v>103.4</v>
      </c>
    </row>
    <row r="2901">
      <c r="A2901" s="46" t="s">
        <v>18</v>
      </c>
      <c r="B2901" s="46" t="s">
        <v>13</v>
      </c>
      <c r="C2901" s="49"/>
      <c r="D2901" s="48">
        <v>83.2</v>
      </c>
      <c r="E2901" s="48">
        <v>83.2</v>
      </c>
    </row>
    <row r="2902">
      <c r="A2902" s="46" t="s">
        <v>18</v>
      </c>
      <c r="B2902" s="46" t="s">
        <v>13</v>
      </c>
      <c r="C2902" s="49"/>
      <c r="D2902" s="48">
        <v>89.7</v>
      </c>
      <c r="E2902" s="48">
        <v>89.7</v>
      </c>
    </row>
    <row r="2903">
      <c r="A2903" s="46" t="s">
        <v>18</v>
      </c>
      <c r="B2903" s="46" t="s">
        <v>13</v>
      </c>
      <c r="C2903" s="49"/>
      <c r="D2903" s="48">
        <v>86.3</v>
      </c>
      <c r="E2903" s="48">
        <v>86.3</v>
      </c>
    </row>
    <row r="2904">
      <c r="A2904" s="46" t="s">
        <v>18</v>
      </c>
      <c r="B2904" s="46" t="s">
        <v>13</v>
      </c>
      <c r="C2904" s="49"/>
      <c r="D2904" s="48">
        <v>84.8</v>
      </c>
      <c r="E2904" s="48">
        <v>84.8</v>
      </c>
    </row>
    <row r="2905">
      <c r="A2905" s="46" t="s">
        <v>18</v>
      </c>
      <c r="B2905" s="46" t="s">
        <v>15</v>
      </c>
      <c r="C2905" s="48">
        <v>103.5</v>
      </c>
      <c r="D2905" s="49"/>
      <c r="E2905" s="48">
        <v>103.5</v>
      </c>
    </row>
    <row r="2906">
      <c r="A2906" s="46" t="s">
        <v>18</v>
      </c>
      <c r="B2906" s="46" t="s">
        <v>15</v>
      </c>
      <c r="C2906" s="48">
        <v>114.4</v>
      </c>
      <c r="D2906" s="49"/>
      <c r="E2906" s="48">
        <v>114.4</v>
      </c>
    </row>
    <row r="2907">
      <c r="A2907" s="46" t="s">
        <v>18</v>
      </c>
      <c r="B2907" s="46" t="s">
        <v>13</v>
      </c>
      <c r="C2907" s="49"/>
      <c r="D2907" s="48">
        <v>82.6</v>
      </c>
      <c r="E2907" s="48">
        <v>82.6</v>
      </c>
    </row>
    <row r="2908">
      <c r="A2908" s="46" t="s">
        <v>18</v>
      </c>
      <c r="B2908" s="46" t="s">
        <v>14</v>
      </c>
      <c r="C2908" s="48">
        <v>105.6</v>
      </c>
      <c r="D2908" s="48">
        <v>84.2</v>
      </c>
      <c r="E2908" s="48">
        <v>99.9</v>
      </c>
    </row>
    <row r="2909">
      <c r="A2909" s="46" t="s">
        <v>18</v>
      </c>
      <c r="B2909" s="46" t="s">
        <v>15</v>
      </c>
      <c r="C2909" s="48">
        <v>105.0</v>
      </c>
      <c r="D2909" s="49"/>
      <c r="E2909" s="48">
        <v>105.0</v>
      </c>
    </row>
    <row r="2910">
      <c r="A2910" s="46" t="s">
        <v>18</v>
      </c>
      <c r="B2910" s="46" t="s">
        <v>13</v>
      </c>
      <c r="C2910" s="49"/>
      <c r="D2910" s="48">
        <v>75.3</v>
      </c>
      <c r="E2910" s="48">
        <v>75.3</v>
      </c>
    </row>
    <row r="2911">
      <c r="A2911" s="46" t="s">
        <v>18</v>
      </c>
      <c r="B2911" s="46" t="s">
        <v>15</v>
      </c>
      <c r="C2911" s="48">
        <v>97.2</v>
      </c>
      <c r="D2911" s="49"/>
      <c r="E2911" s="48">
        <v>97.2</v>
      </c>
    </row>
    <row r="2912">
      <c r="A2912" s="46" t="s">
        <v>18</v>
      </c>
      <c r="B2912" s="46" t="s">
        <v>15</v>
      </c>
      <c r="C2912" s="48">
        <v>82.4</v>
      </c>
      <c r="D2912" s="49"/>
      <c r="E2912" s="48">
        <v>82.4</v>
      </c>
    </row>
    <row r="2913">
      <c r="A2913" s="46" t="s">
        <v>18</v>
      </c>
      <c r="B2913" s="46" t="s">
        <v>13</v>
      </c>
      <c r="C2913" s="49"/>
      <c r="D2913" s="48">
        <v>74.0</v>
      </c>
      <c r="E2913" s="48">
        <v>74.0</v>
      </c>
    </row>
    <row r="2914">
      <c r="A2914" s="46" t="s">
        <v>18</v>
      </c>
      <c r="B2914" s="46" t="s">
        <v>14</v>
      </c>
      <c r="C2914" s="48">
        <v>109.7</v>
      </c>
      <c r="D2914" s="48">
        <v>83.6</v>
      </c>
      <c r="E2914" s="48">
        <v>105.6</v>
      </c>
    </row>
    <row r="2915">
      <c r="A2915" s="46" t="s">
        <v>18</v>
      </c>
      <c r="B2915" s="46" t="s">
        <v>13</v>
      </c>
      <c r="C2915" s="49"/>
      <c r="D2915" s="48">
        <v>71.0</v>
      </c>
      <c r="E2915" s="48">
        <v>71.0</v>
      </c>
    </row>
    <row r="2916">
      <c r="A2916" s="46" t="s">
        <v>18</v>
      </c>
      <c r="B2916" s="46" t="s">
        <v>13</v>
      </c>
      <c r="C2916" s="49"/>
      <c r="D2916" s="48">
        <v>76.1</v>
      </c>
      <c r="E2916" s="48">
        <v>76.1</v>
      </c>
    </row>
    <row r="2917">
      <c r="A2917" s="46" t="s">
        <v>18</v>
      </c>
      <c r="B2917" s="46" t="s">
        <v>14</v>
      </c>
      <c r="C2917" s="48">
        <v>120.1</v>
      </c>
      <c r="D2917" s="48">
        <v>109.1</v>
      </c>
      <c r="E2917" s="48">
        <v>114.0</v>
      </c>
    </row>
    <row r="2918">
      <c r="A2918" s="46" t="s">
        <v>18</v>
      </c>
      <c r="B2918" s="46" t="s">
        <v>15</v>
      </c>
      <c r="C2918" s="48">
        <v>103.0</v>
      </c>
      <c r="D2918" s="49"/>
      <c r="E2918" s="48">
        <v>103.0</v>
      </c>
    </row>
    <row r="2919">
      <c r="A2919" s="46" t="s">
        <v>18</v>
      </c>
      <c r="B2919" s="46" t="s">
        <v>14</v>
      </c>
      <c r="C2919" s="48">
        <v>97.2</v>
      </c>
      <c r="D2919" s="48">
        <v>78.7</v>
      </c>
      <c r="E2919" s="48">
        <v>91.7</v>
      </c>
    </row>
    <row r="2920">
      <c r="A2920" s="46" t="s">
        <v>18</v>
      </c>
      <c r="B2920" s="46" t="s">
        <v>15</v>
      </c>
      <c r="C2920" s="48">
        <v>109.4</v>
      </c>
      <c r="D2920" s="49"/>
      <c r="E2920" s="48">
        <v>109.4</v>
      </c>
    </row>
    <row r="2921">
      <c r="A2921" s="46" t="s">
        <v>18</v>
      </c>
      <c r="B2921" s="46" t="s">
        <v>15</v>
      </c>
      <c r="C2921" s="48">
        <v>111.8</v>
      </c>
      <c r="D2921" s="49"/>
      <c r="E2921" s="48">
        <v>111.8</v>
      </c>
    </row>
    <row r="2922">
      <c r="A2922" s="46" t="s">
        <v>18</v>
      </c>
      <c r="B2922" s="46" t="s">
        <v>13</v>
      </c>
      <c r="C2922" s="49"/>
      <c r="D2922" s="48">
        <v>85.9</v>
      </c>
      <c r="E2922" s="48">
        <v>85.9</v>
      </c>
    </row>
    <row r="2923">
      <c r="A2923" s="46" t="s">
        <v>18</v>
      </c>
      <c r="B2923" s="46" t="s">
        <v>13</v>
      </c>
      <c r="C2923" s="49"/>
      <c r="D2923" s="48">
        <v>91.4</v>
      </c>
      <c r="E2923" s="48">
        <v>91.4</v>
      </c>
    </row>
    <row r="2924">
      <c r="A2924" s="46" t="s">
        <v>18</v>
      </c>
      <c r="B2924" s="46" t="s">
        <v>13</v>
      </c>
      <c r="C2924" s="49"/>
      <c r="D2924" s="48">
        <v>84.1</v>
      </c>
      <c r="E2924" s="48">
        <v>84.1</v>
      </c>
    </row>
    <row r="2925">
      <c r="A2925" s="46" t="s">
        <v>18</v>
      </c>
      <c r="B2925" s="46" t="s">
        <v>15</v>
      </c>
      <c r="C2925" s="48">
        <v>113.4</v>
      </c>
      <c r="D2925" s="49"/>
      <c r="E2925" s="48">
        <v>113.4</v>
      </c>
    </row>
    <row r="2926">
      <c r="A2926" s="46" t="s">
        <v>18</v>
      </c>
      <c r="B2926" s="46" t="s">
        <v>15</v>
      </c>
      <c r="C2926" s="48">
        <v>127.6</v>
      </c>
      <c r="D2926" s="49"/>
      <c r="E2926" s="48">
        <v>127.6</v>
      </c>
    </row>
    <row r="2927">
      <c r="A2927" s="46" t="s">
        <v>18</v>
      </c>
      <c r="B2927" s="46" t="s">
        <v>13</v>
      </c>
      <c r="C2927" s="49"/>
      <c r="D2927" s="48">
        <v>88.4</v>
      </c>
      <c r="E2927" s="48">
        <v>88.4</v>
      </c>
    </row>
    <row r="2928">
      <c r="A2928" s="46" t="s">
        <v>18</v>
      </c>
      <c r="B2928" s="46" t="s">
        <v>14</v>
      </c>
      <c r="C2928" s="48">
        <v>116.6</v>
      </c>
      <c r="D2928" s="48">
        <v>100.0</v>
      </c>
      <c r="E2928" s="48">
        <v>112.3</v>
      </c>
    </row>
    <row r="2929">
      <c r="A2929" s="46" t="s">
        <v>18</v>
      </c>
      <c r="B2929" s="46" t="s">
        <v>15</v>
      </c>
      <c r="C2929" s="48">
        <v>117.8</v>
      </c>
      <c r="D2929" s="49"/>
      <c r="E2929" s="48">
        <v>117.8</v>
      </c>
    </row>
    <row r="2930">
      <c r="A2930" s="46" t="s">
        <v>18</v>
      </c>
      <c r="B2930" s="46" t="s">
        <v>15</v>
      </c>
      <c r="C2930" s="48">
        <v>118.3</v>
      </c>
      <c r="D2930" s="49"/>
      <c r="E2930" s="48">
        <v>118.3</v>
      </c>
    </row>
    <row r="2931">
      <c r="A2931" s="46" t="s">
        <v>18</v>
      </c>
      <c r="B2931" s="46" t="s">
        <v>13</v>
      </c>
      <c r="C2931" s="49"/>
      <c r="D2931" s="48">
        <v>92.3</v>
      </c>
      <c r="E2931" s="48">
        <v>92.3</v>
      </c>
    </row>
    <row r="2932">
      <c r="A2932" s="46" t="s">
        <v>18</v>
      </c>
      <c r="B2932" s="46" t="s">
        <v>15</v>
      </c>
      <c r="C2932" s="48">
        <v>112.0</v>
      </c>
      <c r="D2932" s="49"/>
      <c r="E2932" s="48">
        <v>112.0</v>
      </c>
    </row>
    <row r="2933">
      <c r="A2933" s="46" t="s">
        <v>18</v>
      </c>
      <c r="B2933" s="46" t="s">
        <v>14</v>
      </c>
      <c r="C2933" s="48">
        <v>96.8</v>
      </c>
      <c r="D2933" s="48">
        <v>82.0</v>
      </c>
      <c r="E2933" s="48">
        <v>93.4</v>
      </c>
    </row>
    <row r="2934">
      <c r="A2934" s="46" t="s">
        <v>18</v>
      </c>
      <c r="B2934" s="46" t="s">
        <v>14</v>
      </c>
      <c r="C2934" s="48">
        <v>111.4</v>
      </c>
      <c r="D2934" s="48">
        <v>83.8</v>
      </c>
      <c r="E2934" s="48">
        <v>100.0</v>
      </c>
    </row>
    <row r="2935">
      <c r="A2935" s="46" t="s">
        <v>18</v>
      </c>
      <c r="B2935" s="46" t="s">
        <v>13</v>
      </c>
      <c r="C2935" s="49"/>
      <c r="D2935" s="48">
        <v>83.8</v>
      </c>
      <c r="E2935" s="48">
        <v>83.8</v>
      </c>
    </row>
    <row r="2936">
      <c r="A2936" s="46" t="s">
        <v>18</v>
      </c>
      <c r="B2936" s="46" t="s">
        <v>14</v>
      </c>
      <c r="C2936" s="48">
        <v>121.5</v>
      </c>
      <c r="D2936" s="48">
        <v>91.3</v>
      </c>
      <c r="E2936" s="48">
        <v>118.6</v>
      </c>
    </row>
    <row r="2937">
      <c r="A2937" s="46" t="s">
        <v>18</v>
      </c>
      <c r="B2937" s="46" t="s">
        <v>13</v>
      </c>
      <c r="C2937" s="49"/>
      <c r="D2937" s="48">
        <v>86.3</v>
      </c>
      <c r="E2937" s="48">
        <v>86.3</v>
      </c>
    </row>
    <row r="2938">
      <c r="A2938" s="46" t="s">
        <v>18</v>
      </c>
      <c r="B2938" s="46" t="s">
        <v>15</v>
      </c>
      <c r="C2938" s="48">
        <v>121.3</v>
      </c>
      <c r="D2938" s="49"/>
      <c r="E2938" s="48">
        <v>121.3</v>
      </c>
    </row>
    <row r="2939">
      <c r="A2939" s="46" t="s">
        <v>18</v>
      </c>
      <c r="B2939" s="46" t="s">
        <v>13</v>
      </c>
      <c r="C2939" s="49"/>
      <c r="D2939" s="48">
        <v>85.3</v>
      </c>
      <c r="E2939" s="48">
        <v>85.3</v>
      </c>
    </row>
    <row r="2940">
      <c r="A2940" s="46" t="s">
        <v>18</v>
      </c>
      <c r="B2940" s="46" t="s">
        <v>13</v>
      </c>
      <c r="C2940" s="49"/>
      <c r="D2940" s="48">
        <v>74.9</v>
      </c>
      <c r="E2940" s="48">
        <v>74.9</v>
      </c>
    </row>
    <row r="2941">
      <c r="A2941" s="46" t="s">
        <v>18</v>
      </c>
      <c r="B2941" s="46" t="s">
        <v>13</v>
      </c>
      <c r="C2941" s="49"/>
      <c r="D2941" s="48">
        <v>80.3</v>
      </c>
      <c r="E2941" s="48">
        <v>80.3</v>
      </c>
    </row>
    <row r="2942">
      <c r="A2942" s="46" t="s">
        <v>18</v>
      </c>
      <c r="B2942" s="46" t="s">
        <v>15</v>
      </c>
      <c r="C2942" s="48">
        <v>122.3</v>
      </c>
      <c r="D2942" s="49"/>
      <c r="E2942" s="48">
        <v>122.3</v>
      </c>
    </row>
    <row r="2943">
      <c r="A2943" s="46" t="s">
        <v>18</v>
      </c>
      <c r="B2943" s="46" t="s">
        <v>15</v>
      </c>
      <c r="C2943" s="48">
        <v>100.3</v>
      </c>
      <c r="D2943" s="49"/>
      <c r="E2943" s="48">
        <v>100.3</v>
      </c>
    </row>
    <row r="2944">
      <c r="A2944" s="46" t="s">
        <v>18</v>
      </c>
      <c r="B2944" s="46" t="s">
        <v>15</v>
      </c>
      <c r="C2944" s="48">
        <v>132.7</v>
      </c>
      <c r="D2944" s="49"/>
      <c r="E2944" s="48">
        <v>132.7</v>
      </c>
    </row>
    <row r="2945">
      <c r="A2945" s="46" t="s">
        <v>18</v>
      </c>
      <c r="B2945" s="46" t="s">
        <v>15</v>
      </c>
      <c r="C2945" s="48">
        <v>120.8</v>
      </c>
      <c r="D2945" s="49"/>
      <c r="E2945" s="48">
        <v>120.8</v>
      </c>
    </row>
    <row r="2946">
      <c r="A2946" s="46" t="s">
        <v>18</v>
      </c>
      <c r="B2946" s="46" t="s">
        <v>15</v>
      </c>
      <c r="C2946" s="48">
        <v>127.0</v>
      </c>
      <c r="D2946" s="49"/>
      <c r="E2946" s="48">
        <v>127.0</v>
      </c>
    </row>
    <row r="2947">
      <c r="A2947" s="46" t="s">
        <v>18</v>
      </c>
      <c r="B2947" s="46" t="s">
        <v>15</v>
      </c>
      <c r="C2947" s="48">
        <v>100.8</v>
      </c>
      <c r="D2947" s="49"/>
      <c r="E2947" s="48">
        <v>100.8</v>
      </c>
    </row>
    <row r="2948">
      <c r="A2948" s="46" t="s">
        <v>18</v>
      </c>
      <c r="B2948" s="46" t="s">
        <v>14</v>
      </c>
      <c r="C2948" s="48">
        <v>103.3</v>
      </c>
      <c r="D2948" s="48">
        <v>85.4</v>
      </c>
      <c r="E2948" s="48">
        <v>100.5</v>
      </c>
    </row>
    <row r="2949">
      <c r="A2949" s="46" t="s">
        <v>18</v>
      </c>
      <c r="B2949" s="46" t="s">
        <v>14</v>
      </c>
      <c r="C2949" s="48">
        <v>108.0</v>
      </c>
      <c r="D2949" s="48">
        <v>79.6</v>
      </c>
      <c r="E2949" s="48">
        <v>94.5</v>
      </c>
    </row>
    <row r="2950">
      <c r="A2950" s="46" t="s">
        <v>18</v>
      </c>
      <c r="B2950" s="46" t="s">
        <v>13</v>
      </c>
      <c r="C2950" s="49"/>
      <c r="D2950" s="48">
        <v>78.6</v>
      </c>
      <c r="E2950" s="48">
        <v>78.6</v>
      </c>
    </row>
    <row r="2951">
      <c r="A2951" s="46" t="s">
        <v>18</v>
      </c>
      <c r="B2951" s="46" t="s">
        <v>14</v>
      </c>
      <c r="C2951" s="48">
        <v>107.2</v>
      </c>
      <c r="D2951" s="48">
        <v>83.2</v>
      </c>
      <c r="E2951" s="48">
        <v>99.3</v>
      </c>
    </row>
    <row r="2952">
      <c r="A2952" s="46" t="s">
        <v>18</v>
      </c>
      <c r="B2952" s="46" t="s">
        <v>13</v>
      </c>
      <c r="C2952" s="49"/>
      <c r="D2952" s="48">
        <v>103.1</v>
      </c>
      <c r="E2952" s="48">
        <v>103.1</v>
      </c>
    </row>
    <row r="2953">
      <c r="A2953" s="46" t="s">
        <v>18</v>
      </c>
      <c r="B2953" s="46" t="s">
        <v>15</v>
      </c>
      <c r="C2953" s="48">
        <v>117.3</v>
      </c>
      <c r="D2953" s="49"/>
      <c r="E2953" s="48">
        <v>117.3</v>
      </c>
    </row>
    <row r="2954">
      <c r="A2954" s="46" t="s">
        <v>18</v>
      </c>
      <c r="B2954" s="46" t="s">
        <v>14</v>
      </c>
      <c r="C2954" s="48">
        <v>120.5</v>
      </c>
      <c r="D2954" s="48">
        <v>93.5</v>
      </c>
      <c r="E2954" s="48">
        <v>115.9</v>
      </c>
    </row>
    <row r="2955">
      <c r="A2955" s="46" t="s">
        <v>18</v>
      </c>
      <c r="B2955" s="46" t="s">
        <v>15</v>
      </c>
      <c r="C2955" s="48">
        <v>103.0</v>
      </c>
      <c r="D2955" s="49"/>
      <c r="E2955" s="48">
        <v>103.0</v>
      </c>
    </row>
    <row r="2956">
      <c r="A2956" s="46" t="s">
        <v>18</v>
      </c>
      <c r="B2956" s="46" t="s">
        <v>14</v>
      </c>
      <c r="C2956" s="48">
        <v>98.8</v>
      </c>
      <c r="D2956" s="48">
        <v>98.2</v>
      </c>
      <c r="E2956" s="48">
        <v>98.8</v>
      </c>
    </row>
    <row r="2957">
      <c r="A2957" s="46" t="s">
        <v>18</v>
      </c>
      <c r="B2957" s="46" t="s">
        <v>13</v>
      </c>
      <c r="C2957" s="49"/>
      <c r="D2957" s="48">
        <v>91.3</v>
      </c>
      <c r="E2957" s="48">
        <v>91.3</v>
      </c>
    </row>
    <row r="2958">
      <c r="A2958" s="46" t="s">
        <v>18</v>
      </c>
      <c r="B2958" s="46" t="s">
        <v>14</v>
      </c>
      <c r="C2958" s="48">
        <v>105.3</v>
      </c>
      <c r="D2958" s="48">
        <v>80.2</v>
      </c>
      <c r="E2958" s="48">
        <v>88.6</v>
      </c>
    </row>
    <row r="2959">
      <c r="A2959" s="46" t="s">
        <v>18</v>
      </c>
      <c r="B2959" s="46" t="s">
        <v>14</v>
      </c>
      <c r="C2959" s="48">
        <v>94.5</v>
      </c>
      <c r="D2959" s="48">
        <v>79.8</v>
      </c>
      <c r="E2959" s="48">
        <v>81.4</v>
      </c>
    </row>
    <row r="2960">
      <c r="A2960" s="46" t="s">
        <v>18</v>
      </c>
      <c r="B2960" s="46" t="s">
        <v>13</v>
      </c>
      <c r="C2960" s="49"/>
      <c r="D2960" s="48">
        <v>73.3</v>
      </c>
      <c r="E2960" s="48">
        <v>73.3</v>
      </c>
    </row>
    <row r="2961">
      <c r="A2961" s="46" t="s">
        <v>18</v>
      </c>
      <c r="B2961" s="46" t="s">
        <v>13</v>
      </c>
      <c r="C2961" s="49"/>
      <c r="D2961" s="48">
        <v>93.4</v>
      </c>
      <c r="E2961" s="48">
        <v>93.4</v>
      </c>
    </row>
    <row r="2962">
      <c r="A2962" s="46" t="s">
        <v>18</v>
      </c>
      <c r="B2962" s="46" t="s">
        <v>15</v>
      </c>
      <c r="C2962" s="48">
        <v>89.2</v>
      </c>
      <c r="D2962" s="49"/>
      <c r="E2962" s="48">
        <v>89.2</v>
      </c>
    </row>
    <row r="2963">
      <c r="A2963" s="46" t="s">
        <v>18</v>
      </c>
      <c r="B2963" s="46" t="s">
        <v>13</v>
      </c>
      <c r="C2963" s="49"/>
      <c r="D2963" s="48">
        <v>74.3</v>
      </c>
      <c r="E2963" s="48">
        <v>74.3</v>
      </c>
    </row>
    <row r="2964">
      <c r="A2964" s="46" t="s">
        <v>18</v>
      </c>
      <c r="B2964" s="46" t="s">
        <v>13</v>
      </c>
      <c r="C2964" s="49"/>
      <c r="D2964" s="48">
        <v>70.3</v>
      </c>
      <c r="E2964" s="48">
        <v>70.3</v>
      </c>
    </row>
    <row r="2965">
      <c r="A2965" s="46" t="s">
        <v>18</v>
      </c>
      <c r="B2965" s="46" t="s">
        <v>13</v>
      </c>
      <c r="C2965" s="49"/>
      <c r="D2965" s="48">
        <v>76.9</v>
      </c>
      <c r="E2965" s="48">
        <v>76.9</v>
      </c>
    </row>
    <row r="2966">
      <c r="A2966" s="46" t="s">
        <v>18</v>
      </c>
      <c r="B2966" s="46" t="s">
        <v>15</v>
      </c>
      <c r="C2966" s="48">
        <v>102.8</v>
      </c>
      <c r="D2966" s="49"/>
      <c r="E2966" s="48">
        <v>102.8</v>
      </c>
    </row>
    <row r="2967">
      <c r="A2967" s="46" t="s">
        <v>18</v>
      </c>
      <c r="B2967" s="46" t="s">
        <v>13</v>
      </c>
      <c r="C2967" s="49"/>
      <c r="D2967" s="48">
        <v>86.2</v>
      </c>
      <c r="E2967" s="48">
        <v>86.2</v>
      </c>
    </row>
    <row r="2968">
      <c r="A2968" s="46" t="s">
        <v>18</v>
      </c>
      <c r="B2968" s="46" t="s">
        <v>14</v>
      </c>
      <c r="C2968" s="48">
        <v>105.7</v>
      </c>
      <c r="D2968" s="48">
        <v>79.7</v>
      </c>
      <c r="E2968" s="48">
        <v>96.2</v>
      </c>
    </row>
    <row r="2969">
      <c r="A2969" s="46" t="s">
        <v>18</v>
      </c>
      <c r="B2969" s="46" t="s">
        <v>14</v>
      </c>
      <c r="C2969" s="48">
        <v>127.5</v>
      </c>
      <c r="D2969" s="48">
        <v>135.7</v>
      </c>
      <c r="E2969" s="48">
        <v>127.6</v>
      </c>
    </row>
    <row r="2970">
      <c r="A2970" s="46" t="s">
        <v>18</v>
      </c>
      <c r="B2970" s="46" t="s">
        <v>14</v>
      </c>
      <c r="C2970" s="48">
        <v>116.0</v>
      </c>
      <c r="D2970" s="48">
        <v>92.3</v>
      </c>
      <c r="E2970" s="48">
        <v>108.9</v>
      </c>
    </row>
    <row r="2971">
      <c r="A2971" s="46" t="s">
        <v>18</v>
      </c>
      <c r="B2971" s="46" t="s">
        <v>15</v>
      </c>
      <c r="C2971" s="48">
        <v>123.7</v>
      </c>
      <c r="D2971" s="49"/>
      <c r="E2971" s="48">
        <v>123.7</v>
      </c>
    </row>
    <row r="2972">
      <c r="A2972" s="46" t="s">
        <v>18</v>
      </c>
      <c r="B2972" s="46" t="s">
        <v>13</v>
      </c>
      <c r="C2972" s="49"/>
      <c r="D2972" s="48">
        <v>80.7</v>
      </c>
      <c r="E2972" s="48">
        <v>80.7</v>
      </c>
    </row>
    <row r="2973">
      <c r="A2973" s="46" t="s">
        <v>18</v>
      </c>
      <c r="B2973" s="46" t="s">
        <v>13</v>
      </c>
      <c r="C2973" s="49"/>
      <c r="D2973" s="48">
        <v>80.1</v>
      </c>
      <c r="E2973" s="48">
        <v>80.1</v>
      </c>
    </row>
    <row r="2974">
      <c r="A2974" s="46" t="s">
        <v>18</v>
      </c>
      <c r="B2974" s="46" t="s">
        <v>14</v>
      </c>
      <c r="C2974" s="48">
        <v>105.0</v>
      </c>
      <c r="D2974" s="48">
        <v>64.2</v>
      </c>
      <c r="E2974" s="48">
        <v>104.2</v>
      </c>
    </row>
    <row r="2975">
      <c r="A2975" s="46" t="s">
        <v>18</v>
      </c>
      <c r="B2975" s="46" t="s">
        <v>15</v>
      </c>
      <c r="C2975" s="48">
        <v>109.1</v>
      </c>
      <c r="D2975" s="49"/>
      <c r="E2975" s="48">
        <v>109.1</v>
      </c>
    </row>
    <row r="2976">
      <c r="A2976" s="46" t="s">
        <v>18</v>
      </c>
      <c r="B2976" s="46" t="s">
        <v>15</v>
      </c>
      <c r="C2976" s="48">
        <v>112.4</v>
      </c>
      <c r="D2976" s="49"/>
      <c r="E2976" s="48">
        <v>112.4</v>
      </c>
    </row>
    <row r="2977">
      <c r="A2977" s="46" t="s">
        <v>18</v>
      </c>
      <c r="B2977" s="46" t="s">
        <v>14</v>
      </c>
      <c r="C2977" s="48">
        <v>110.2</v>
      </c>
      <c r="D2977" s="48">
        <v>91.8</v>
      </c>
      <c r="E2977" s="48">
        <v>104.4</v>
      </c>
    </row>
    <row r="2978">
      <c r="A2978" s="46" t="s">
        <v>18</v>
      </c>
      <c r="B2978" s="46" t="s">
        <v>15</v>
      </c>
      <c r="C2978" s="48">
        <v>131.7</v>
      </c>
      <c r="D2978" s="49"/>
      <c r="E2978" s="48">
        <v>131.7</v>
      </c>
    </row>
    <row r="2979">
      <c r="A2979" s="46" t="s">
        <v>18</v>
      </c>
      <c r="B2979" s="46" t="s">
        <v>14</v>
      </c>
      <c r="C2979" s="48">
        <v>102.5</v>
      </c>
      <c r="D2979" s="48">
        <v>83.0</v>
      </c>
      <c r="E2979" s="48">
        <v>99.5</v>
      </c>
    </row>
    <row r="2980">
      <c r="A2980" s="46" t="s">
        <v>18</v>
      </c>
      <c r="B2980" s="46" t="s">
        <v>15</v>
      </c>
      <c r="C2980" s="48">
        <v>118.9</v>
      </c>
      <c r="D2980" s="49"/>
      <c r="E2980" s="48">
        <v>118.9</v>
      </c>
    </row>
    <row r="2981">
      <c r="A2981" s="46" t="s">
        <v>18</v>
      </c>
      <c r="B2981" s="46" t="s">
        <v>14</v>
      </c>
      <c r="C2981" s="48">
        <v>119.6</v>
      </c>
      <c r="D2981" s="48">
        <v>108.5</v>
      </c>
      <c r="E2981" s="48">
        <v>116.3</v>
      </c>
    </row>
    <row r="2982">
      <c r="A2982" s="46" t="s">
        <v>18</v>
      </c>
      <c r="B2982" s="46" t="s">
        <v>14</v>
      </c>
      <c r="C2982" s="48">
        <v>105.3</v>
      </c>
      <c r="D2982" s="48">
        <v>90.5</v>
      </c>
      <c r="E2982" s="48">
        <v>93.9</v>
      </c>
    </row>
    <row r="2983">
      <c r="A2983" s="46" t="s">
        <v>18</v>
      </c>
      <c r="B2983" s="46" t="s">
        <v>13</v>
      </c>
      <c r="C2983" s="49"/>
      <c r="D2983" s="48">
        <v>82.7</v>
      </c>
      <c r="E2983" s="48">
        <v>82.7</v>
      </c>
    </row>
    <row r="2984">
      <c r="A2984" s="46" t="s">
        <v>18</v>
      </c>
      <c r="B2984" s="46" t="s">
        <v>15</v>
      </c>
      <c r="C2984" s="48">
        <v>138.3</v>
      </c>
      <c r="D2984" s="49"/>
      <c r="E2984" s="48">
        <v>138.3</v>
      </c>
    </row>
    <row r="2985">
      <c r="A2985" s="46" t="s">
        <v>18</v>
      </c>
      <c r="B2985" s="46" t="s">
        <v>15</v>
      </c>
      <c r="C2985" s="48">
        <v>137.1</v>
      </c>
      <c r="D2985" s="49"/>
      <c r="E2985" s="48">
        <v>137.1</v>
      </c>
    </row>
    <row r="2986">
      <c r="A2986" s="46" t="s">
        <v>18</v>
      </c>
      <c r="B2986" s="46" t="s">
        <v>15</v>
      </c>
      <c r="C2986" s="48">
        <v>129.1</v>
      </c>
      <c r="D2986" s="49"/>
      <c r="E2986" s="48">
        <v>129.1</v>
      </c>
    </row>
    <row r="2987">
      <c r="A2987" s="46" t="s">
        <v>18</v>
      </c>
      <c r="B2987" s="46" t="s">
        <v>15</v>
      </c>
      <c r="C2987" s="48">
        <v>127.4</v>
      </c>
      <c r="D2987" s="49"/>
      <c r="E2987" s="48">
        <v>127.4</v>
      </c>
    </row>
    <row r="2988">
      <c r="A2988" s="46" t="s">
        <v>18</v>
      </c>
      <c r="B2988" s="46" t="s">
        <v>14</v>
      </c>
      <c r="C2988" s="48">
        <v>96.7</v>
      </c>
      <c r="D2988" s="48">
        <v>81.7</v>
      </c>
      <c r="E2988" s="48">
        <v>87.5</v>
      </c>
    </row>
    <row r="2989">
      <c r="A2989" s="46" t="s">
        <v>18</v>
      </c>
      <c r="B2989" s="46" t="s">
        <v>15</v>
      </c>
      <c r="C2989" s="48">
        <v>139.4</v>
      </c>
      <c r="D2989" s="49"/>
      <c r="E2989" s="48">
        <v>139.4</v>
      </c>
    </row>
    <row r="2990">
      <c r="A2990" s="46" t="s">
        <v>18</v>
      </c>
      <c r="B2990" s="46" t="s">
        <v>15</v>
      </c>
      <c r="C2990" s="48">
        <v>124.8</v>
      </c>
      <c r="D2990" s="49"/>
      <c r="E2990" s="48">
        <v>124.8</v>
      </c>
    </row>
    <row r="2991">
      <c r="A2991" s="46" t="s">
        <v>18</v>
      </c>
      <c r="B2991" s="46" t="s">
        <v>15</v>
      </c>
      <c r="C2991" s="48">
        <v>134.1</v>
      </c>
      <c r="D2991" s="49"/>
      <c r="E2991" s="48">
        <v>134.1</v>
      </c>
    </row>
    <row r="2992">
      <c r="A2992" s="46" t="s">
        <v>18</v>
      </c>
      <c r="B2992" s="46" t="s">
        <v>13</v>
      </c>
      <c r="C2992" s="49"/>
      <c r="D2992" s="48">
        <v>88.0</v>
      </c>
      <c r="E2992" s="48">
        <v>88.0</v>
      </c>
    </row>
    <row r="2993">
      <c r="A2993" s="46" t="s">
        <v>18</v>
      </c>
      <c r="B2993" s="46" t="s">
        <v>13</v>
      </c>
      <c r="C2993" s="49"/>
      <c r="D2993" s="48">
        <v>86.8</v>
      </c>
      <c r="E2993" s="48">
        <v>86.8</v>
      </c>
    </row>
    <row r="2994">
      <c r="A2994" s="46" t="s">
        <v>18</v>
      </c>
      <c r="B2994" s="46" t="s">
        <v>13</v>
      </c>
      <c r="C2994" s="49"/>
      <c r="D2994" s="48">
        <v>78.6</v>
      </c>
      <c r="E2994" s="48">
        <v>78.6</v>
      </c>
    </row>
    <row r="2995">
      <c r="A2995" s="46" t="s">
        <v>18</v>
      </c>
      <c r="B2995" s="46" t="s">
        <v>13</v>
      </c>
      <c r="C2995" s="49"/>
      <c r="D2995" s="48">
        <v>81.6</v>
      </c>
      <c r="E2995" s="48">
        <v>81.6</v>
      </c>
    </row>
    <row r="2996">
      <c r="A2996" s="46" t="s">
        <v>18</v>
      </c>
      <c r="B2996" s="46" t="s">
        <v>13</v>
      </c>
      <c r="C2996" s="49"/>
      <c r="D2996" s="48">
        <v>81.0</v>
      </c>
      <c r="E2996" s="48">
        <v>81.0</v>
      </c>
    </row>
    <row r="2997">
      <c r="A2997" s="46" t="s">
        <v>18</v>
      </c>
      <c r="B2997" s="46" t="s">
        <v>13</v>
      </c>
      <c r="C2997" s="49"/>
      <c r="D2997" s="48">
        <v>74.4</v>
      </c>
      <c r="E2997" s="48">
        <v>74.4</v>
      </c>
    </row>
    <row r="2998">
      <c r="A2998" s="46" t="s">
        <v>18</v>
      </c>
      <c r="B2998" s="46" t="s">
        <v>13</v>
      </c>
      <c r="C2998" s="49"/>
      <c r="D2998" s="48">
        <v>78.1</v>
      </c>
      <c r="E2998" s="48">
        <v>78.1</v>
      </c>
    </row>
    <row r="2999">
      <c r="A2999" s="46" t="s">
        <v>18</v>
      </c>
      <c r="B2999" s="46" t="s">
        <v>13</v>
      </c>
      <c r="C2999" s="49"/>
      <c r="D2999" s="48">
        <v>77.3</v>
      </c>
      <c r="E2999" s="48">
        <v>77.3</v>
      </c>
    </row>
    <row r="3000">
      <c r="A3000" s="46" t="s">
        <v>18</v>
      </c>
      <c r="B3000" s="46" t="s">
        <v>14</v>
      </c>
      <c r="C3000" s="48">
        <v>101.1</v>
      </c>
      <c r="D3000" s="48">
        <v>94.7</v>
      </c>
      <c r="E3000" s="48">
        <v>96.4</v>
      </c>
    </row>
    <row r="3001">
      <c r="A3001" s="46" t="s">
        <v>18</v>
      </c>
      <c r="B3001" s="46" t="s">
        <v>14</v>
      </c>
      <c r="C3001" s="48">
        <v>127.8</v>
      </c>
      <c r="D3001" s="48">
        <v>95.2</v>
      </c>
      <c r="E3001" s="48">
        <v>104.2</v>
      </c>
    </row>
    <row r="3002">
      <c r="A3002" s="46" t="s">
        <v>18</v>
      </c>
      <c r="B3002" s="46" t="s">
        <v>15</v>
      </c>
      <c r="C3002" s="48">
        <v>115.1</v>
      </c>
      <c r="D3002" s="49"/>
      <c r="E3002" s="48">
        <v>115.1</v>
      </c>
    </row>
    <row r="3003">
      <c r="A3003" s="46" t="s">
        <v>18</v>
      </c>
      <c r="B3003" s="46" t="s">
        <v>13</v>
      </c>
      <c r="C3003" s="49"/>
      <c r="D3003" s="48">
        <v>79.7</v>
      </c>
      <c r="E3003" s="48">
        <v>79.7</v>
      </c>
    </row>
    <row r="3004">
      <c r="A3004" s="46" t="s">
        <v>18</v>
      </c>
      <c r="B3004" s="46" t="s">
        <v>15</v>
      </c>
      <c r="C3004" s="48">
        <v>110.5</v>
      </c>
      <c r="D3004" s="49"/>
      <c r="E3004" s="48">
        <v>110.5</v>
      </c>
    </row>
    <row r="3005">
      <c r="A3005" s="46" t="s">
        <v>18</v>
      </c>
      <c r="B3005" s="46" t="s">
        <v>14</v>
      </c>
      <c r="C3005" s="48">
        <v>111.1</v>
      </c>
      <c r="D3005" s="48">
        <v>77.1</v>
      </c>
      <c r="E3005" s="48">
        <v>107.0</v>
      </c>
    </row>
    <row r="3006">
      <c r="A3006" s="46" t="s">
        <v>18</v>
      </c>
      <c r="B3006" s="46" t="s">
        <v>13</v>
      </c>
      <c r="C3006" s="49"/>
      <c r="D3006" s="48">
        <v>84.3</v>
      </c>
      <c r="E3006" s="48">
        <v>84.3</v>
      </c>
    </row>
    <row r="3007">
      <c r="A3007" s="46" t="s">
        <v>18</v>
      </c>
      <c r="B3007" s="46" t="s">
        <v>15</v>
      </c>
      <c r="C3007" s="48">
        <v>107.6</v>
      </c>
      <c r="D3007" s="49"/>
      <c r="E3007" s="48">
        <v>107.6</v>
      </c>
    </row>
    <row r="3008">
      <c r="A3008" s="46" t="s">
        <v>18</v>
      </c>
      <c r="B3008" s="46" t="s">
        <v>15</v>
      </c>
      <c r="C3008" s="48">
        <v>143.1</v>
      </c>
      <c r="D3008" s="49"/>
      <c r="E3008" s="48">
        <v>143.1</v>
      </c>
    </row>
    <row r="3009">
      <c r="A3009" s="46" t="s">
        <v>18</v>
      </c>
      <c r="B3009" s="46" t="s">
        <v>15</v>
      </c>
      <c r="C3009" s="48">
        <v>108.8</v>
      </c>
      <c r="D3009" s="49"/>
      <c r="E3009" s="48">
        <v>108.8</v>
      </c>
    </row>
    <row r="3010">
      <c r="A3010" s="46" t="s">
        <v>18</v>
      </c>
      <c r="B3010" s="46" t="s">
        <v>14</v>
      </c>
      <c r="C3010" s="48">
        <v>103.0</v>
      </c>
      <c r="D3010" s="48">
        <v>78.4</v>
      </c>
      <c r="E3010" s="48">
        <v>95.4</v>
      </c>
    </row>
    <row r="3011">
      <c r="A3011" s="46" t="s">
        <v>18</v>
      </c>
      <c r="B3011" s="46" t="s">
        <v>14</v>
      </c>
      <c r="C3011" s="48">
        <v>87.9</v>
      </c>
      <c r="D3011" s="48">
        <v>70.8</v>
      </c>
      <c r="E3011" s="48">
        <v>77.1</v>
      </c>
    </row>
    <row r="3012">
      <c r="A3012" s="46" t="s">
        <v>18</v>
      </c>
      <c r="B3012" s="46" t="s">
        <v>14</v>
      </c>
      <c r="C3012" s="48">
        <v>117.0</v>
      </c>
      <c r="D3012" s="48">
        <v>95.4</v>
      </c>
      <c r="E3012" s="48">
        <v>97.8</v>
      </c>
    </row>
    <row r="3013">
      <c r="A3013" s="46" t="s">
        <v>18</v>
      </c>
      <c r="B3013" s="46" t="s">
        <v>14</v>
      </c>
      <c r="C3013" s="48">
        <v>114.0</v>
      </c>
      <c r="D3013" s="48">
        <v>89.7</v>
      </c>
      <c r="E3013" s="48">
        <v>104.5</v>
      </c>
    </row>
    <row r="3014">
      <c r="A3014" s="46" t="s">
        <v>18</v>
      </c>
      <c r="B3014" s="46" t="s">
        <v>14</v>
      </c>
      <c r="C3014" s="48">
        <v>100.2</v>
      </c>
      <c r="D3014" s="48">
        <v>81.5</v>
      </c>
      <c r="E3014" s="48">
        <v>97.0</v>
      </c>
    </row>
    <row r="3015">
      <c r="A3015" s="46" t="s">
        <v>18</v>
      </c>
      <c r="B3015" s="46" t="s">
        <v>14</v>
      </c>
      <c r="C3015" s="48">
        <v>57.0</v>
      </c>
      <c r="D3015" s="48">
        <v>86.5</v>
      </c>
      <c r="E3015" s="48">
        <v>86.5</v>
      </c>
    </row>
    <row r="3016">
      <c r="A3016" s="46" t="s">
        <v>18</v>
      </c>
      <c r="B3016" s="46" t="s">
        <v>14</v>
      </c>
      <c r="C3016" s="48">
        <v>108.2</v>
      </c>
      <c r="D3016" s="48">
        <v>87.6</v>
      </c>
      <c r="E3016" s="48">
        <v>100.5</v>
      </c>
    </row>
    <row r="3017">
      <c r="A3017" s="46" t="s">
        <v>18</v>
      </c>
      <c r="B3017" s="46" t="s">
        <v>15</v>
      </c>
      <c r="C3017" s="48">
        <v>88.3</v>
      </c>
      <c r="D3017" s="49"/>
      <c r="E3017" s="48">
        <v>88.3</v>
      </c>
    </row>
    <row r="3018">
      <c r="A3018" s="46" t="s">
        <v>18</v>
      </c>
      <c r="B3018" s="46" t="s">
        <v>13</v>
      </c>
      <c r="C3018" s="49"/>
      <c r="D3018" s="48">
        <v>95.8</v>
      </c>
      <c r="E3018" s="48">
        <v>95.8</v>
      </c>
    </row>
    <row r="3019">
      <c r="A3019" s="46" t="s">
        <v>18</v>
      </c>
      <c r="B3019" s="46" t="s">
        <v>15</v>
      </c>
      <c r="C3019" s="48">
        <v>101.7</v>
      </c>
      <c r="D3019" s="49"/>
      <c r="E3019" s="48">
        <v>101.7</v>
      </c>
    </row>
    <row r="3020">
      <c r="A3020" s="46" t="s">
        <v>18</v>
      </c>
      <c r="B3020" s="46" t="s">
        <v>14</v>
      </c>
      <c r="C3020" s="48">
        <v>112.5</v>
      </c>
      <c r="D3020" s="48">
        <v>91.1</v>
      </c>
      <c r="E3020" s="48">
        <v>92.6</v>
      </c>
    </row>
    <row r="3021">
      <c r="A3021" s="46" t="s">
        <v>18</v>
      </c>
      <c r="B3021" s="46" t="s">
        <v>14</v>
      </c>
      <c r="C3021" s="48">
        <v>104.4</v>
      </c>
      <c r="D3021" s="48">
        <v>93.2</v>
      </c>
      <c r="E3021" s="48">
        <v>103.0</v>
      </c>
    </row>
    <row r="3022">
      <c r="A3022" s="46" t="s">
        <v>18</v>
      </c>
      <c r="B3022" s="46" t="s">
        <v>14</v>
      </c>
      <c r="C3022" s="48">
        <v>106.4</v>
      </c>
      <c r="D3022" s="48">
        <v>90.7</v>
      </c>
      <c r="E3022" s="48">
        <v>104.2</v>
      </c>
    </row>
    <row r="3023">
      <c r="A3023" s="46" t="s">
        <v>18</v>
      </c>
      <c r="B3023" s="46" t="s">
        <v>15</v>
      </c>
      <c r="C3023" s="48">
        <v>106.2</v>
      </c>
      <c r="D3023" s="49"/>
      <c r="E3023" s="48">
        <v>106.2</v>
      </c>
    </row>
    <row r="3024">
      <c r="A3024" s="46" t="s">
        <v>18</v>
      </c>
      <c r="B3024" s="46" t="s">
        <v>15</v>
      </c>
      <c r="C3024" s="48">
        <v>144.5</v>
      </c>
      <c r="D3024" s="49"/>
      <c r="E3024" s="48">
        <v>144.5</v>
      </c>
    </row>
    <row r="3025">
      <c r="A3025" s="46" t="s">
        <v>18</v>
      </c>
      <c r="B3025" s="46" t="s">
        <v>14</v>
      </c>
      <c r="C3025" s="48">
        <v>110.4</v>
      </c>
      <c r="D3025" s="48">
        <v>84.5</v>
      </c>
      <c r="E3025" s="48">
        <v>103.7</v>
      </c>
    </row>
    <row r="3026">
      <c r="A3026" s="46" t="s">
        <v>18</v>
      </c>
      <c r="B3026" s="46" t="s">
        <v>13</v>
      </c>
      <c r="C3026" s="49"/>
      <c r="D3026" s="48">
        <v>78.6</v>
      </c>
      <c r="E3026" s="48">
        <v>78.6</v>
      </c>
    </row>
    <row r="3027">
      <c r="A3027" s="46" t="s">
        <v>18</v>
      </c>
      <c r="B3027" s="46" t="s">
        <v>15</v>
      </c>
      <c r="C3027" s="48">
        <v>141.3</v>
      </c>
      <c r="D3027" s="49"/>
      <c r="E3027" s="48">
        <v>141.3</v>
      </c>
    </row>
    <row r="3028">
      <c r="A3028" s="46" t="s">
        <v>18</v>
      </c>
      <c r="B3028" s="46" t="s">
        <v>14</v>
      </c>
      <c r="C3028" s="48">
        <v>107.0</v>
      </c>
      <c r="D3028" s="48">
        <v>92.6</v>
      </c>
      <c r="E3028" s="48">
        <v>101.0</v>
      </c>
    </row>
    <row r="3029">
      <c r="A3029" s="46" t="s">
        <v>18</v>
      </c>
      <c r="B3029" s="46" t="s">
        <v>15</v>
      </c>
      <c r="C3029" s="48">
        <v>151.7</v>
      </c>
      <c r="D3029" s="49"/>
      <c r="E3029" s="48">
        <v>151.7</v>
      </c>
    </row>
    <row r="3030">
      <c r="A3030" s="46" t="s">
        <v>18</v>
      </c>
      <c r="B3030" s="46" t="s">
        <v>13</v>
      </c>
      <c r="C3030" s="49"/>
      <c r="D3030" s="48">
        <v>93.8</v>
      </c>
      <c r="E3030" s="48">
        <v>93.8</v>
      </c>
    </row>
    <row r="3031">
      <c r="A3031" s="46" t="s">
        <v>18</v>
      </c>
      <c r="B3031" s="46" t="s">
        <v>15</v>
      </c>
      <c r="C3031" s="48">
        <v>151.1</v>
      </c>
      <c r="D3031" s="49"/>
      <c r="E3031" s="48">
        <v>151.1</v>
      </c>
    </row>
    <row r="3032">
      <c r="A3032" s="46" t="s">
        <v>18</v>
      </c>
      <c r="B3032" s="46" t="s">
        <v>15</v>
      </c>
      <c r="C3032" s="48">
        <v>113.1</v>
      </c>
      <c r="D3032" s="49"/>
      <c r="E3032" s="48">
        <v>113.1</v>
      </c>
    </row>
    <row r="3033">
      <c r="A3033" s="46" t="s">
        <v>18</v>
      </c>
      <c r="B3033" s="46" t="s">
        <v>15</v>
      </c>
      <c r="C3033" s="48">
        <v>123.0</v>
      </c>
      <c r="D3033" s="49"/>
      <c r="E3033" s="48">
        <v>123.0</v>
      </c>
    </row>
    <row r="3034">
      <c r="A3034" s="46" t="s">
        <v>18</v>
      </c>
      <c r="B3034" s="46" t="s">
        <v>14</v>
      </c>
      <c r="C3034" s="48">
        <v>97.3</v>
      </c>
      <c r="D3034" s="48">
        <v>74.3</v>
      </c>
      <c r="E3034" s="48">
        <v>90.5</v>
      </c>
    </row>
    <row r="3035">
      <c r="A3035" s="46" t="s">
        <v>18</v>
      </c>
      <c r="B3035" s="46" t="s">
        <v>14</v>
      </c>
      <c r="C3035" s="48">
        <v>89.4</v>
      </c>
      <c r="D3035" s="48">
        <v>77.0</v>
      </c>
      <c r="E3035" s="48">
        <v>86.9</v>
      </c>
    </row>
    <row r="3036">
      <c r="A3036" s="46" t="s">
        <v>18</v>
      </c>
      <c r="B3036" s="46" t="s">
        <v>15</v>
      </c>
      <c r="C3036" s="48">
        <v>122.5</v>
      </c>
      <c r="D3036" s="49"/>
      <c r="E3036" s="48">
        <v>122.5</v>
      </c>
    </row>
    <row r="3037">
      <c r="A3037" s="46" t="s">
        <v>18</v>
      </c>
      <c r="B3037" s="46" t="s">
        <v>14</v>
      </c>
      <c r="C3037" s="48">
        <v>107.9</v>
      </c>
      <c r="D3037" s="48">
        <v>88.2</v>
      </c>
      <c r="E3037" s="48">
        <v>98.9</v>
      </c>
    </row>
    <row r="3038">
      <c r="A3038" s="46" t="s">
        <v>18</v>
      </c>
      <c r="B3038" s="46" t="s">
        <v>15</v>
      </c>
      <c r="C3038" s="48">
        <v>104.6</v>
      </c>
      <c r="D3038" s="49"/>
      <c r="E3038" s="48">
        <v>104.6</v>
      </c>
    </row>
    <row r="3039">
      <c r="A3039" s="46" t="s">
        <v>18</v>
      </c>
      <c r="B3039" s="46" t="s">
        <v>14</v>
      </c>
      <c r="C3039" s="48">
        <v>109.9</v>
      </c>
      <c r="D3039" s="48">
        <v>90.7</v>
      </c>
      <c r="E3039" s="48">
        <v>106.3</v>
      </c>
    </row>
    <row r="3040">
      <c r="A3040" s="46" t="s">
        <v>18</v>
      </c>
      <c r="B3040" s="46" t="s">
        <v>13</v>
      </c>
      <c r="C3040" s="49"/>
      <c r="D3040" s="48">
        <v>86.2</v>
      </c>
      <c r="E3040" s="48">
        <v>86.2</v>
      </c>
    </row>
    <row r="3041">
      <c r="A3041" s="46" t="s">
        <v>18</v>
      </c>
      <c r="B3041" s="46" t="s">
        <v>15</v>
      </c>
      <c r="C3041" s="48">
        <v>110.3</v>
      </c>
      <c r="D3041" s="49"/>
      <c r="E3041" s="48">
        <v>110.3</v>
      </c>
    </row>
    <row r="3042">
      <c r="A3042" s="46" t="s">
        <v>18</v>
      </c>
      <c r="B3042" s="46" t="s">
        <v>14</v>
      </c>
      <c r="C3042" s="48">
        <v>107.9</v>
      </c>
      <c r="D3042" s="48">
        <v>90.0</v>
      </c>
      <c r="E3042" s="48">
        <v>103.2</v>
      </c>
    </row>
    <row r="3043">
      <c r="A3043" s="46" t="s">
        <v>18</v>
      </c>
      <c r="B3043" s="46" t="s">
        <v>15</v>
      </c>
      <c r="C3043" s="48">
        <v>111.4</v>
      </c>
      <c r="D3043" s="49"/>
      <c r="E3043" s="48">
        <v>111.4</v>
      </c>
    </row>
    <row r="3044">
      <c r="A3044" s="46" t="s">
        <v>18</v>
      </c>
      <c r="B3044" s="46" t="s">
        <v>15</v>
      </c>
      <c r="C3044" s="48">
        <v>81.0</v>
      </c>
      <c r="D3044" s="49"/>
      <c r="E3044" s="48">
        <v>81.0</v>
      </c>
    </row>
    <row r="3045">
      <c r="A3045" s="46" t="s">
        <v>18</v>
      </c>
      <c r="B3045" s="46" t="s">
        <v>13</v>
      </c>
      <c r="C3045" s="49"/>
      <c r="D3045" s="48">
        <v>77.2</v>
      </c>
      <c r="E3045" s="48">
        <v>77.2</v>
      </c>
    </row>
    <row r="3046">
      <c r="A3046" s="46" t="s">
        <v>18</v>
      </c>
      <c r="B3046" s="46" t="s">
        <v>13</v>
      </c>
      <c r="C3046" s="49"/>
      <c r="D3046" s="48">
        <v>88.1</v>
      </c>
      <c r="E3046" s="48">
        <v>88.1</v>
      </c>
    </row>
    <row r="3047">
      <c r="A3047" s="46" t="s">
        <v>18</v>
      </c>
      <c r="B3047" s="46" t="s">
        <v>13</v>
      </c>
      <c r="C3047" s="49"/>
      <c r="D3047" s="48">
        <v>79.5</v>
      </c>
      <c r="E3047" s="48">
        <v>79.5</v>
      </c>
    </row>
    <row r="3048">
      <c r="A3048" s="46" t="s">
        <v>18</v>
      </c>
      <c r="B3048" s="46" t="s">
        <v>15</v>
      </c>
      <c r="C3048" s="48">
        <v>105.0</v>
      </c>
      <c r="D3048" s="49"/>
      <c r="E3048" s="48">
        <v>105.0</v>
      </c>
    </row>
    <row r="3049">
      <c r="A3049" s="46" t="s">
        <v>18</v>
      </c>
      <c r="B3049" s="46" t="s">
        <v>14</v>
      </c>
      <c r="C3049" s="48">
        <v>114.5</v>
      </c>
      <c r="D3049" s="48">
        <v>93.4</v>
      </c>
      <c r="E3049" s="48">
        <v>103.4</v>
      </c>
    </row>
    <row r="3050">
      <c r="A3050" s="46" t="s">
        <v>18</v>
      </c>
      <c r="B3050" s="46" t="s">
        <v>14</v>
      </c>
      <c r="C3050" s="48">
        <v>108.6</v>
      </c>
      <c r="D3050" s="48">
        <v>81.9</v>
      </c>
      <c r="E3050" s="48">
        <v>102.0</v>
      </c>
    </row>
    <row r="3051">
      <c r="A3051" s="46" t="s">
        <v>18</v>
      </c>
      <c r="B3051" s="46" t="s">
        <v>13</v>
      </c>
      <c r="C3051" s="49"/>
      <c r="D3051" s="48">
        <v>83.2</v>
      </c>
      <c r="E3051" s="48">
        <v>83.2</v>
      </c>
    </row>
    <row r="3052">
      <c r="A3052" s="46" t="s">
        <v>18</v>
      </c>
      <c r="B3052" s="46" t="s">
        <v>15</v>
      </c>
      <c r="C3052" s="48">
        <v>103.9</v>
      </c>
      <c r="D3052" s="49"/>
      <c r="E3052" s="48">
        <v>103.9</v>
      </c>
    </row>
    <row r="3053">
      <c r="A3053" s="46" t="s">
        <v>18</v>
      </c>
      <c r="B3053" s="46" t="s">
        <v>15</v>
      </c>
      <c r="C3053" s="48">
        <v>125.9</v>
      </c>
      <c r="D3053" s="49"/>
      <c r="E3053" s="48">
        <v>125.9</v>
      </c>
    </row>
    <row r="3054">
      <c r="A3054" s="46" t="s">
        <v>18</v>
      </c>
      <c r="B3054" s="46" t="s">
        <v>15</v>
      </c>
      <c r="C3054" s="48">
        <v>112.3</v>
      </c>
      <c r="D3054" s="49"/>
      <c r="E3054" s="48">
        <v>112.3</v>
      </c>
    </row>
    <row r="3055">
      <c r="A3055" s="46" t="s">
        <v>18</v>
      </c>
      <c r="B3055" s="46" t="s">
        <v>15</v>
      </c>
      <c r="C3055" s="48">
        <v>117.1</v>
      </c>
      <c r="D3055" s="49"/>
      <c r="E3055" s="48">
        <v>117.1</v>
      </c>
    </row>
    <row r="3056">
      <c r="A3056" s="46" t="s">
        <v>18</v>
      </c>
      <c r="B3056" s="46" t="s">
        <v>13</v>
      </c>
      <c r="C3056" s="49"/>
      <c r="D3056" s="48">
        <v>72.0</v>
      </c>
      <c r="E3056" s="48">
        <v>72.0</v>
      </c>
    </row>
    <row r="3057">
      <c r="A3057" s="46" t="s">
        <v>18</v>
      </c>
      <c r="B3057" s="46" t="s">
        <v>13</v>
      </c>
      <c r="C3057" s="49"/>
      <c r="D3057" s="48">
        <v>75.1</v>
      </c>
      <c r="E3057" s="48">
        <v>75.1</v>
      </c>
    </row>
    <row r="3058">
      <c r="A3058" s="46" t="s">
        <v>18</v>
      </c>
      <c r="B3058" s="46" t="s">
        <v>13</v>
      </c>
      <c r="C3058" s="49"/>
      <c r="D3058" s="48">
        <v>85.1</v>
      </c>
      <c r="E3058" s="48">
        <v>85.1</v>
      </c>
    </row>
    <row r="3059">
      <c r="A3059" s="46" t="s">
        <v>18</v>
      </c>
      <c r="B3059" s="46" t="s">
        <v>13</v>
      </c>
      <c r="C3059" s="49"/>
      <c r="D3059" s="48">
        <v>92.4</v>
      </c>
      <c r="E3059" s="48">
        <v>92.4</v>
      </c>
    </row>
    <row r="3060">
      <c r="A3060" s="46" t="s">
        <v>18</v>
      </c>
      <c r="B3060" s="46" t="s">
        <v>15</v>
      </c>
      <c r="C3060" s="48">
        <v>105.5</v>
      </c>
      <c r="D3060" s="49"/>
      <c r="E3060" s="48">
        <v>105.5</v>
      </c>
    </row>
    <row r="3061">
      <c r="A3061" s="46" t="s">
        <v>18</v>
      </c>
      <c r="B3061" s="46" t="s">
        <v>15</v>
      </c>
      <c r="C3061" s="48">
        <v>102.6</v>
      </c>
      <c r="D3061" s="49"/>
      <c r="E3061" s="48">
        <v>102.6</v>
      </c>
    </row>
    <row r="3062">
      <c r="A3062" s="46" t="s">
        <v>18</v>
      </c>
      <c r="B3062" s="46" t="s">
        <v>13</v>
      </c>
      <c r="C3062" s="49"/>
      <c r="D3062" s="48">
        <v>76.7</v>
      </c>
      <c r="E3062" s="48">
        <v>76.7</v>
      </c>
    </row>
    <row r="3063">
      <c r="A3063" s="46" t="s">
        <v>18</v>
      </c>
      <c r="B3063" s="46" t="s">
        <v>15</v>
      </c>
      <c r="C3063" s="48">
        <v>123.1</v>
      </c>
      <c r="D3063" s="49"/>
      <c r="E3063" s="48">
        <v>123.1</v>
      </c>
    </row>
    <row r="3064">
      <c r="A3064" s="46" t="s">
        <v>18</v>
      </c>
      <c r="B3064" s="46" t="s">
        <v>13</v>
      </c>
      <c r="C3064" s="49"/>
      <c r="D3064" s="48">
        <v>87.0</v>
      </c>
      <c r="E3064" s="48">
        <v>87.0</v>
      </c>
    </row>
    <row r="3065">
      <c r="A3065" s="46" t="s">
        <v>18</v>
      </c>
      <c r="B3065" s="46" t="s">
        <v>15</v>
      </c>
      <c r="C3065" s="48">
        <v>105.5</v>
      </c>
      <c r="D3065" s="49"/>
      <c r="E3065" s="48">
        <v>105.5</v>
      </c>
    </row>
    <row r="3066">
      <c r="A3066" s="46" t="s">
        <v>18</v>
      </c>
      <c r="B3066" s="46" t="s">
        <v>15</v>
      </c>
      <c r="C3066" s="48">
        <v>110.4</v>
      </c>
      <c r="D3066" s="49"/>
      <c r="E3066" s="48">
        <v>110.4</v>
      </c>
    </row>
    <row r="3067">
      <c r="A3067" s="46" t="s">
        <v>18</v>
      </c>
      <c r="B3067" s="46" t="s">
        <v>13</v>
      </c>
      <c r="C3067" s="49"/>
      <c r="D3067" s="48">
        <v>85.4</v>
      </c>
      <c r="E3067" s="48">
        <v>85.4</v>
      </c>
    </row>
    <row r="3068">
      <c r="A3068" s="46" t="s">
        <v>18</v>
      </c>
      <c r="B3068" s="46" t="s">
        <v>13</v>
      </c>
      <c r="C3068" s="49"/>
      <c r="D3068" s="48">
        <v>79.7</v>
      </c>
      <c r="E3068" s="48">
        <v>79.7</v>
      </c>
    </row>
    <row r="3069">
      <c r="A3069" s="46" t="s">
        <v>18</v>
      </c>
      <c r="B3069" s="46" t="s">
        <v>15</v>
      </c>
      <c r="C3069" s="48">
        <v>106.9</v>
      </c>
      <c r="D3069" s="49"/>
      <c r="E3069" s="48">
        <v>106.9</v>
      </c>
    </row>
    <row r="3070">
      <c r="A3070" s="46" t="s">
        <v>18</v>
      </c>
      <c r="B3070" s="46" t="s">
        <v>13</v>
      </c>
      <c r="C3070" s="49"/>
      <c r="D3070" s="48">
        <v>88.8</v>
      </c>
      <c r="E3070" s="48">
        <v>88.8</v>
      </c>
    </row>
    <row r="3071">
      <c r="A3071" s="46" t="s">
        <v>18</v>
      </c>
      <c r="B3071" s="46" t="s">
        <v>15</v>
      </c>
      <c r="C3071" s="48">
        <v>118.9</v>
      </c>
      <c r="D3071" s="49"/>
      <c r="E3071" s="48">
        <v>118.9</v>
      </c>
    </row>
    <row r="3072">
      <c r="A3072" s="46" t="s">
        <v>18</v>
      </c>
      <c r="B3072" s="46" t="s">
        <v>14</v>
      </c>
      <c r="C3072" s="48">
        <v>108.7</v>
      </c>
      <c r="D3072" s="48">
        <v>85.3</v>
      </c>
      <c r="E3072" s="48">
        <v>100.0</v>
      </c>
    </row>
    <row r="3073">
      <c r="A3073" s="46" t="s">
        <v>18</v>
      </c>
      <c r="B3073" s="46" t="s">
        <v>15</v>
      </c>
      <c r="C3073" s="48">
        <v>142.3</v>
      </c>
      <c r="D3073" s="49"/>
      <c r="E3073" s="48">
        <v>142.3</v>
      </c>
    </row>
    <row r="3074">
      <c r="A3074" s="46" t="s">
        <v>18</v>
      </c>
      <c r="B3074" s="46" t="s">
        <v>14</v>
      </c>
      <c r="C3074" s="48">
        <v>93.4</v>
      </c>
      <c r="D3074" s="48">
        <v>85.3</v>
      </c>
      <c r="E3074" s="48">
        <v>91.0</v>
      </c>
    </row>
    <row r="3075">
      <c r="A3075" s="46" t="s">
        <v>18</v>
      </c>
      <c r="B3075" s="46" t="s">
        <v>15</v>
      </c>
      <c r="C3075" s="48">
        <v>114.6</v>
      </c>
      <c r="D3075" s="49"/>
      <c r="E3075" s="48">
        <v>114.6</v>
      </c>
    </row>
    <row r="3076">
      <c r="A3076" s="46" t="s">
        <v>18</v>
      </c>
      <c r="B3076" s="46" t="s">
        <v>15</v>
      </c>
      <c r="C3076" s="48">
        <v>135.8</v>
      </c>
      <c r="D3076" s="49"/>
      <c r="E3076" s="48">
        <v>135.8</v>
      </c>
    </row>
    <row r="3077">
      <c r="A3077" s="46" t="s">
        <v>18</v>
      </c>
      <c r="B3077" s="46" t="s">
        <v>13</v>
      </c>
      <c r="C3077" s="49"/>
      <c r="D3077" s="48">
        <v>87.3</v>
      </c>
      <c r="E3077" s="48">
        <v>87.3</v>
      </c>
    </row>
    <row r="3078">
      <c r="A3078" s="46" t="s">
        <v>18</v>
      </c>
      <c r="B3078" s="46" t="s">
        <v>13</v>
      </c>
      <c r="C3078" s="49"/>
      <c r="D3078" s="48">
        <v>90.0</v>
      </c>
      <c r="E3078" s="48">
        <v>90.0</v>
      </c>
    </row>
    <row r="3079">
      <c r="A3079" s="46" t="s">
        <v>18</v>
      </c>
      <c r="B3079" s="46" t="s">
        <v>15</v>
      </c>
      <c r="C3079" s="48">
        <v>134.0</v>
      </c>
      <c r="D3079" s="49"/>
      <c r="E3079" s="48">
        <v>134.0</v>
      </c>
    </row>
    <row r="3080">
      <c r="A3080" s="46" t="s">
        <v>18</v>
      </c>
      <c r="B3080" s="46" t="s">
        <v>15</v>
      </c>
      <c r="C3080" s="48">
        <v>138.8</v>
      </c>
      <c r="D3080" s="49"/>
      <c r="E3080" s="48">
        <v>138.8</v>
      </c>
    </row>
    <row r="3081">
      <c r="A3081" s="46" t="s">
        <v>18</v>
      </c>
      <c r="B3081" s="46" t="s">
        <v>13</v>
      </c>
      <c r="C3081" s="49"/>
      <c r="D3081" s="48">
        <v>77.4</v>
      </c>
      <c r="E3081" s="48">
        <v>77.4</v>
      </c>
    </row>
    <row r="3082">
      <c r="A3082" s="46" t="s">
        <v>18</v>
      </c>
      <c r="B3082" s="46" t="s">
        <v>13</v>
      </c>
      <c r="C3082" s="49"/>
      <c r="D3082" s="48">
        <v>79.6</v>
      </c>
      <c r="E3082" s="48">
        <v>79.6</v>
      </c>
    </row>
    <row r="3083">
      <c r="A3083" s="46" t="s">
        <v>18</v>
      </c>
      <c r="B3083" s="46" t="s">
        <v>14</v>
      </c>
      <c r="C3083" s="48">
        <v>103.3</v>
      </c>
      <c r="D3083" s="48">
        <v>93.0</v>
      </c>
      <c r="E3083" s="48">
        <v>94.8</v>
      </c>
    </row>
    <row r="3084">
      <c r="A3084" s="46" t="s">
        <v>18</v>
      </c>
      <c r="B3084" s="46" t="s">
        <v>14</v>
      </c>
      <c r="C3084" s="48">
        <v>85.0</v>
      </c>
      <c r="D3084" s="48">
        <v>76.1</v>
      </c>
      <c r="E3084" s="48">
        <v>82.3</v>
      </c>
    </row>
    <row r="3085">
      <c r="A3085" s="46" t="s">
        <v>18</v>
      </c>
      <c r="B3085" s="46" t="s">
        <v>15</v>
      </c>
      <c r="C3085" s="48">
        <v>82.6</v>
      </c>
      <c r="D3085" s="49"/>
      <c r="E3085" s="48">
        <v>82.6</v>
      </c>
    </row>
    <row r="3086">
      <c r="A3086" s="46" t="s">
        <v>18</v>
      </c>
      <c r="B3086" s="46" t="s">
        <v>15</v>
      </c>
      <c r="C3086" s="48">
        <v>92.2</v>
      </c>
      <c r="D3086" s="49"/>
      <c r="E3086" s="48">
        <v>92.2</v>
      </c>
    </row>
    <row r="3087">
      <c r="A3087" s="46" t="s">
        <v>18</v>
      </c>
      <c r="B3087" s="46" t="s">
        <v>14</v>
      </c>
      <c r="C3087" s="48">
        <v>93.4</v>
      </c>
      <c r="D3087" s="48">
        <v>82.4</v>
      </c>
      <c r="E3087" s="48">
        <v>91.5</v>
      </c>
    </row>
    <row r="3088">
      <c r="A3088" s="46" t="s">
        <v>18</v>
      </c>
      <c r="B3088" s="46" t="s">
        <v>15</v>
      </c>
      <c r="C3088" s="48">
        <v>107.0</v>
      </c>
      <c r="D3088" s="49"/>
      <c r="E3088" s="48">
        <v>107.0</v>
      </c>
    </row>
    <row r="3089">
      <c r="A3089" s="46" t="s">
        <v>18</v>
      </c>
      <c r="B3089" s="46" t="s">
        <v>13</v>
      </c>
      <c r="C3089" s="49"/>
      <c r="D3089" s="48">
        <v>77.8</v>
      </c>
      <c r="E3089" s="48">
        <v>77.8</v>
      </c>
    </row>
    <row r="3090">
      <c r="A3090" s="46" t="s">
        <v>18</v>
      </c>
      <c r="B3090" s="46" t="s">
        <v>14</v>
      </c>
      <c r="C3090" s="48">
        <v>64.4</v>
      </c>
      <c r="D3090" s="48">
        <v>74.7</v>
      </c>
      <c r="E3090" s="48">
        <v>74.6</v>
      </c>
    </row>
    <row r="3091">
      <c r="A3091" s="46" t="s">
        <v>18</v>
      </c>
      <c r="B3091" s="46" t="s">
        <v>14</v>
      </c>
      <c r="C3091" s="48">
        <v>95.7</v>
      </c>
      <c r="D3091" s="48">
        <v>78.2</v>
      </c>
      <c r="E3091" s="48">
        <v>83.4</v>
      </c>
    </row>
    <row r="3092">
      <c r="A3092" s="46" t="s">
        <v>18</v>
      </c>
      <c r="B3092" s="46" t="s">
        <v>13</v>
      </c>
      <c r="C3092" s="49"/>
      <c r="D3092" s="48">
        <v>78.8</v>
      </c>
      <c r="E3092" s="48">
        <v>78.8</v>
      </c>
    </row>
    <row r="3093">
      <c r="A3093" s="46" t="s">
        <v>18</v>
      </c>
      <c r="B3093" s="46" t="s">
        <v>13</v>
      </c>
      <c r="C3093" s="49"/>
      <c r="D3093" s="48">
        <v>83.4</v>
      </c>
      <c r="E3093" s="48">
        <v>83.4</v>
      </c>
    </row>
    <row r="3094">
      <c r="A3094" s="46" t="s">
        <v>18</v>
      </c>
      <c r="B3094" s="46" t="s">
        <v>15</v>
      </c>
      <c r="C3094" s="48">
        <v>110.2</v>
      </c>
      <c r="D3094" s="49"/>
      <c r="E3094" s="48">
        <v>110.2</v>
      </c>
    </row>
    <row r="3095">
      <c r="A3095" s="46" t="s">
        <v>18</v>
      </c>
      <c r="B3095" s="46" t="s">
        <v>14</v>
      </c>
      <c r="C3095" s="48">
        <v>77.5</v>
      </c>
      <c r="D3095" s="48">
        <v>74.2</v>
      </c>
      <c r="E3095" s="48">
        <v>76.1</v>
      </c>
    </row>
    <row r="3096">
      <c r="A3096" s="46" t="s">
        <v>18</v>
      </c>
      <c r="B3096" s="46" t="s">
        <v>15</v>
      </c>
      <c r="C3096" s="48">
        <v>85.0</v>
      </c>
      <c r="D3096" s="49"/>
      <c r="E3096" s="48">
        <v>85.0</v>
      </c>
    </row>
    <row r="3097">
      <c r="A3097" s="46" t="s">
        <v>18</v>
      </c>
      <c r="B3097" s="46" t="s">
        <v>14</v>
      </c>
      <c r="C3097" s="48">
        <v>100.9</v>
      </c>
      <c r="D3097" s="48">
        <v>76.3</v>
      </c>
      <c r="E3097" s="48">
        <v>96.1</v>
      </c>
    </row>
    <row r="3098">
      <c r="A3098" s="46" t="s">
        <v>18</v>
      </c>
      <c r="B3098" s="46" t="s">
        <v>14</v>
      </c>
      <c r="C3098" s="48">
        <v>81.4</v>
      </c>
      <c r="D3098" s="48">
        <v>73.1</v>
      </c>
      <c r="E3098" s="48">
        <v>77.0</v>
      </c>
    </row>
    <row r="3099">
      <c r="A3099" s="46" t="s">
        <v>18</v>
      </c>
      <c r="B3099" s="46" t="s">
        <v>14</v>
      </c>
      <c r="C3099" s="48">
        <v>57.4</v>
      </c>
      <c r="D3099" s="48">
        <v>77.6</v>
      </c>
      <c r="E3099" s="48">
        <v>77.3</v>
      </c>
    </row>
    <row r="3100">
      <c r="A3100" s="46" t="s">
        <v>18</v>
      </c>
      <c r="B3100" s="46" t="s">
        <v>14</v>
      </c>
      <c r="C3100" s="48">
        <v>86.3</v>
      </c>
      <c r="D3100" s="48">
        <v>76.3</v>
      </c>
      <c r="E3100" s="48">
        <v>81.2</v>
      </c>
    </row>
    <row r="3101">
      <c r="A3101" s="46" t="s">
        <v>18</v>
      </c>
      <c r="B3101" s="46" t="s">
        <v>14</v>
      </c>
      <c r="C3101" s="48">
        <v>76.2</v>
      </c>
      <c r="D3101" s="48">
        <v>79.1</v>
      </c>
      <c r="E3101" s="48">
        <v>79.0</v>
      </c>
    </row>
    <row r="3102">
      <c r="A3102" s="46" t="s">
        <v>18</v>
      </c>
      <c r="B3102" s="46" t="s">
        <v>15</v>
      </c>
      <c r="C3102" s="48">
        <v>120.3</v>
      </c>
      <c r="D3102" s="49"/>
      <c r="E3102" s="48">
        <v>120.3</v>
      </c>
    </row>
    <row r="3103">
      <c r="A3103" s="46" t="s">
        <v>18</v>
      </c>
      <c r="B3103" s="46" t="s">
        <v>14</v>
      </c>
      <c r="C3103" s="48">
        <v>96.0</v>
      </c>
      <c r="D3103" s="48">
        <v>78.8</v>
      </c>
      <c r="E3103" s="48">
        <v>91.6</v>
      </c>
    </row>
    <row r="3104">
      <c r="A3104" s="46" t="s">
        <v>18</v>
      </c>
      <c r="B3104" s="46" t="s">
        <v>15</v>
      </c>
      <c r="C3104" s="48">
        <v>141.8</v>
      </c>
      <c r="D3104" s="49"/>
      <c r="E3104" s="48">
        <v>141.8</v>
      </c>
    </row>
    <row r="3105">
      <c r="A3105" s="46" t="s">
        <v>18</v>
      </c>
      <c r="B3105" s="46" t="s">
        <v>14</v>
      </c>
      <c r="C3105" s="48">
        <v>119.3</v>
      </c>
      <c r="D3105" s="48">
        <v>98.2</v>
      </c>
      <c r="E3105" s="48">
        <v>114.5</v>
      </c>
    </row>
    <row r="3106">
      <c r="A3106" s="46" t="s">
        <v>18</v>
      </c>
      <c r="B3106" s="46" t="s">
        <v>14</v>
      </c>
      <c r="C3106" s="48">
        <v>97.4</v>
      </c>
      <c r="D3106" s="48">
        <v>85.6</v>
      </c>
      <c r="E3106" s="48">
        <v>91.1</v>
      </c>
    </row>
    <row r="3107">
      <c r="A3107" s="46" t="s">
        <v>18</v>
      </c>
      <c r="B3107" s="46" t="s">
        <v>13</v>
      </c>
      <c r="C3107" s="49"/>
      <c r="D3107" s="48">
        <v>77.5</v>
      </c>
      <c r="E3107" s="48">
        <v>77.5</v>
      </c>
    </row>
    <row r="3108">
      <c r="A3108" s="46" t="s">
        <v>18</v>
      </c>
      <c r="B3108" s="46" t="s">
        <v>13</v>
      </c>
      <c r="C3108" s="49"/>
      <c r="D3108" s="48">
        <v>79.5</v>
      </c>
      <c r="E3108" s="48">
        <v>79.5</v>
      </c>
    </row>
    <row r="3109">
      <c r="A3109" s="46" t="s">
        <v>18</v>
      </c>
      <c r="B3109" s="46" t="s">
        <v>14</v>
      </c>
      <c r="C3109" s="48">
        <v>91.1</v>
      </c>
      <c r="D3109" s="48">
        <v>79.9</v>
      </c>
      <c r="E3109" s="48">
        <v>87.0</v>
      </c>
    </row>
    <row r="3110">
      <c r="A3110" s="46" t="s">
        <v>18</v>
      </c>
      <c r="B3110" s="46" t="s">
        <v>15</v>
      </c>
      <c r="C3110" s="48">
        <v>91.8</v>
      </c>
      <c r="D3110" s="49"/>
      <c r="E3110" s="48">
        <v>91.8</v>
      </c>
    </row>
    <row r="3111">
      <c r="A3111" s="46" t="s">
        <v>18</v>
      </c>
      <c r="B3111" s="46" t="s">
        <v>14</v>
      </c>
      <c r="C3111" s="48">
        <v>112.5</v>
      </c>
      <c r="D3111" s="48">
        <v>86.2</v>
      </c>
      <c r="E3111" s="48">
        <v>108.5</v>
      </c>
    </row>
    <row r="3112">
      <c r="A3112" s="46" t="s">
        <v>18</v>
      </c>
      <c r="B3112" s="46" t="s">
        <v>13</v>
      </c>
      <c r="C3112" s="49"/>
      <c r="D3112" s="48">
        <v>89.7</v>
      </c>
      <c r="E3112" s="48">
        <v>89.7</v>
      </c>
    </row>
    <row r="3113">
      <c r="A3113" s="46" t="s">
        <v>18</v>
      </c>
      <c r="B3113" s="46" t="s">
        <v>15</v>
      </c>
      <c r="C3113" s="48">
        <v>107.2</v>
      </c>
      <c r="D3113" s="49"/>
      <c r="E3113" s="48">
        <v>107.2</v>
      </c>
    </row>
    <row r="3114">
      <c r="A3114" s="46" t="s">
        <v>18</v>
      </c>
      <c r="B3114" s="46" t="s">
        <v>15</v>
      </c>
      <c r="C3114" s="48">
        <v>104.0</v>
      </c>
      <c r="D3114" s="49"/>
      <c r="E3114" s="48">
        <v>104.0</v>
      </c>
    </row>
    <row r="3115">
      <c r="A3115" s="46" t="s">
        <v>18</v>
      </c>
      <c r="B3115" s="46" t="s">
        <v>14</v>
      </c>
      <c r="C3115" s="48">
        <v>105.0</v>
      </c>
      <c r="D3115" s="48">
        <v>89.3</v>
      </c>
      <c r="E3115" s="48">
        <v>100.4</v>
      </c>
    </row>
    <row r="3116">
      <c r="A3116" s="46" t="s">
        <v>18</v>
      </c>
      <c r="B3116" s="46" t="s">
        <v>15</v>
      </c>
      <c r="C3116" s="48">
        <v>112.0</v>
      </c>
      <c r="D3116" s="49"/>
      <c r="E3116" s="48">
        <v>112.0</v>
      </c>
    </row>
    <row r="3117">
      <c r="A3117" s="46" t="s">
        <v>18</v>
      </c>
      <c r="B3117" s="46" t="s">
        <v>14</v>
      </c>
      <c r="C3117" s="48">
        <v>86.7</v>
      </c>
      <c r="D3117" s="48">
        <v>79.6</v>
      </c>
      <c r="E3117" s="48">
        <v>82.5</v>
      </c>
    </row>
    <row r="3118">
      <c r="A3118" s="46" t="s">
        <v>18</v>
      </c>
      <c r="B3118" s="46" t="s">
        <v>13</v>
      </c>
      <c r="C3118" s="49"/>
      <c r="D3118" s="48">
        <v>90.1</v>
      </c>
      <c r="E3118" s="48">
        <v>90.1</v>
      </c>
    </row>
    <row r="3119">
      <c r="A3119" s="46" t="s">
        <v>18</v>
      </c>
      <c r="B3119" s="46" t="s">
        <v>15</v>
      </c>
      <c r="C3119" s="48">
        <v>98.8</v>
      </c>
      <c r="D3119" s="49"/>
      <c r="E3119" s="48">
        <v>98.8</v>
      </c>
    </row>
    <row r="3120">
      <c r="A3120" s="46" t="s">
        <v>18</v>
      </c>
      <c r="B3120" s="46" t="s">
        <v>13</v>
      </c>
      <c r="C3120" s="49"/>
      <c r="D3120" s="48">
        <v>71.8</v>
      </c>
      <c r="E3120" s="48">
        <v>71.8</v>
      </c>
    </row>
    <row r="3121">
      <c r="A3121" s="46" t="s">
        <v>18</v>
      </c>
      <c r="B3121" s="46" t="s">
        <v>13</v>
      </c>
      <c r="C3121" s="49"/>
      <c r="D3121" s="48">
        <v>73.4</v>
      </c>
      <c r="E3121" s="48">
        <v>73.4</v>
      </c>
    </row>
    <row r="3122">
      <c r="A3122" s="46" t="s">
        <v>18</v>
      </c>
      <c r="B3122" s="46" t="s">
        <v>15</v>
      </c>
      <c r="C3122" s="48">
        <v>91.4</v>
      </c>
      <c r="D3122" s="49"/>
      <c r="E3122" s="48">
        <v>91.4</v>
      </c>
    </row>
    <row r="3123">
      <c r="A3123" s="46" t="s">
        <v>18</v>
      </c>
      <c r="B3123" s="46" t="s">
        <v>13</v>
      </c>
      <c r="C3123" s="49"/>
      <c r="D3123" s="48">
        <v>72.0</v>
      </c>
      <c r="E3123" s="48">
        <v>72.0</v>
      </c>
    </row>
    <row r="3124">
      <c r="A3124" s="46" t="s">
        <v>18</v>
      </c>
      <c r="B3124" s="46" t="s">
        <v>13</v>
      </c>
      <c r="C3124" s="49"/>
      <c r="D3124" s="48">
        <v>75.6</v>
      </c>
      <c r="E3124" s="48">
        <v>75.6</v>
      </c>
    </row>
    <row r="3125">
      <c r="A3125" s="46" t="s">
        <v>18</v>
      </c>
      <c r="B3125" s="46" t="s">
        <v>13</v>
      </c>
      <c r="C3125" s="49"/>
      <c r="D3125" s="48">
        <v>75.5</v>
      </c>
      <c r="E3125" s="48">
        <v>75.5</v>
      </c>
    </row>
    <row r="3126">
      <c r="A3126" s="46" t="s">
        <v>18</v>
      </c>
      <c r="B3126" s="46" t="s">
        <v>14</v>
      </c>
      <c r="C3126" s="48">
        <v>76.5</v>
      </c>
      <c r="D3126" s="48">
        <v>56.9</v>
      </c>
      <c r="E3126" s="48">
        <v>63.5</v>
      </c>
    </row>
    <row r="3127">
      <c r="A3127" s="46" t="s">
        <v>18</v>
      </c>
      <c r="B3127" s="46" t="s">
        <v>14</v>
      </c>
      <c r="C3127" s="48">
        <v>73.4</v>
      </c>
      <c r="D3127" s="48">
        <v>65.2</v>
      </c>
      <c r="E3127" s="48">
        <v>67.9</v>
      </c>
    </row>
    <row r="3128">
      <c r="A3128" s="46" t="s">
        <v>18</v>
      </c>
      <c r="B3128" s="46" t="s">
        <v>13</v>
      </c>
      <c r="C3128" s="49"/>
      <c r="D3128" s="48">
        <v>62.8</v>
      </c>
      <c r="E3128" s="48">
        <v>62.8</v>
      </c>
    </row>
    <row r="3129">
      <c r="A3129" s="46" t="s">
        <v>18</v>
      </c>
      <c r="B3129" s="46" t="s">
        <v>14</v>
      </c>
      <c r="C3129" s="48">
        <v>92.9</v>
      </c>
      <c r="D3129" s="48">
        <v>67.2</v>
      </c>
      <c r="E3129" s="48">
        <v>85.3</v>
      </c>
    </row>
    <row r="3130">
      <c r="A3130" s="46" t="s">
        <v>18</v>
      </c>
      <c r="B3130" s="46" t="s">
        <v>13</v>
      </c>
      <c r="C3130" s="49"/>
      <c r="D3130" s="48">
        <v>62.2</v>
      </c>
      <c r="E3130" s="48">
        <v>62.2</v>
      </c>
    </row>
    <row r="3131">
      <c r="A3131" s="46" t="s">
        <v>18</v>
      </c>
      <c r="B3131" s="46" t="s">
        <v>13</v>
      </c>
      <c r="C3131" s="49"/>
      <c r="D3131" s="48">
        <v>65.4</v>
      </c>
      <c r="E3131" s="48">
        <v>65.4</v>
      </c>
    </row>
    <row r="3132">
      <c r="A3132" s="46" t="s">
        <v>18</v>
      </c>
      <c r="B3132" s="46" t="s">
        <v>15</v>
      </c>
      <c r="C3132" s="48">
        <v>91.5</v>
      </c>
      <c r="D3132" s="49"/>
      <c r="E3132" s="48">
        <v>91.5</v>
      </c>
    </row>
    <row r="3133">
      <c r="A3133" s="46" t="s">
        <v>18</v>
      </c>
      <c r="B3133" s="46" t="s">
        <v>14</v>
      </c>
      <c r="C3133" s="48">
        <v>82.7</v>
      </c>
      <c r="D3133" s="48">
        <v>68.9</v>
      </c>
      <c r="E3133" s="48">
        <v>75.3</v>
      </c>
    </row>
    <row r="3134">
      <c r="A3134" s="46" t="s">
        <v>18</v>
      </c>
      <c r="B3134" s="46" t="s">
        <v>14</v>
      </c>
      <c r="C3134" s="48">
        <v>96.1</v>
      </c>
      <c r="D3134" s="48">
        <v>71.4</v>
      </c>
      <c r="E3134" s="48">
        <v>94.2</v>
      </c>
    </row>
    <row r="3135">
      <c r="A3135" s="46" t="s">
        <v>18</v>
      </c>
      <c r="B3135" s="46" t="s">
        <v>14</v>
      </c>
      <c r="C3135" s="48">
        <v>87.3</v>
      </c>
      <c r="D3135" s="48">
        <v>80.1</v>
      </c>
      <c r="E3135" s="48">
        <v>86.4</v>
      </c>
    </row>
    <row r="3136">
      <c r="A3136" s="46" t="s">
        <v>18</v>
      </c>
      <c r="B3136" s="46" t="s">
        <v>14</v>
      </c>
      <c r="C3136" s="48">
        <v>87.3</v>
      </c>
      <c r="D3136" s="48">
        <v>72.9</v>
      </c>
      <c r="E3136" s="48">
        <v>86.2</v>
      </c>
    </row>
    <row r="3137">
      <c r="A3137" s="46" t="s">
        <v>18</v>
      </c>
      <c r="B3137" s="46" t="s">
        <v>14</v>
      </c>
      <c r="C3137" s="48">
        <v>66.2</v>
      </c>
      <c r="D3137" s="48">
        <v>58.4</v>
      </c>
      <c r="E3137" s="48">
        <v>61.5</v>
      </c>
    </row>
    <row r="3138">
      <c r="A3138" s="46" t="s">
        <v>18</v>
      </c>
      <c r="B3138" s="46" t="s">
        <v>14</v>
      </c>
      <c r="C3138" s="48">
        <v>103.1</v>
      </c>
      <c r="D3138" s="48">
        <v>81.9</v>
      </c>
      <c r="E3138" s="48">
        <v>94.6</v>
      </c>
    </row>
    <row r="3139">
      <c r="A3139" s="46" t="s">
        <v>18</v>
      </c>
      <c r="B3139" s="46" t="s">
        <v>15</v>
      </c>
      <c r="C3139" s="48">
        <v>102.0</v>
      </c>
      <c r="D3139" s="49"/>
      <c r="E3139" s="48">
        <v>102.0</v>
      </c>
    </row>
    <row r="3140">
      <c r="A3140" s="46" t="s">
        <v>18</v>
      </c>
      <c r="B3140" s="46" t="s">
        <v>13</v>
      </c>
      <c r="C3140" s="49"/>
      <c r="D3140" s="48">
        <v>75.7</v>
      </c>
      <c r="E3140" s="48">
        <v>75.7</v>
      </c>
    </row>
    <row r="3141">
      <c r="A3141" s="46" t="s">
        <v>18</v>
      </c>
      <c r="B3141" s="46" t="s">
        <v>15</v>
      </c>
      <c r="C3141" s="48">
        <v>110.8</v>
      </c>
      <c r="D3141" s="49"/>
      <c r="E3141" s="48">
        <v>110.8</v>
      </c>
    </row>
    <row r="3142">
      <c r="A3142" s="46" t="s">
        <v>18</v>
      </c>
      <c r="B3142" s="46" t="s">
        <v>15</v>
      </c>
      <c r="C3142" s="48">
        <v>110.2</v>
      </c>
      <c r="D3142" s="49"/>
      <c r="E3142" s="48">
        <v>110.2</v>
      </c>
    </row>
    <row r="3143">
      <c r="A3143" s="46" t="s">
        <v>18</v>
      </c>
      <c r="B3143" s="46" t="s">
        <v>14</v>
      </c>
      <c r="C3143" s="48">
        <v>94.9</v>
      </c>
      <c r="D3143" s="48">
        <v>88.4</v>
      </c>
      <c r="E3143" s="48">
        <v>90.4</v>
      </c>
    </row>
    <row r="3144">
      <c r="A3144" s="46" t="s">
        <v>18</v>
      </c>
      <c r="B3144" s="46" t="s">
        <v>14</v>
      </c>
      <c r="C3144" s="48">
        <v>103.7</v>
      </c>
      <c r="D3144" s="48">
        <v>82.0</v>
      </c>
      <c r="E3144" s="48">
        <v>99.6</v>
      </c>
    </row>
    <row r="3145">
      <c r="A3145" s="46" t="s">
        <v>18</v>
      </c>
      <c r="B3145" s="46" t="s">
        <v>13</v>
      </c>
      <c r="C3145" s="49"/>
      <c r="D3145" s="48">
        <v>85.1</v>
      </c>
      <c r="E3145" s="48">
        <v>85.1</v>
      </c>
    </row>
    <row r="3146">
      <c r="A3146" s="46" t="s">
        <v>18</v>
      </c>
      <c r="B3146" s="46" t="s">
        <v>13</v>
      </c>
      <c r="C3146" s="49"/>
      <c r="D3146" s="48">
        <v>101.1</v>
      </c>
      <c r="E3146" s="48">
        <v>101.1</v>
      </c>
    </row>
    <row r="3147">
      <c r="A3147" s="46" t="s">
        <v>18</v>
      </c>
      <c r="B3147" s="46" t="s">
        <v>15</v>
      </c>
      <c r="C3147" s="48">
        <v>122.2</v>
      </c>
      <c r="D3147" s="49"/>
      <c r="E3147" s="48">
        <v>122.2</v>
      </c>
    </row>
    <row r="3148">
      <c r="A3148" s="46" t="s">
        <v>18</v>
      </c>
      <c r="B3148" s="46" t="s">
        <v>15</v>
      </c>
      <c r="C3148" s="48">
        <v>115.8</v>
      </c>
      <c r="D3148" s="49"/>
      <c r="E3148" s="48">
        <v>115.8</v>
      </c>
    </row>
    <row r="3149">
      <c r="A3149" s="46" t="s">
        <v>18</v>
      </c>
      <c r="B3149" s="46" t="s">
        <v>15</v>
      </c>
      <c r="C3149" s="48">
        <v>118.0</v>
      </c>
      <c r="D3149" s="49"/>
      <c r="E3149" s="48">
        <v>118.0</v>
      </c>
    </row>
    <row r="3150">
      <c r="A3150" s="46" t="s">
        <v>18</v>
      </c>
      <c r="B3150" s="46" t="s">
        <v>13</v>
      </c>
      <c r="C3150" s="49"/>
      <c r="D3150" s="48">
        <v>88.6</v>
      </c>
      <c r="E3150" s="48">
        <v>88.6</v>
      </c>
    </row>
    <row r="3151">
      <c r="A3151" s="46" t="s">
        <v>18</v>
      </c>
      <c r="B3151" s="46" t="s">
        <v>13</v>
      </c>
      <c r="C3151" s="49"/>
      <c r="D3151" s="48">
        <v>88.0</v>
      </c>
      <c r="E3151" s="48">
        <v>88.0</v>
      </c>
    </row>
    <row r="3152">
      <c r="A3152" s="46" t="s">
        <v>18</v>
      </c>
      <c r="B3152" s="46" t="s">
        <v>14</v>
      </c>
      <c r="C3152" s="48">
        <v>107.9</v>
      </c>
      <c r="D3152" s="48">
        <v>77.6</v>
      </c>
      <c r="E3152" s="48">
        <v>106.8</v>
      </c>
    </row>
    <row r="3153">
      <c r="A3153" s="46" t="s">
        <v>18</v>
      </c>
      <c r="B3153" s="46" t="s">
        <v>13</v>
      </c>
      <c r="C3153" s="49"/>
      <c r="D3153" s="48">
        <v>77.5</v>
      </c>
      <c r="E3153" s="48">
        <v>77.5</v>
      </c>
    </row>
    <row r="3154">
      <c r="A3154" s="46" t="s">
        <v>18</v>
      </c>
      <c r="B3154" s="46" t="s">
        <v>14</v>
      </c>
      <c r="C3154" s="48">
        <v>73.3</v>
      </c>
      <c r="D3154" s="48">
        <v>88.2</v>
      </c>
      <c r="E3154" s="48">
        <v>87.9</v>
      </c>
    </row>
    <row r="3155">
      <c r="A3155" s="46" t="s">
        <v>18</v>
      </c>
      <c r="B3155" s="46" t="s">
        <v>15</v>
      </c>
      <c r="C3155" s="48">
        <v>90.8</v>
      </c>
      <c r="D3155" s="49"/>
      <c r="E3155" s="48">
        <v>90.8</v>
      </c>
    </row>
    <row r="3156">
      <c r="A3156" s="46" t="s">
        <v>18</v>
      </c>
      <c r="B3156" s="46" t="s">
        <v>15</v>
      </c>
      <c r="C3156" s="48">
        <v>137.1</v>
      </c>
      <c r="D3156" s="49"/>
      <c r="E3156" s="48">
        <v>137.1</v>
      </c>
    </row>
    <row r="3157">
      <c r="A3157" s="46" t="s">
        <v>18</v>
      </c>
      <c r="B3157" s="46" t="s">
        <v>13</v>
      </c>
      <c r="C3157" s="49"/>
      <c r="D3157" s="48">
        <v>87.9</v>
      </c>
      <c r="E3157" s="48">
        <v>87.9</v>
      </c>
    </row>
    <row r="3158">
      <c r="A3158" s="46" t="s">
        <v>18</v>
      </c>
      <c r="B3158" s="46" t="s">
        <v>15</v>
      </c>
      <c r="C3158" s="48">
        <v>116.5</v>
      </c>
      <c r="D3158" s="49"/>
      <c r="E3158" s="48">
        <v>116.5</v>
      </c>
    </row>
    <row r="3159">
      <c r="A3159" s="46" t="s">
        <v>18</v>
      </c>
      <c r="B3159" s="46" t="s">
        <v>14</v>
      </c>
      <c r="C3159" s="48">
        <v>108.4</v>
      </c>
      <c r="D3159" s="48">
        <v>85.2</v>
      </c>
      <c r="E3159" s="48">
        <v>106.1</v>
      </c>
    </row>
    <row r="3160">
      <c r="A3160" s="46" t="s">
        <v>18</v>
      </c>
      <c r="B3160" s="46" t="s">
        <v>14</v>
      </c>
      <c r="C3160" s="48">
        <v>90.5</v>
      </c>
      <c r="D3160" s="48">
        <v>72.1</v>
      </c>
      <c r="E3160" s="48">
        <v>82.3</v>
      </c>
    </row>
    <row r="3161">
      <c r="A3161" s="46" t="s">
        <v>18</v>
      </c>
      <c r="B3161" s="46" t="s">
        <v>13</v>
      </c>
      <c r="C3161" s="49"/>
      <c r="D3161" s="48">
        <v>88.4</v>
      </c>
      <c r="E3161" s="48">
        <v>88.4</v>
      </c>
    </row>
    <row r="3162">
      <c r="A3162" s="46" t="s">
        <v>18</v>
      </c>
      <c r="B3162" s="46" t="s">
        <v>13</v>
      </c>
      <c r="C3162" s="49"/>
      <c r="D3162" s="48">
        <v>93.5</v>
      </c>
      <c r="E3162" s="48">
        <v>93.5</v>
      </c>
    </row>
    <row r="3163">
      <c r="A3163" s="46" t="s">
        <v>18</v>
      </c>
      <c r="B3163" s="46" t="s">
        <v>15</v>
      </c>
      <c r="C3163" s="48">
        <v>111.0</v>
      </c>
      <c r="D3163" s="49"/>
      <c r="E3163" s="48">
        <v>111.0</v>
      </c>
    </row>
    <row r="3164">
      <c r="A3164" s="46" t="s">
        <v>18</v>
      </c>
      <c r="B3164" s="46" t="s">
        <v>15</v>
      </c>
      <c r="C3164" s="48">
        <v>111.5</v>
      </c>
      <c r="D3164" s="49"/>
      <c r="E3164" s="48">
        <v>111.5</v>
      </c>
    </row>
    <row r="3165">
      <c r="A3165" s="46" t="s">
        <v>18</v>
      </c>
      <c r="B3165" s="46" t="s">
        <v>14</v>
      </c>
      <c r="C3165" s="48">
        <v>106.0</v>
      </c>
      <c r="D3165" s="48">
        <v>84.7</v>
      </c>
      <c r="E3165" s="48">
        <v>99.3</v>
      </c>
    </row>
    <row r="3166">
      <c r="A3166" s="46" t="s">
        <v>18</v>
      </c>
      <c r="B3166" s="46" t="s">
        <v>13</v>
      </c>
      <c r="C3166" s="49"/>
      <c r="D3166" s="48">
        <v>91.3</v>
      </c>
      <c r="E3166" s="48">
        <v>91.3</v>
      </c>
    </row>
    <row r="3167">
      <c r="A3167" s="46" t="s">
        <v>18</v>
      </c>
      <c r="B3167" s="46" t="s">
        <v>15</v>
      </c>
      <c r="C3167" s="48">
        <v>108.2</v>
      </c>
      <c r="D3167" s="49"/>
      <c r="E3167" s="48">
        <v>108.2</v>
      </c>
    </row>
    <row r="3168">
      <c r="A3168" s="46" t="s">
        <v>18</v>
      </c>
      <c r="B3168" s="46" t="s">
        <v>13</v>
      </c>
      <c r="C3168" s="49"/>
      <c r="D3168" s="48">
        <v>87.9</v>
      </c>
      <c r="E3168" s="48">
        <v>87.9</v>
      </c>
    </row>
    <row r="3169">
      <c r="A3169" s="46" t="s">
        <v>18</v>
      </c>
      <c r="B3169" s="46" t="s">
        <v>13</v>
      </c>
      <c r="C3169" s="49"/>
      <c r="D3169" s="48">
        <v>82.5</v>
      </c>
      <c r="E3169" s="48">
        <v>82.5</v>
      </c>
    </row>
    <row r="3170">
      <c r="A3170" s="46" t="s">
        <v>18</v>
      </c>
      <c r="B3170" s="46" t="s">
        <v>13</v>
      </c>
      <c r="C3170" s="49"/>
      <c r="D3170" s="48">
        <v>82.3</v>
      </c>
      <c r="E3170" s="48">
        <v>82.3</v>
      </c>
    </row>
    <row r="3171">
      <c r="A3171" s="46" t="s">
        <v>18</v>
      </c>
      <c r="B3171" s="46" t="s">
        <v>15</v>
      </c>
      <c r="C3171" s="48">
        <v>126.0</v>
      </c>
      <c r="D3171" s="49"/>
      <c r="E3171" s="48">
        <v>126.0</v>
      </c>
    </row>
    <row r="3172">
      <c r="A3172" s="46" t="s">
        <v>18</v>
      </c>
      <c r="B3172" s="46" t="s">
        <v>15</v>
      </c>
      <c r="C3172" s="48">
        <v>68.3</v>
      </c>
      <c r="D3172" s="49"/>
      <c r="E3172" s="48">
        <v>68.3</v>
      </c>
    </row>
    <row r="3173">
      <c r="A3173" s="46" t="s">
        <v>18</v>
      </c>
      <c r="B3173" s="46" t="s">
        <v>13</v>
      </c>
      <c r="C3173" s="49"/>
      <c r="D3173" s="48">
        <v>75.7</v>
      </c>
      <c r="E3173" s="48">
        <v>75.7</v>
      </c>
    </row>
    <row r="3174">
      <c r="A3174" s="46" t="s">
        <v>18</v>
      </c>
      <c r="B3174" s="46" t="s">
        <v>13</v>
      </c>
      <c r="C3174" s="49"/>
      <c r="D3174" s="48">
        <v>78.6</v>
      </c>
      <c r="E3174" s="48">
        <v>78.6</v>
      </c>
    </row>
    <row r="3175">
      <c r="A3175" s="46" t="s">
        <v>18</v>
      </c>
      <c r="B3175" s="46" t="s">
        <v>15</v>
      </c>
      <c r="C3175" s="48">
        <v>114.2</v>
      </c>
      <c r="D3175" s="49"/>
      <c r="E3175" s="48">
        <v>114.2</v>
      </c>
    </row>
    <row r="3176">
      <c r="A3176" s="46" t="s">
        <v>18</v>
      </c>
      <c r="B3176" s="46" t="s">
        <v>13</v>
      </c>
      <c r="C3176" s="49"/>
      <c r="D3176" s="48">
        <v>75.2</v>
      </c>
      <c r="E3176" s="48">
        <v>75.2</v>
      </c>
    </row>
    <row r="3177">
      <c r="A3177" s="46" t="s">
        <v>18</v>
      </c>
      <c r="B3177" s="46" t="s">
        <v>13</v>
      </c>
      <c r="C3177" s="49"/>
      <c r="D3177" s="48">
        <v>61.2</v>
      </c>
      <c r="E3177" s="48">
        <v>61.2</v>
      </c>
    </row>
    <row r="3178">
      <c r="A3178" s="46" t="s">
        <v>18</v>
      </c>
      <c r="B3178" s="46" t="s">
        <v>13</v>
      </c>
      <c r="C3178" s="49"/>
      <c r="D3178" s="48">
        <v>86.0</v>
      </c>
      <c r="E3178" s="48">
        <v>86.0</v>
      </c>
    </row>
    <row r="3179">
      <c r="A3179" s="46" t="s">
        <v>18</v>
      </c>
      <c r="B3179" s="46" t="s">
        <v>13</v>
      </c>
      <c r="C3179" s="49"/>
      <c r="D3179" s="48">
        <v>84.2</v>
      </c>
      <c r="E3179" s="48">
        <v>84.2</v>
      </c>
    </row>
    <row r="3180">
      <c r="A3180" s="46" t="s">
        <v>18</v>
      </c>
      <c r="B3180" s="46" t="s">
        <v>13</v>
      </c>
      <c r="C3180" s="49"/>
      <c r="D3180" s="48">
        <v>79.8</v>
      </c>
      <c r="E3180" s="48">
        <v>79.8</v>
      </c>
    </row>
    <row r="3181">
      <c r="A3181" s="46" t="s">
        <v>18</v>
      </c>
      <c r="B3181" s="46" t="s">
        <v>13</v>
      </c>
      <c r="C3181" s="49"/>
      <c r="D3181" s="48">
        <v>83.7</v>
      </c>
      <c r="E3181" s="48">
        <v>83.7</v>
      </c>
    </row>
    <row r="3182">
      <c r="A3182" s="46" t="s">
        <v>18</v>
      </c>
      <c r="B3182" s="46" t="s">
        <v>15</v>
      </c>
      <c r="C3182" s="48">
        <v>130.4</v>
      </c>
      <c r="D3182" s="49"/>
      <c r="E3182" s="48">
        <v>130.4</v>
      </c>
    </row>
    <row r="3183">
      <c r="A3183" s="46" t="s">
        <v>18</v>
      </c>
      <c r="B3183" s="46" t="s">
        <v>14</v>
      </c>
      <c r="C3183" s="48">
        <v>122.1</v>
      </c>
      <c r="D3183" s="48">
        <v>95.1</v>
      </c>
      <c r="E3183" s="48">
        <v>99.2</v>
      </c>
    </row>
    <row r="3184">
      <c r="A3184" s="46" t="s">
        <v>18</v>
      </c>
      <c r="B3184" s="46" t="s">
        <v>14</v>
      </c>
      <c r="C3184" s="48">
        <v>111.5</v>
      </c>
      <c r="D3184" s="48">
        <v>97.4</v>
      </c>
      <c r="E3184" s="48">
        <v>108.4</v>
      </c>
    </row>
    <row r="3185">
      <c r="A3185" s="46" t="s">
        <v>18</v>
      </c>
      <c r="B3185" s="46" t="s">
        <v>15</v>
      </c>
      <c r="C3185" s="48">
        <v>115.0</v>
      </c>
      <c r="D3185" s="49"/>
      <c r="E3185" s="48">
        <v>115.0</v>
      </c>
    </row>
    <row r="3186">
      <c r="A3186" s="46" t="s">
        <v>18</v>
      </c>
      <c r="B3186" s="46" t="s">
        <v>13</v>
      </c>
      <c r="C3186" s="49"/>
      <c r="D3186" s="48">
        <v>82.3</v>
      </c>
      <c r="E3186" s="48">
        <v>82.3</v>
      </c>
    </row>
    <row r="3187">
      <c r="A3187" s="46" t="s">
        <v>18</v>
      </c>
      <c r="B3187" s="46" t="s">
        <v>13</v>
      </c>
      <c r="C3187" s="49"/>
      <c r="D3187" s="48">
        <v>83.6</v>
      </c>
      <c r="E3187" s="48">
        <v>83.6</v>
      </c>
    </row>
    <row r="3188">
      <c r="A3188" s="46" t="s">
        <v>18</v>
      </c>
      <c r="B3188" s="46" t="s">
        <v>13</v>
      </c>
      <c r="C3188" s="49"/>
      <c r="D3188" s="48">
        <v>90.9</v>
      </c>
      <c r="E3188" s="48">
        <v>90.9</v>
      </c>
    </row>
    <row r="3189">
      <c r="A3189" s="46" t="s">
        <v>18</v>
      </c>
      <c r="B3189" s="46" t="s">
        <v>13</v>
      </c>
      <c r="C3189" s="49"/>
      <c r="D3189" s="48">
        <v>87.8</v>
      </c>
      <c r="E3189" s="48">
        <v>87.8</v>
      </c>
    </row>
    <row r="3190">
      <c r="A3190" s="46" t="s">
        <v>18</v>
      </c>
      <c r="B3190" s="46" t="s">
        <v>15</v>
      </c>
      <c r="C3190" s="48">
        <v>122.1</v>
      </c>
      <c r="D3190" s="49"/>
      <c r="E3190" s="48">
        <v>122.1</v>
      </c>
    </row>
    <row r="3191">
      <c r="A3191" s="46" t="s">
        <v>18</v>
      </c>
      <c r="B3191" s="46" t="s">
        <v>15</v>
      </c>
      <c r="C3191" s="48">
        <v>119.3</v>
      </c>
      <c r="D3191" s="49"/>
      <c r="E3191" s="48">
        <v>119.3</v>
      </c>
    </row>
    <row r="3192">
      <c r="A3192" s="46" t="s">
        <v>18</v>
      </c>
      <c r="B3192" s="46" t="s">
        <v>15</v>
      </c>
      <c r="C3192" s="48">
        <v>114.5</v>
      </c>
      <c r="D3192" s="49"/>
      <c r="E3192" s="48">
        <v>114.5</v>
      </c>
    </row>
    <row r="3193">
      <c r="A3193" s="46" t="s">
        <v>18</v>
      </c>
      <c r="B3193" s="46" t="s">
        <v>15</v>
      </c>
      <c r="C3193" s="48">
        <v>116.3</v>
      </c>
      <c r="D3193" s="49"/>
      <c r="E3193" s="48">
        <v>116.3</v>
      </c>
    </row>
    <row r="3194">
      <c r="A3194" s="46" t="s">
        <v>18</v>
      </c>
      <c r="B3194" s="46" t="s">
        <v>14</v>
      </c>
      <c r="C3194" s="48">
        <v>115.9</v>
      </c>
      <c r="D3194" s="48">
        <v>93.0</v>
      </c>
      <c r="E3194" s="48">
        <v>105.3</v>
      </c>
    </row>
    <row r="3195">
      <c r="A3195" s="46" t="s">
        <v>18</v>
      </c>
      <c r="B3195" s="46" t="s">
        <v>13</v>
      </c>
      <c r="C3195" s="49"/>
      <c r="D3195" s="48">
        <v>76.6</v>
      </c>
      <c r="E3195" s="48">
        <v>76.6</v>
      </c>
    </row>
    <row r="3196">
      <c r="A3196" s="46" t="s">
        <v>18</v>
      </c>
      <c r="B3196" s="46" t="s">
        <v>14</v>
      </c>
      <c r="C3196" s="48">
        <v>100.9</v>
      </c>
      <c r="D3196" s="48">
        <v>79.3</v>
      </c>
      <c r="E3196" s="48">
        <v>95.0</v>
      </c>
    </row>
    <row r="3197">
      <c r="A3197" s="46" t="s">
        <v>18</v>
      </c>
      <c r="B3197" s="46" t="s">
        <v>13</v>
      </c>
      <c r="C3197" s="49"/>
      <c r="D3197" s="48">
        <v>92.6</v>
      </c>
      <c r="E3197" s="48">
        <v>92.6</v>
      </c>
    </row>
    <row r="3198">
      <c r="A3198" s="46" t="s">
        <v>18</v>
      </c>
      <c r="B3198" s="46" t="s">
        <v>15</v>
      </c>
      <c r="C3198" s="48">
        <v>117.3</v>
      </c>
      <c r="D3198" s="49"/>
      <c r="E3198" s="48">
        <v>117.3</v>
      </c>
    </row>
    <row r="3199">
      <c r="A3199" s="46" t="s">
        <v>18</v>
      </c>
      <c r="B3199" s="46" t="s">
        <v>15</v>
      </c>
      <c r="C3199" s="48">
        <v>125.4</v>
      </c>
      <c r="D3199" s="49"/>
      <c r="E3199" s="48">
        <v>125.4</v>
      </c>
    </row>
    <row r="3200">
      <c r="A3200" s="46" t="s">
        <v>18</v>
      </c>
      <c r="B3200" s="46" t="s">
        <v>14</v>
      </c>
      <c r="C3200" s="48">
        <v>98.9</v>
      </c>
      <c r="D3200" s="48">
        <v>88.8</v>
      </c>
      <c r="E3200" s="48">
        <v>95.7</v>
      </c>
    </row>
    <row r="3201">
      <c r="A3201" s="46" t="s">
        <v>18</v>
      </c>
      <c r="B3201" s="46" t="s">
        <v>13</v>
      </c>
      <c r="C3201" s="49"/>
      <c r="D3201" s="48">
        <v>82.9</v>
      </c>
      <c r="E3201" s="48">
        <v>82.9</v>
      </c>
    </row>
    <row r="3202">
      <c r="A3202" s="46" t="s">
        <v>18</v>
      </c>
      <c r="B3202" s="46" t="s">
        <v>15</v>
      </c>
      <c r="C3202" s="48">
        <v>128.0</v>
      </c>
      <c r="D3202" s="49"/>
      <c r="E3202" s="48">
        <v>128.0</v>
      </c>
    </row>
    <row r="3203">
      <c r="A3203" s="46" t="s">
        <v>18</v>
      </c>
      <c r="B3203" s="46" t="s">
        <v>14</v>
      </c>
      <c r="C3203" s="48">
        <v>105.2</v>
      </c>
      <c r="D3203" s="48">
        <v>86.4</v>
      </c>
      <c r="E3203" s="48">
        <v>97.6</v>
      </c>
    </row>
    <row r="3204">
      <c r="A3204" s="46" t="s">
        <v>18</v>
      </c>
      <c r="B3204" s="46" t="s">
        <v>15</v>
      </c>
      <c r="C3204" s="48">
        <v>112.1</v>
      </c>
      <c r="D3204" s="49"/>
      <c r="E3204" s="48">
        <v>112.1</v>
      </c>
    </row>
    <row r="3205">
      <c r="A3205" s="46" t="s">
        <v>18</v>
      </c>
      <c r="B3205" s="46" t="s">
        <v>13</v>
      </c>
      <c r="C3205" s="49"/>
      <c r="D3205" s="48">
        <v>97.0</v>
      </c>
      <c r="E3205" s="48">
        <v>97.0</v>
      </c>
    </row>
    <row r="3206">
      <c r="A3206" s="46" t="s">
        <v>18</v>
      </c>
      <c r="B3206" s="46" t="s">
        <v>13</v>
      </c>
      <c r="C3206" s="49"/>
      <c r="D3206" s="48">
        <v>75.6</v>
      </c>
      <c r="E3206" s="48">
        <v>75.6</v>
      </c>
    </row>
    <row r="3207">
      <c r="A3207" s="46" t="s">
        <v>18</v>
      </c>
      <c r="B3207" s="46" t="s">
        <v>15</v>
      </c>
      <c r="C3207" s="48">
        <v>122.7</v>
      </c>
      <c r="D3207" s="49"/>
      <c r="E3207" s="48">
        <v>122.7</v>
      </c>
    </row>
    <row r="3208">
      <c r="A3208" s="46" t="s">
        <v>18</v>
      </c>
      <c r="B3208" s="46" t="s">
        <v>15</v>
      </c>
      <c r="C3208" s="48">
        <v>112.5</v>
      </c>
      <c r="D3208" s="49"/>
      <c r="E3208" s="48">
        <v>112.5</v>
      </c>
    </row>
    <row r="3209">
      <c r="A3209" s="46" t="s">
        <v>18</v>
      </c>
      <c r="B3209" s="46" t="s">
        <v>15</v>
      </c>
      <c r="C3209" s="48">
        <v>109.8</v>
      </c>
      <c r="D3209" s="49"/>
      <c r="E3209" s="48">
        <v>109.8</v>
      </c>
    </row>
    <row r="3210">
      <c r="A3210" s="46" t="s">
        <v>18</v>
      </c>
      <c r="B3210" s="46" t="s">
        <v>13</v>
      </c>
      <c r="C3210" s="49"/>
      <c r="D3210" s="48">
        <v>80.0</v>
      </c>
      <c r="E3210" s="48">
        <v>80.0</v>
      </c>
    </row>
    <row r="3211">
      <c r="A3211" s="46" t="s">
        <v>18</v>
      </c>
      <c r="B3211" s="46" t="s">
        <v>13</v>
      </c>
      <c r="C3211" s="49"/>
      <c r="D3211" s="48">
        <v>90.2</v>
      </c>
      <c r="E3211" s="48">
        <v>90.2</v>
      </c>
    </row>
    <row r="3212">
      <c r="A3212" s="46" t="s">
        <v>18</v>
      </c>
      <c r="B3212" s="46" t="s">
        <v>14</v>
      </c>
      <c r="C3212" s="48">
        <v>120.4</v>
      </c>
      <c r="D3212" s="48">
        <v>111.5</v>
      </c>
      <c r="E3212" s="48">
        <v>119.5</v>
      </c>
    </row>
    <row r="3213">
      <c r="A3213" s="46" t="s">
        <v>18</v>
      </c>
      <c r="B3213" s="46" t="s">
        <v>15</v>
      </c>
      <c r="C3213" s="48">
        <v>117.7</v>
      </c>
      <c r="D3213" s="49"/>
      <c r="E3213" s="48">
        <v>117.7</v>
      </c>
    </row>
    <row r="3214">
      <c r="A3214" s="46" t="s">
        <v>18</v>
      </c>
      <c r="B3214" s="46" t="s">
        <v>13</v>
      </c>
      <c r="C3214" s="49"/>
      <c r="D3214" s="48">
        <v>77.0</v>
      </c>
      <c r="E3214" s="48">
        <v>77.0</v>
      </c>
    </row>
    <row r="3215">
      <c r="A3215" s="46" t="s">
        <v>18</v>
      </c>
      <c r="B3215" s="46" t="s">
        <v>13</v>
      </c>
      <c r="C3215" s="49"/>
      <c r="D3215" s="48">
        <v>93.0</v>
      </c>
      <c r="E3215" s="48">
        <v>93.0</v>
      </c>
    </row>
    <row r="3216">
      <c r="A3216" s="46" t="s">
        <v>18</v>
      </c>
      <c r="B3216" s="46" t="s">
        <v>15</v>
      </c>
      <c r="C3216" s="48">
        <v>105.0</v>
      </c>
      <c r="D3216" s="49"/>
      <c r="E3216" s="48">
        <v>105.0</v>
      </c>
    </row>
    <row r="3217">
      <c r="A3217" s="46" t="s">
        <v>18</v>
      </c>
      <c r="B3217" s="46" t="s">
        <v>13</v>
      </c>
      <c r="C3217" s="49"/>
      <c r="D3217" s="48">
        <v>86.4</v>
      </c>
      <c r="E3217" s="48">
        <v>86.4</v>
      </c>
    </row>
    <row r="3218">
      <c r="A3218" s="46" t="s">
        <v>18</v>
      </c>
      <c r="B3218" s="46" t="s">
        <v>15</v>
      </c>
      <c r="C3218" s="48">
        <v>103.9</v>
      </c>
      <c r="D3218" s="49"/>
      <c r="E3218" s="48">
        <v>103.9</v>
      </c>
    </row>
    <row r="3219">
      <c r="A3219" s="46" t="s">
        <v>18</v>
      </c>
      <c r="B3219" s="46" t="s">
        <v>14</v>
      </c>
      <c r="C3219" s="48">
        <v>107.5</v>
      </c>
      <c r="D3219" s="48">
        <v>88.8</v>
      </c>
      <c r="E3219" s="48">
        <v>104.5</v>
      </c>
    </row>
    <row r="3220">
      <c r="A3220" s="46" t="s">
        <v>18</v>
      </c>
      <c r="B3220" s="46" t="s">
        <v>13</v>
      </c>
      <c r="C3220" s="49"/>
      <c r="D3220" s="48">
        <v>88.5</v>
      </c>
      <c r="E3220" s="48">
        <v>88.5</v>
      </c>
    </row>
    <row r="3221">
      <c r="A3221" s="46" t="s">
        <v>18</v>
      </c>
      <c r="B3221" s="46" t="s">
        <v>14</v>
      </c>
      <c r="C3221" s="48">
        <v>113.3</v>
      </c>
      <c r="D3221" s="48">
        <v>96.8</v>
      </c>
      <c r="E3221" s="48">
        <v>106.0</v>
      </c>
    </row>
    <row r="3222">
      <c r="A3222" s="46" t="s">
        <v>18</v>
      </c>
      <c r="B3222" s="46" t="s">
        <v>13</v>
      </c>
      <c r="C3222" s="49"/>
      <c r="D3222" s="48">
        <v>84.7</v>
      </c>
      <c r="E3222" s="48">
        <v>84.7</v>
      </c>
    </row>
    <row r="3223">
      <c r="A3223" s="46" t="s">
        <v>18</v>
      </c>
      <c r="B3223" s="46" t="s">
        <v>15</v>
      </c>
      <c r="C3223" s="48">
        <v>111.5</v>
      </c>
      <c r="D3223" s="49"/>
      <c r="E3223" s="48">
        <v>111.5</v>
      </c>
    </row>
    <row r="3224">
      <c r="A3224" s="46" t="s">
        <v>18</v>
      </c>
      <c r="B3224" s="46" t="s">
        <v>15</v>
      </c>
      <c r="C3224" s="48">
        <v>110.4</v>
      </c>
      <c r="D3224" s="49"/>
      <c r="E3224" s="48">
        <v>110.4</v>
      </c>
    </row>
    <row r="3225">
      <c r="A3225" s="46" t="s">
        <v>18</v>
      </c>
      <c r="B3225" s="46" t="s">
        <v>14</v>
      </c>
      <c r="C3225" s="48">
        <v>114.0</v>
      </c>
      <c r="D3225" s="48">
        <v>87.7</v>
      </c>
      <c r="E3225" s="48">
        <v>109.4</v>
      </c>
    </row>
    <row r="3226">
      <c r="A3226" s="46" t="s">
        <v>18</v>
      </c>
      <c r="B3226" s="46" t="s">
        <v>15</v>
      </c>
      <c r="C3226" s="48">
        <v>101.7</v>
      </c>
      <c r="D3226" s="49"/>
      <c r="E3226" s="48">
        <v>101.7</v>
      </c>
    </row>
    <row r="3227">
      <c r="A3227" s="46" t="s">
        <v>18</v>
      </c>
      <c r="B3227" s="46" t="s">
        <v>13</v>
      </c>
      <c r="C3227" s="49"/>
      <c r="D3227" s="48">
        <v>87.6</v>
      </c>
      <c r="E3227" s="48">
        <v>87.6</v>
      </c>
    </row>
    <row r="3228">
      <c r="A3228" s="46" t="s">
        <v>18</v>
      </c>
      <c r="B3228" s="46" t="s">
        <v>14</v>
      </c>
      <c r="C3228" s="48">
        <v>124.4</v>
      </c>
      <c r="D3228" s="48">
        <v>109.7</v>
      </c>
      <c r="E3228" s="48">
        <v>117.1</v>
      </c>
    </row>
    <row r="3229">
      <c r="A3229" s="46" t="s">
        <v>18</v>
      </c>
      <c r="B3229" s="46" t="s">
        <v>13</v>
      </c>
      <c r="C3229" s="49"/>
      <c r="D3229" s="48">
        <v>78.8</v>
      </c>
      <c r="E3229" s="48">
        <v>78.8</v>
      </c>
    </row>
    <row r="3230">
      <c r="A3230" s="46" t="s">
        <v>18</v>
      </c>
      <c r="B3230" s="46" t="s">
        <v>15</v>
      </c>
      <c r="C3230" s="48">
        <v>131.5</v>
      </c>
      <c r="D3230" s="49"/>
      <c r="E3230" s="48">
        <v>131.5</v>
      </c>
    </row>
    <row r="3231">
      <c r="A3231" s="46" t="s">
        <v>18</v>
      </c>
      <c r="B3231" s="46" t="s">
        <v>15</v>
      </c>
      <c r="C3231" s="48">
        <v>128.1</v>
      </c>
      <c r="D3231" s="49"/>
      <c r="E3231" s="48">
        <v>128.1</v>
      </c>
    </row>
    <row r="3232">
      <c r="A3232" s="46" t="s">
        <v>18</v>
      </c>
      <c r="B3232" s="46" t="s">
        <v>14</v>
      </c>
      <c r="C3232" s="48">
        <v>113.8</v>
      </c>
      <c r="D3232" s="48">
        <v>81.5</v>
      </c>
      <c r="E3232" s="48">
        <v>106.1</v>
      </c>
    </row>
    <row r="3233">
      <c r="A3233" s="46" t="s">
        <v>18</v>
      </c>
      <c r="B3233" s="46" t="s">
        <v>15</v>
      </c>
      <c r="C3233" s="48">
        <v>108.9</v>
      </c>
      <c r="D3233" s="49"/>
      <c r="E3233" s="48">
        <v>108.9</v>
      </c>
    </row>
    <row r="3234">
      <c r="A3234" s="46" t="s">
        <v>18</v>
      </c>
      <c r="B3234" s="46" t="s">
        <v>13</v>
      </c>
      <c r="C3234" s="49"/>
      <c r="D3234" s="48">
        <v>89.8</v>
      </c>
      <c r="E3234" s="48">
        <v>89.8</v>
      </c>
    </row>
    <row r="3235">
      <c r="A3235" s="46" t="s">
        <v>18</v>
      </c>
      <c r="B3235" s="46" t="s">
        <v>15</v>
      </c>
      <c r="C3235" s="48">
        <v>112.4</v>
      </c>
      <c r="D3235" s="49"/>
      <c r="E3235" s="48">
        <v>112.4</v>
      </c>
    </row>
    <row r="3236">
      <c r="A3236" s="46" t="s">
        <v>18</v>
      </c>
      <c r="B3236" s="46" t="s">
        <v>13</v>
      </c>
      <c r="C3236" s="49"/>
      <c r="D3236" s="48">
        <v>83.3</v>
      </c>
      <c r="E3236" s="48">
        <v>83.3</v>
      </c>
    </row>
    <row r="3237">
      <c r="A3237" s="46" t="s">
        <v>18</v>
      </c>
      <c r="B3237" s="46" t="s">
        <v>13</v>
      </c>
      <c r="C3237" s="49"/>
      <c r="D3237" s="48">
        <v>85.2</v>
      </c>
      <c r="E3237" s="48">
        <v>85.2</v>
      </c>
    </row>
    <row r="3238">
      <c r="A3238" s="46" t="s">
        <v>18</v>
      </c>
      <c r="B3238" s="46" t="s">
        <v>15</v>
      </c>
      <c r="C3238" s="48">
        <v>107.5</v>
      </c>
      <c r="D3238" s="49"/>
      <c r="E3238" s="48">
        <v>107.5</v>
      </c>
    </row>
    <row r="3239">
      <c r="A3239" s="46" t="s">
        <v>18</v>
      </c>
      <c r="B3239" s="46" t="s">
        <v>13</v>
      </c>
      <c r="C3239" s="49"/>
      <c r="D3239" s="48">
        <v>86.3</v>
      </c>
      <c r="E3239" s="48">
        <v>86.3</v>
      </c>
    </row>
    <row r="3240">
      <c r="A3240" s="46" t="s">
        <v>18</v>
      </c>
      <c r="B3240" s="46" t="s">
        <v>13</v>
      </c>
      <c r="C3240" s="49"/>
      <c r="D3240" s="48">
        <v>93.0</v>
      </c>
      <c r="E3240" s="48">
        <v>93.0</v>
      </c>
    </row>
    <row r="3241">
      <c r="A3241" s="46" t="s">
        <v>18</v>
      </c>
      <c r="B3241" s="46" t="s">
        <v>15</v>
      </c>
      <c r="C3241" s="48">
        <v>124.6</v>
      </c>
      <c r="D3241" s="49"/>
      <c r="E3241" s="48">
        <v>124.6</v>
      </c>
    </row>
    <row r="3242">
      <c r="A3242" s="46" t="s">
        <v>18</v>
      </c>
      <c r="B3242" s="46" t="s">
        <v>14</v>
      </c>
      <c r="C3242" s="48">
        <v>114.8</v>
      </c>
      <c r="D3242" s="48">
        <v>93.3</v>
      </c>
      <c r="E3242" s="48">
        <v>112.2</v>
      </c>
    </row>
    <row r="3243">
      <c r="A3243" s="46" t="s">
        <v>18</v>
      </c>
      <c r="B3243" s="46" t="s">
        <v>15</v>
      </c>
      <c r="C3243" s="48">
        <v>115.1</v>
      </c>
      <c r="D3243" s="49"/>
      <c r="E3243" s="48">
        <v>115.1</v>
      </c>
    </row>
    <row r="3244">
      <c r="A3244" s="46" t="s">
        <v>18</v>
      </c>
      <c r="B3244" s="46" t="s">
        <v>14</v>
      </c>
      <c r="C3244" s="48">
        <v>126.4</v>
      </c>
      <c r="D3244" s="48">
        <v>101.8</v>
      </c>
      <c r="E3244" s="48">
        <v>119.2</v>
      </c>
    </row>
    <row r="3245">
      <c r="A3245" s="46" t="s">
        <v>18</v>
      </c>
      <c r="B3245" s="46" t="s">
        <v>14</v>
      </c>
      <c r="C3245" s="48">
        <v>117.9</v>
      </c>
      <c r="D3245" s="48">
        <v>91.9</v>
      </c>
      <c r="E3245" s="48">
        <v>115.1</v>
      </c>
    </row>
    <row r="3246">
      <c r="A3246" s="46" t="s">
        <v>18</v>
      </c>
      <c r="B3246" s="46" t="s">
        <v>14</v>
      </c>
      <c r="C3246" s="48">
        <v>101.2</v>
      </c>
      <c r="D3246" s="48">
        <v>79.3</v>
      </c>
      <c r="E3246" s="48">
        <v>98.9</v>
      </c>
    </row>
    <row r="3247">
      <c r="A3247" s="46" t="s">
        <v>18</v>
      </c>
      <c r="B3247" s="46" t="s">
        <v>15</v>
      </c>
      <c r="C3247" s="48">
        <v>126.4</v>
      </c>
      <c r="D3247" s="49"/>
      <c r="E3247" s="48">
        <v>126.4</v>
      </c>
    </row>
    <row r="3248">
      <c r="A3248" s="46" t="s">
        <v>18</v>
      </c>
      <c r="B3248" s="46" t="s">
        <v>13</v>
      </c>
      <c r="C3248" s="49"/>
      <c r="D3248" s="48">
        <v>90.3</v>
      </c>
      <c r="E3248" s="48">
        <v>90.3</v>
      </c>
    </row>
    <row r="3249">
      <c r="A3249" s="46" t="s">
        <v>18</v>
      </c>
      <c r="B3249" s="46" t="s">
        <v>15</v>
      </c>
      <c r="C3249" s="48">
        <v>116.8</v>
      </c>
      <c r="D3249" s="49"/>
      <c r="E3249" s="48">
        <v>116.8</v>
      </c>
    </row>
    <row r="3250">
      <c r="A3250" s="46" t="s">
        <v>18</v>
      </c>
      <c r="B3250" s="46" t="s">
        <v>15</v>
      </c>
      <c r="C3250" s="48">
        <v>131.8</v>
      </c>
      <c r="D3250" s="49"/>
      <c r="E3250" s="48">
        <v>131.8</v>
      </c>
    </row>
    <row r="3251">
      <c r="A3251" s="46" t="s">
        <v>18</v>
      </c>
      <c r="B3251" s="46" t="s">
        <v>14</v>
      </c>
      <c r="C3251" s="48">
        <v>106.2</v>
      </c>
      <c r="D3251" s="48">
        <v>75.9</v>
      </c>
      <c r="E3251" s="48">
        <v>102.2</v>
      </c>
    </row>
    <row r="3252">
      <c r="A3252" s="46" t="s">
        <v>18</v>
      </c>
      <c r="B3252" s="46" t="s">
        <v>15</v>
      </c>
      <c r="C3252" s="48">
        <v>120.3</v>
      </c>
      <c r="D3252" s="49"/>
      <c r="E3252" s="48">
        <v>120.3</v>
      </c>
    </row>
    <row r="3253">
      <c r="A3253" s="46" t="s">
        <v>18</v>
      </c>
      <c r="B3253" s="46" t="s">
        <v>15</v>
      </c>
      <c r="C3253" s="48">
        <v>110.7</v>
      </c>
      <c r="D3253" s="49"/>
      <c r="E3253" s="48">
        <v>110.7</v>
      </c>
    </row>
    <row r="3254">
      <c r="A3254" s="46" t="s">
        <v>18</v>
      </c>
      <c r="B3254" s="46" t="s">
        <v>13</v>
      </c>
      <c r="C3254" s="49"/>
      <c r="D3254" s="48">
        <v>81.0</v>
      </c>
      <c r="E3254" s="48">
        <v>81.0</v>
      </c>
    </row>
    <row r="3255">
      <c r="A3255" s="46" t="s">
        <v>18</v>
      </c>
      <c r="B3255" s="46" t="s">
        <v>14</v>
      </c>
      <c r="C3255" s="48">
        <v>139.6</v>
      </c>
      <c r="D3255" s="48">
        <v>110.2</v>
      </c>
      <c r="E3255" s="48">
        <v>139.2</v>
      </c>
    </row>
    <row r="3256">
      <c r="A3256" s="46" t="s">
        <v>18</v>
      </c>
      <c r="B3256" s="46" t="s">
        <v>15</v>
      </c>
      <c r="C3256" s="48">
        <v>136.1</v>
      </c>
      <c r="D3256" s="49"/>
      <c r="E3256" s="48">
        <v>136.1</v>
      </c>
    </row>
    <row r="3257">
      <c r="A3257" s="46" t="s">
        <v>18</v>
      </c>
      <c r="B3257" s="46" t="s">
        <v>15</v>
      </c>
      <c r="C3257" s="48">
        <v>124.0</v>
      </c>
      <c r="D3257" s="49"/>
      <c r="E3257" s="48">
        <v>124.0</v>
      </c>
    </row>
    <row r="3258">
      <c r="A3258" s="46" t="s">
        <v>18</v>
      </c>
      <c r="B3258" s="46" t="s">
        <v>15</v>
      </c>
      <c r="C3258" s="48">
        <v>129.3</v>
      </c>
      <c r="D3258" s="49"/>
      <c r="E3258" s="48">
        <v>129.3</v>
      </c>
    </row>
    <row r="3259">
      <c r="A3259" s="46" t="s">
        <v>18</v>
      </c>
      <c r="B3259" s="46" t="s">
        <v>14</v>
      </c>
      <c r="C3259" s="48">
        <v>111.3</v>
      </c>
      <c r="D3259" s="48">
        <v>82.6</v>
      </c>
      <c r="E3259" s="48">
        <v>102.0</v>
      </c>
    </row>
    <row r="3260">
      <c r="A3260" s="46" t="s">
        <v>18</v>
      </c>
      <c r="B3260" s="46" t="s">
        <v>14</v>
      </c>
      <c r="C3260" s="48">
        <v>101.4</v>
      </c>
      <c r="D3260" s="48">
        <v>79.7</v>
      </c>
      <c r="E3260" s="48">
        <v>95.1</v>
      </c>
    </row>
    <row r="3261">
      <c r="A3261" s="46" t="s">
        <v>18</v>
      </c>
      <c r="B3261" s="46" t="s">
        <v>15</v>
      </c>
      <c r="C3261" s="48">
        <v>120.7</v>
      </c>
      <c r="D3261" s="49"/>
      <c r="E3261" s="48">
        <v>120.7</v>
      </c>
    </row>
    <row r="3262">
      <c r="A3262" s="46" t="s">
        <v>18</v>
      </c>
      <c r="B3262" s="46" t="s">
        <v>15</v>
      </c>
      <c r="C3262" s="48">
        <v>120.1</v>
      </c>
      <c r="D3262" s="49"/>
      <c r="E3262" s="48">
        <v>120.1</v>
      </c>
    </row>
    <row r="3263">
      <c r="A3263" s="46" t="s">
        <v>18</v>
      </c>
      <c r="B3263" s="46" t="s">
        <v>15</v>
      </c>
      <c r="C3263" s="48">
        <v>112.9</v>
      </c>
      <c r="D3263" s="49"/>
      <c r="E3263" s="48">
        <v>112.9</v>
      </c>
    </row>
    <row r="3264">
      <c r="A3264" s="46" t="s">
        <v>18</v>
      </c>
      <c r="B3264" s="46" t="s">
        <v>14</v>
      </c>
      <c r="C3264" s="48">
        <v>101.2</v>
      </c>
      <c r="D3264" s="48">
        <v>82.7</v>
      </c>
      <c r="E3264" s="48">
        <v>94.9</v>
      </c>
    </row>
    <row r="3265">
      <c r="A3265" s="46" t="s">
        <v>18</v>
      </c>
      <c r="B3265" s="46" t="s">
        <v>14</v>
      </c>
      <c r="C3265" s="48">
        <v>113.3</v>
      </c>
      <c r="D3265" s="48">
        <v>90.8</v>
      </c>
      <c r="E3265" s="48">
        <v>106.8</v>
      </c>
    </row>
    <row r="3266">
      <c r="A3266" s="46" t="s">
        <v>18</v>
      </c>
      <c r="B3266" s="46" t="s">
        <v>13</v>
      </c>
      <c r="C3266" s="49"/>
      <c r="D3266" s="48">
        <v>81.1</v>
      </c>
      <c r="E3266" s="48">
        <v>81.1</v>
      </c>
    </row>
    <row r="3267">
      <c r="A3267" s="46" t="s">
        <v>18</v>
      </c>
      <c r="B3267" s="46" t="s">
        <v>15</v>
      </c>
      <c r="C3267" s="48">
        <v>106.5</v>
      </c>
      <c r="D3267" s="49"/>
      <c r="E3267" s="48">
        <v>106.5</v>
      </c>
    </row>
    <row r="3268">
      <c r="A3268" s="46" t="s">
        <v>18</v>
      </c>
      <c r="B3268" s="46" t="s">
        <v>15</v>
      </c>
      <c r="C3268" s="48">
        <v>140.1</v>
      </c>
      <c r="D3268" s="49"/>
      <c r="E3268" s="48">
        <v>140.1</v>
      </c>
    </row>
    <row r="3269">
      <c r="A3269" s="46" t="s">
        <v>18</v>
      </c>
      <c r="B3269" s="46" t="s">
        <v>13</v>
      </c>
      <c r="C3269" s="49"/>
      <c r="D3269" s="48">
        <v>79.4</v>
      </c>
      <c r="E3269" s="48">
        <v>79.4</v>
      </c>
    </row>
    <row r="3270">
      <c r="A3270" s="46" t="s">
        <v>18</v>
      </c>
      <c r="B3270" s="46" t="s">
        <v>14</v>
      </c>
      <c r="C3270" s="48">
        <v>114.9</v>
      </c>
      <c r="D3270" s="48">
        <v>93.9</v>
      </c>
      <c r="E3270" s="48">
        <v>109.2</v>
      </c>
    </row>
    <row r="3271">
      <c r="A3271" s="46" t="s">
        <v>18</v>
      </c>
      <c r="B3271" s="46" t="s">
        <v>14</v>
      </c>
      <c r="C3271" s="48">
        <v>113.0</v>
      </c>
      <c r="D3271" s="48">
        <v>108.4</v>
      </c>
      <c r="E3271" s="48">
        <v>108.6</v>
      </c>
    </row>
    <row r="3272">
      <c r="A3272" s="46" t="s">
        <v>18</v>
      </c>
      <c r="B3272" s="46" t="s">
        <v>14</v>
      </c>
      <c r="C3272" s="48">
        <v>114.5</v>
      </c>
      <c r="D3272" s="48">
        <v>91.3</v>
      </c>
      <c r="E3272" s="48">
        <v>108.3</v>
      </c>
    </row>
    <row r="3273">
      <c r="A3273" s="46" t="s">
        <v>18</v>
      </c>
      <c r="B3273" s="46" t="s">
        <v>15</v>
      </c>
      <c r="C3273" s="48">
        <v>115.7</v>
      </c>
      <c r="D3273" s="49"/>
      <c r="E3273" s="48">
        <v>115.7</v>
      </c>
    </row>
    <row r="3274">
      <c r="A3274" s="46" t="s">
        <v>18</v>
      </c>
      <c r="B3274" s="46" t="s">
        <v>15</v>
      </c>
      <c r="C3274" s="48">
        <v>112.2</v>
      </c>
      <c r="D3274" s="49"/>
      <c r="E3274" s="48">
        <v>112.2</v>
      </c>
    </row>
    <row r="3275">
      <c r="A3275" s="46" t="s">
        <v>18</v>
      </c>
      <c r="B3275" s="46" t="s">
        <v>13</v>
      </c>
      <c r="C3275" s="49"/>
      <c r="D3275" s="48">
        <v>83.5</v>
      </c>
      <c r="E3275" s="48">
        <v>83.5</v>
      </c>
    </row>
    <row r="3276">
      <c r="A3276" s="46" t="s">
        <v>18</v>
      </c>
      <c r="B3276" s="46" t="s">
        <v>13</v>
      </c>
      <c r="C3276" s="49"/>
      <c r="D3276" s="48">
        <v>86.5</v>
      </c>
      <c r="E3276" s="48">
        <v>86.5</v>
      </c>
    </row>
    <row r="3277">
      <c r="A3277" s="46" t="s">
        <v>18</v>
      </c>
      <c r="B3277" s="46" t="s">
        <v>14</v>
      </c>
      <c r="C3277" s="48">
        <v>121.1</v>
      </c>
      <c r="D3277" s="48">
        <v>98.7</v>
      </c>
      <c r="E3277" s="48">
        <v>105.3</v>
      </c>
    </row>
    <row r="3278">
      <c r="A3278" s="46" t="s">
        <v>18</v>
      </c>
      <c r="B3278" s="46" t="s">
        <v>15</v>
      </c>
      <c r="C3278" s="48">
        <v>98.9</v>
      </c>
      <c r="D3278" s="49"/>
      <c r="E3278" s="48">
        <v>98.9</v>
      </c>
    </row>
    <row r="3279">
      <c r="A3279" s="46" t="s">
        <v>18</v>
      </c>
      <c r="B3279" s="46" t="s">
        <v>15</v>
      </c>
      <c r="C3279" s="48">
        <v>100.1</v>
      </c>
      <c r="D3279" s="49"/>
      <c r="E3279" s="48">
        <v>100.1</v>
      </c>
    </row>
    <row r="3280">
      <c r="A3280" s="46" t="s">
        <v>18</v>
      </c>
      <c r="B3280" s="46" t="s">
        <v>15</v>
      </c>
      <c r="C3280" s="48">
        <v>106.3</v>
      </c>
      <c r="D3280" s="49"/>
      <c r="E3280" s="48">
        <v>106.3</v>
      </c>
    </row>
    <row r="3281">
      <c r="A3281" s="46" t="s">
        <v>18</v>
      </c>
      <c r="B3281" s="46" t="s">
        <v>13</v>
      </c>
      <c r="C3281" s="49"/>
      <c r="D3281" s="48">
        <v>89.6</v>
      </c>
      <c r="E3281" s="48">
        <v>89.6</v>
      </c>
    </row>
    <row r="3282">
      <c r="A3282" s="46" t="s">
        <v>18</v>
      </c>
      <c r="B3282" s="46" t="s">
        <v>13</v>
      </c>
      <c r="C3282" s="49"/>
      <c r="D3282" s="48">
        <v>83.4</v>
      </c>
      <c r="E3282" s="48">
        <v>83.4</v>
      </c>
    </row>
    <row r="3283">
      <c r="A3283" s="46" t="s">
        <v>18</v>
      </c>
      <c r="B3283" s="46" t="s">
        <v>15</v>
      </c>
      <c r="C3283" s="48">
        <v>121.2</v>
      </c>
      <c r="D3283" s="49"/>
      <c r="E3283" s="48">
        <v>121.2</v>
      </c>
    </row>
    <row r="3284">
      <c r="A3284" s="46" t="s">
        <v>18</v>
      </c>
      <c r="B3284" s="46" t="s">
        <v>15</v>
      </c>
      <c r="C3284" s="48">
        <v>115.1</v>
      </c>
      <c r="D3284" s="49"/>
      <c r="E3284" s="48">
        <v>115.1</v>
      </c>
    </row>
    <row r="3285">
      <c r="A3285" s="46" t="s">
        <v>18</v>
      </c>
      <c r="B3285" s="46" t="s">
        <v>15</v>
      </c>
      <c r="C3285" s="48">
        <v>119.2</v>
      </c>
      <c r="D3285" s="49"/>
      <c r="E3285" s="48">
        <v>119.2</v>
      </c>
    </row>
    <row r="3286">
      <c r="A3286" s="46" t="s">
        <v>18</v>
      </c>
      <c r="B3286" s="46" t="s">
        <v>15</v>
      </c>
      <c r="C3286" s="48">
        <v>140.0</v>
      </c>
      <c r="D3286" s="49"/>
      <c r="E3286" s="48">
        <v>140.0</v>
      </c>
    </row>
    <row r="3287">
      <c r="A3287" s="46" t="s">
        <v>18</v>
      </c>
      <c r="B3287" s="46" t="s">
        <v>15</v>
      </c>
      <c r="C3287" s="48">
        <v>140.9</v>
      </c>
      <c r="D3287" s="49"/>
      <c r="E3287" s="48">
        <v>140.9</v>
      </c>
    </row>
    <row r="3288">
      <c r="A3288" s="46" t="s">
        <v>18</v>
      </c>
      <c r="B3288" s="46" t="s">
        <v>15</v>
      </c>
      <c r="C3288" s="48">
        <v>126.8</v>
      </c>
      <c r="D3288" s="49"/>
      <c r="E3288" s="48">
        <v>126.8</v>
      </c>
    </row>
    <row r="3289">
      <c r="A3289" s="46" t="s">
        <v>18</v>
      </c>
      <c r="B3289" s="46" t="s">
        <v>14</v>
      </c>
      <c r="C3289" s="48">
        <v>127.3</v>
      </c>
      <c r="D3289" s="48">
        <v>82.7</v>
      </c>
      <c r="E3289" s="48">
        <v>110.0</v>
      </c>
    </row>
    <row r="3290">
      <c r="A3290" s="46" t="s">
        <v>18</v>
      </c>
      <c r="B3290" s="46" t="s">
        <v>13</v>
      </c>
      <c r="C3290" s="49"/>
      <c r="D3290" s="48">
        <v>83.9</v>
      </c>
      <c r="E3290" s="48">
        <v>83.9</v>
      </c>
    </row>
    <row r="3291">
      <c r="A3291" s="46" t="s">
        <v>18</v>
      </c>
      <c r="B3291" s="46" t="s">
        <v>15</v>
      </c>
      <c r="C3291" s="48">
        <v>119.0</v>
      </c>
      <c r="D3291" s="49"/>
      <c r="E3291" s="48">
        <v>119.0</v>
      </c>
    </row>
    <row r="3292">
      <c r="A3292" s="46" t="s">
        <v>18</v>
      </c>
      <c r="B3292" s="46" t="s">
        <v>15</v>
      </c>
      <c r="C3292" s="48">
        <v>118.6</v>
      </c>
      <c r="D3292" s="49"/>
      <c r="E3292" s="48">
        <v>118.6</v>
      </c>
    </row>
    <row r="3293">
      <c r="A3293" s="46" t="s">
        <v>18</v>
      </c>
      <c r="B3293" s="46" t="s">
        <v>13</v>
      </c>
      <c r="C3293" s="49"/>
      <c r="D3293" s="48">
        <v>89.0</v>
      </c>
      <c r="E3293" s="48">
        <v>89.0</v>
      </c>
    </row>
    <row r="3294">
      <c r="A3294" s="46" t="s">
        <v>18</v>
      </c>
      <c r="B3294" s="46" t="s">
        <v>15</v>
      </c>
      <c r="C3294" s="48">
        <v>127.5</v>
      </c>
      <c r="D3294" s="49"/>
      <c r="E3294" s="48">
        <v>127.5</v>
      </c>
    </row>
    <row r="3295">
      <c r="A3295" s="46" t="s">
        <v>18</v>
      </c>
      <c r="B3295" s="46" t="s">
        <v>14</v>
      </c>
      <c r="C3295" s="48">
        <v>111.7</v>
      </c>
      <c r="D3295" s="48">
        <v>80.8</v>
      </c>
      <c r="E3295" s="48">
        <v>107.8</v>
      </c>
    </row>
    <row r="3296">
      <c r="A3296" s="46" t="s">
        <v>18</v>
      </c>
      <c r="B3296" s="46" t="s">
        <v>13</v>
      </c>
      <c r="C3296" s="49"/>
      <c r="D3296" s="48">
        <v>82.4</v>
      </c>
      <c r="E3296" s="48">
        <v>82.4</v>
      </c>
    </row>
    <row r="3297">
      <c r="A3297" s="46" t="s">
        <v>18</v>
      </c>
      <c r="B3297" s="46" t="s">
        <v>14</v>
      </c>
      <c r="C3297" s="48">
        <v>116.9</v>
      </c>
      <c r="D3297" s="48">
        <v>87.9</v>
      </c>
      <c r="E3297" s="48">
        <v>108.5</v>
      </c>
    </row>
    <row r="3298">
      <c r="A3298" s="46" t="s">
        <v>18</v>
      </c>
      <c r="B3298" s="46" t="s">
        <v>13</v>
      </c>
      <c r="C3298" s="49"/>
      <c r="D3298" s="48">
        <v>94.2</v>
      </c>
      <c r="E3298" s="48">
        <v>94.2</v>
      </c>
    </row>
    <row r="3299">
      <c r="A3299" s="46" t="s">
        <v>18</v>
      </c>
      <c r="B3299" s="46" t="s">
        <v>13</v>
      </c>
      <c r="C3299" s="49"/>
      <c r="D3299" s="48">
        <v>88.5</v>
      </c>
      <c r="E3299" s="48">
        <v>88.5</v>
      </c>
    </row>
    <row r="3300">
      <c r="A3300" s="46" t="s">
        <v>18</v>
      </c>
      <c r="B3300" s="46" t="s">
        <v>15</v>
      </c>
      <c r="C3300" s="48">
        <v>117.5</v>
      </c>
      <c r="D3300" s="49"/>
      <c r="E3300" s="48">
        <v>117.5</v>
      </c>
    </row>
    <row r="3301">
      <c r="A3301" s="46" t="s">
        <v>18</v>
      </c>
      <c r="B3301" s="46" t="s">
        <v>14</v>
      </c>
      <c r="C3301" s="48">
        <v>118.1</v>
      </c>
      <c r="D3301" s="48">
        <v>93.4</v>
      </c>
      <c r="E3301" s="48">
        <v>112.3</v>
      </c>
    </row>
    <row r="3302">
      <c r="A3302" s="46" t="s">
        <v>18</v>
      </c>
      <c r="B3302" s="46" t="s">
        <v>15</v>
      </c>
      <c r="C3302" s="48">
        <v>109.3</v>
      </c>
      <c r="D3302" s="49"/>
      <c r="E3302" s="48">
        <v>109.3</v>
      </c>
    </row>
    <row r="3303">
      <c r="A3303" s="46" t="s">
        <v>18</v>
      </c>
      <c r="B3303" s="46" t="s">
        <v>14</v>
      </c>
      <c r="C3303" s="48">
        <v>107.8</v>
      </c>
      <c r="D3303" s="48">
        <v>84.3</v>
      </c>
      <c r="E3303" s="48">
        <v>87.0</v>
      </c>
    </row>
    <row r="3304">
      <c r="A3304" s="46" t="s">
        <v>18</v>
      </c>
      <c r="B3304" s="46" t="s">
        <v>14</v>
      </c>
      <c r="C3304" s="48">
        <v>106.3</v>
      </c>
      <c r="D3304" s="48">
        <v>90.2</v>
      </c>
      <c r="E3304" s="48">
        <v>103.8</v>
      </c>
    </row>
    <row r="3305">
      <c r="A3305" s="46" t="s">
        <v>18</v>
      </c>
      <c r="B3305" s="46" t="s">
        <v>14</v>
      </c>
      <c r="C3305" s="48">
        <v>111.1</v>
      </c>
      <c r="D3305" s="48">
        <v>88.2</v>
      </c>
      <c r="E3305" s="48">
        <v>102.3</v>
      </c>
    </row>
    <row r="3306">
      <c r="A3306" s="46" t="s">
        <v>18</v>
      </c>
      <c r="B3306" s="46" t="s">
        <v>15</v>
      </c>
      <c r="C3306" s="48">
        <v>111.0</v>
      </c>
      <c r="D3306" s="49"/>
      <c r="E3306" s="48">
        <v>111.0</v>
      </c>
    </row>
    <row r="3307">
      <c r="A3307" s="46" t="s">
        <v>18</v>
      </c>
      <c r="B3307" s="46" t="s">
        <v>14</v>
      </c>
      <c r="C3307" s="48">
        <v>110.0</v>
      </c>
      <c r="D3307" s="48">
        <v>91.1</v>
      </c>
      <c r="E3307" s="48">
        <v>95.5</v>
      </c>
    </row>
    <row r="3308">
      <c r="A3308" s="46" t="s">
        <v>18</v>
      </c>
      <c r="B3308" s="46" t="s">
        <v>13</v>
      </c>
      <c r="C3308" s="49"/>
      <c r="D3308" s="48">
        <v>87.1</v>
      </c>
      <c r="E3308" s="48">
        <v>87.1</v>
      </c>
    </row>
    <row r="3309">
      <c r="A3309" s="46" t="s">
        <v>18</v>
      </c>
      <c r="B3309" s="46" t="s">
        <v>14</v>
      </c>
      <c r="C3309" s="48">
        <v>108.9</v>
      </c>
      <c r="D3309" s="48">
        <v>83.8</v>
      </c>
      <c r="E3309" s="48">
        <v>95.3</v>
      </c>
    </row>
    <row r="3310">
      <c r="A3310" s="46" t="s">
        <v>18</v>
      </c>
      <c r="B3310" s="46" t="s">
        <v>15</v>
      </c>
      <c r="C3310" s="48">
        <v>112.4</v>
      </c>
      <c r="D3310" s="49"/>
      <c r="E3310" s="48">
        <v>112.4</v>
      </c>
    </row>
    <row r="3311">
      <c r="A3311" s="46" t="s">
        <v>18</v>
      </c>
      <c r="B3311" s="46" t="s">
        <v>14</v>
      </c>
      <c r="C3311" s="48">
        <v>105.0</v>
      </c>
      <c r="D3311" s="48">
        <v>87.1</v>
      </c>
      <c r="E3311" s="48">
        <v>98.4</v>
      </c>
    </row>
    <row r="3312">
      <c r="A3312" s="46" t="s">
        <v>18</v>
      </c>
      <c r="B3312" s="46" t="s">
        <v>15</v>
      </c>
      <c r="C3312" s="48">
        <v>123.6</v>
      </c>
      <c r="D3312" s="49"/>
      <c r="E3312" s="48">
        <v>123.6</v>
      </c>
    </row>
    <row r="3313">
      <c r="A3313" s="46" t="s">
        <v>18</v>
      </c>
      <c r="B3313" s="46" t="s">
        <v>14</v>
      </c>
      <c r="C3313" s="48">
        <v>98.4</v>
      </c>
      <c r="D3313" s="48">
        <v>79.5</v>
      </c>
      <c r="E3313" s="48">
        <v>90.3</v>
      </c>
    </row>
    <row r="3314">
      <c r="A3314" s="46" t="s">
        <v>18</v>
      </c>
      <c r="B3314" s="46" t="s">
        <v>15</v>
      </c>
      <c r="C3314" s="48">
        <v>92.9</v>
      </c>
      <c r="D3314" s="49"/>
      <c r="E3314" s="48">
        <v>92.9</v>
      </c>
    </row>
    <row r="3315">
      <c r="A3315" s="46" t="s">
        <v>18</v>
      </c>
      <c r="B3315" s="46" t="s">
        <v>14</v>
      </c>
      <c r="C3315" s="48">
        <v>115.1</v>
      </c>
      <c r="D3315" s="48">
        <v>88.8</v>
      </c>
      <c r="E3315" s="48">
        <v>113.2</v>
      </c>
    </row>
    <row r="3316">
      <c r="A3316" s="46" t="s">
        <v>18</v>
      </c>
      <c r="B3316" s="46" t="s">
        <v>15</v>
      </c>
      <c r="C3316" s="48">
        <v>114.3</v>
      </c>
      <c r="D3316" s="49"/>
      <c r="E3316" s="48">
        <v>114.3</v>
      </c>
    </row>
    <row r="3317">
      <c r="A3317" s="46" t="s">
        <v>18</v>
      </c>
      <c r="B3317" s="46" t="s">
        <v>13</v>
      </c>
      <c r="C3317" s="49"/>
      <c r="D3317" s="48">
        <v>81.2</v>
      </c>
      <c r="E3317" s="48">
        <v>81.2</v>
      </c>
    </row>
    <row r="3318">
      <c r="A3318" s="46" t="s">
        <v>18</v>
      </c>
      <c r="B3318" s="46" t="s">
        <v>15</v>
      </c>
      <c r="C3318" s="48">
        <v>117.5</v>
      </c>
      <c r="D3318" s="49"/>
      <c r="E3318" s="48">
        <v>117.5</v>
      </c>
    </row>
    <row r="3319">
      <c r="A3319" s="46" t="s">
        <v>18</v>
      </c>
      <c r="B3319" s="46" t="s">
        <v>15</v>
      </c>
      <c r="C3319" s="48">
        <v>112.6</v>
      </c>
      <c r="D3319" s="49"/>
      <c r="E3319" s="48">
        <v>112.6</v>
      </c>
    </row>
    <row r="3320">
      <c r="A3320" s="46" t="s">
        <v>18</v>
      </c>
      <c r="B3320" s="46" t="s">
        <v>15</v>
      </c>
      <c r="C3320" s="48">
        <v>105.0</v>
      </c>
      <c r="D3320" s="49"/>
      <c r="E3320" s="48">
        <v>105.0</v>
      </c>
    </row>
    <row r="3321">
      <c r="A3321" s="46" t="s">
        <v>18</v>
      </c>
      <c r="B3321" s="46" t="s">
        <v>13</v>
      </c>
      <c r="C3321" s="49"/>
      <c r="D3321" s="48">
        <v>73.3</v>
      </c>
      <c r="E3321" s="48">
        <v>73.3</v>
      </c>
    </row>
    <row r="3322">
      <c r="A3322" s="46" t="s">
        <v>18</v>
      </c>
      <c r="B3322" s="46" t="s">
        <v>14</v>
      </c>
      <c r="C3322" s="48">
        <v>115.6</v>
      </c>
      <c r="D3322" s="48">
        <v>98.2</v>
      </c>
      <c r="E3322" s="48">
        <v>110.8</v>
      </c>
    </row>
    <row r="3323">
      <c r="A3323" s="46" t="s">
        <v>18</v>
      </c>
      <c r="B3323" s="46" t="s">
        <v>13</v>
      </c>
      <c r="C3323" s="49"/>
      <c r="D3323" s="48">
        <v>79.9</v>
      </c>
      <c r="E3323" s="48">
        <v>79.9</v>
      </c>
    </row>
    <row r="3324">
      <c r="A3324" s="46" t="s">
        <v>18</v>
      </c>
      <c r="B3324" s="46" t="s">
        <v>13</v>
      </c>
      <c r="C3324" s="49"/>
      <c r="D3324" s="48">
        <v>103.8</v>
      </c>
      <c r="E3324" s="48">
        <v>103.8</v>
      </c>
    </row>
    <row r="3325">
      <c r="A3325" s="46" t="s">
        <v>18</v>
      </c>
      <c r="B3325" s="46" t="s">
        <v>13</v>
      </c>
      <c r="C3325" s="49"/>
      <c r="D3325" s="48">
        <v>92.1</v>
      </c>
      <c r="E3325" s="48">
        <v>92.1</v>
      </c>
    </row>
    <row r="3326">
      <c r="A3326" s="46" t="s">
        <v>18</v>
      </c>
      <c r="B3326" s="46" t="s">
        <v>15</v>
      </c>
      <c r="C3326" s="48">
        <v>125.8</v>
      </c>
      <c r="D3326" s="49"/>
      <c r="E3326" s="48">
        <v>125.8</v>
      </c>
    </row>
    <row r="3327">
      <c r="A3327" s="46" t="s">
        <v>18</v>
      </c>
      <c r="B3327" s="46" t="s">
        <v>14</v>
      </c>
      <c r="C3327" s="48">
        <v>108.6</v>
      </c>
      <c r="D3327" s="48">
        <v>76.1</v>
      </c>
      <c r="E3327" s="48">
        <v>98.9</v>
      </c>
    </row>
    <row r="3328">
      <c r="A3328" s="46" t="s">
        <v>18</v>
      </c>
      <c r="B3328" s="46" t="s">
        <v>13</v>
      </c>
      <c r="C3328" s="49"/>
      <c r="D3328" s="48">
        <v>84.4</v>
      </c>
      <c r="E3328" s="48">
        <v>84.4</v>
      </c>
    </row>
    <row r="3329">
      <c r="A3329" s="46" t="s">
        <v>18</v>
      </c>
      <c r="B3329" s="46" t="s">
        <v>14</v>
      </c>
      <c r="C3329" s="48">
        <v>99.9</v>
      </c>
      <c r="D3329" s="48">
        <v>85.7</v>
      </c>
      <c r="E3329" s="48">
        <v>95.4</v>
      </c>
    </row>
    <row r="3330">
      <c r="A3330" s="46" t="s">
        <v>18</v>
      </c>
      <c r="B3330" s="46" t="s">
        <v>14</v>
      </c>
      <c r="C3330" s="48">
        <v>98.5</v>
      </c>
      <c r="D3330" s="48">
        <v>84.3</v>
      </c>
      <c r="E3330" s="48">
        <v>87.4</v>
      </c>
    </row>
    <row r="3331">
      <c r="A3331" s="46" t="s">
        <v>18</v>
      </c>
      <c r="B3331" s="46" t="s">
        <v>15</v>
      </c>
      <c r="C3331" s="48">
        <v>112.5</v>
      </c>
      <c r="D3331" s="49"/>
      <c r="E3331" s="48">
        <v>112.5</v>
      </c>
    </row>
    <row r="3332">
      <c r="A3332" s="46" t="s">
        <v>18</v>
      </c>
      <c r="B3332" s="46" t="s">
        <v>14</v>
      </c>
      <c r="C3332" s="48">
        <v>92.6</v>
      </c>
      <c r="D3332" s="48">
        <v>85.9</v>
      </c>
      <c r="E3332" s="48">
        <v>91.7</v>
      </c>
    </row>
    <row r="3333">
      <c r="A3333" s="46" t="s">
        <v>18</v>
      </c>
      <c r="B3333" s="46" t="s">
        <v>15</v>
      </c>
      <c r="C3333" s="48">
        <v>114.4</v>
      </c>
      <c r="D3333" s="49"/>
      <c r="E3333" s="48">
        <v>114.4</v>
      </c>
    </row>
    <row r="3334">
      <c r="A3334" s="46" t="s">
        <v>18</v>
      </c>
      <c r="B3334" s="46" t="s">
        <v>15</v>
      </c>
      <c r="C3334" s="48">
        <v>114.7</v>
      </c>
      <c r="D3334" s="49"/>
      <c r="E3334" s="48">
        <v>114.7</v>
      </c>
    </row>
    <row r="3335">
      <c r="A3335" s="46" t="s">
        <v>18</v>
      </c>
      <c r="B3335" s="46" t="s">
        <v>14</v>
      </c>
      <c r="C3335" s="48">
        <v>90.1</v>
      </c>
      <c r="D3335" s="48">
        <v>70.0</v>
      </c>
      <c r="E3335" s="48">
        <v>82.6</v>
      </c>
    </row>
    <row r="3336">
      <c r="A3336" s="46" t="s">
        <v>18</v>
      </c>
      <c r="B3336" s="46" t="s">
        <v>15</v>
      </c>
      <c r="C3336" s="48">
        <v>86.8</v>
      </c>
      <c r="D3336" s="49"/>
      <c r="E3336" s="48">
        <v>86.8</v>
      </c>
    </row>
    <row r="3337">
      <c r="A3337" s="46" t="s">
        <v>18</v>
      </c>
      <c r="B3337" s="46" t="s">
        <v>15</v>
      </c>
      <c r="C3337" s="48">
        <v>108.7</v>
      </c>
      <c r="D3337" s="49"/>
      <c r="E3337" s="48">
        <v>108.7</v>
      </c>
    </row>
    <row r="3338">
      <c r="A3338" s="46" t="s">
        <v>18</v>
      </c>
      <c r="B3338" s="46" t="s">
        <v>15</v>
      </c>
      <c r="C3338" s="48">
        <v>88.2</v>
      </c>
      <c r="D3338" s="49"/>
      <c r="E3338" s="48">
        <v>88.2</v>
      </c>
    </row>
    <row r="3339">
      <c r="A3339" s="46" t="s">
        <v>18</v>
      </c>
      <c r="B3339" s="46" t="s">
        <v>15</v>
      </c>
      <c r="C3339" s="48">
        <v>101.4</v>
      </c>
      <c r="D3339" s="49"/>
      <c r="E3339" s="48">
        <v>101.4</v>
      </c>
    </row>
    <row r="3340">
      <c r="A3340" s="46" t="s">
        <v>18</v>
      </c>
      <c r="B3340" s="46" t="s">
        <v>15</v>
      </c>
      <c r="C3340" s="48">
        <v>85.7</v>
      </c>
      <c r="D3340" s="49"/>
      <c r="E3340" s="48">
        <v>85.7</v>
      </c>
    </row>
    <row r="3341">
      <c r="A3341" s="46" t="s">
        <v>18</v>
      </c>
      <c r="B3341" s="46" t="s">
        <v>13</v>
      </c>
      <c r="C3341" s="49"/>
      <c r="D3341" s="48">
        <v>77.2</v>
      </c>
      <c r="E3341" s="48">
        <v>77.2</v>
      </c>
    </row>
    <row r="3342">
      <c r="A3342" s="46" t="s">
        <v>18</v>
      </c>
      <c r="B3342" s="46" t="s">
        <v>15</v>
      </c>
      <c r="C3342" s="48">
        <v>88.5</v>
      </c>
      <c r="D3342" s="49"/>
      <c r="E3342" s="48">
        <v>88.5</v>
      </c>
    </row>
    <row r="3343">
      <c r="A3343" s="46" t="s">
        <v>18</v>
      </c>
      <c r="B3343" s="46" t="s">
        <v>13</v>
      </c>
      <c r="C3343" s="49"/>
      <c r="D3343" s="48">
        <v>73.1</v>
      </c>
      <c r="E3343" s="48">
        <v>73.1</v>
      </c>
    </row>
    <row r="3344">
      <c r="A3344" s="46" t="s">
        <v>18</v>
      </c>
      <c r="B3344" s="46" t="s">
        <v>13</v>
      </c>
      <c r="C3344" s="49"/>
      <c r="D3344" s="48">
        <v>64.7</v>
      </c>
      <c r="E3344" s="48">
        <v>64.7</v>
      </c>
    </row>
    <row r="3345">
      <c r="A3345" s="46" t="s">
        <v>18</v>
      </c>
      <c r="B3345" s="46" t="s">
        <v>13</v>
      </c>
      <c r="C3345" s="49"/>
      <c r="D3345" s="48">
        <v>72.4</v>
      </c>
      <c r="E3345" s="48">
        <v>72.4</v>
      </c>
    </row>
    <row r="3346">
      <c r="A3346" s="46" t="s">
        <v>18</v>
      </c>
      <c r="B3346" s="46" t="s">
        <v>13</v>
      </c>
      <c r="C3346" s="49"/>
      <c r="D3346" s="48">
        <v>70.1</v>
      </c>
      <c r="E3346" s="48">
        <v>70.1</v>
      </c>
    </row>
    <row r="3347">
      <c r="A3347" s="46" t="s">
        <v>18</v>
      </c>
      <c r="B3347" s="46" t="s">
        <v>13</v>
      </c>
      <c r="C3347" s="49"/>
      <c r="D3347" s="48">
        <v>71.7</v>
      </c>
      <c r="E3347" s="48">
        <v>71.7</v>
      </c>
    </row>
    <row r="3348">
      <c r="A3348" s="46" t="s">
        <v>18</v>
      </c>
      <c r="B3348" s="46" t="s">
        <v>14</v>
      </c>
      <c r="C3348" s="48">
        <v>73.5</v>
      </c>
      <c r="D3348" s="48">
        <v>69.1</v>
      </c>
      <c r="E3348" s="48">
        <v>71.6</v>
      </c>
    </row>
    <row r="3349">
      <c r="A3349" s="46" t="s">
        <v>18</v>
      </c>
      <c r="B3349" s="46" t="s">
        <v>14</v>
      </c>
      <c r="C3349" s="48">
        <v>132.8</v>
      </c>
      <c r="D3349" s="48">
        <v>100.6</v>
      </c>
      <c r="E3349" s="48">
        <v>130.8</v>
      </c>
    </row>
    <row r="3350">
      <c r="A3350" s="46" t="s">
        <v>18</v>
      </c>
      <c r="B3350" s="46" t="s">
        <v>14</v>
      </c>
      <c r="C3350" s="48">
        <v>104.3</v>
      </c>
      <c r="D3350" s="48">
        <v>84.2</v>
      </c>
      <c r="E3350" s="48">
        <v>99.7</v>
      </c>
    </row>
    <row r="3351">
      <c r="A3351" s="46" t="s">
        <v>18</v>
      </c>
      <c r="B3351" s="46" t="s">
        <v>15</v>
      </c>
      <c r="C3351" s="48">
        <v>104.5</v>
      </c>
      <c r="D3351" s="49"/>
      <c r="E3351" s="48">
        <v>104.5</v>
      </c>
    </row>
    <row r="3352">
      <c r="A3352" s="46" t="s">
        <v>18</v>
      </c>
      <c r="B3352" s="46" t="s">
        <v>15</v>
      </c>
      <c r="C3352" s="48">
        <v>110.7</v>
      </c>
      <c r="D3352" s="49"/>
      <c r="E3352" s="48">
        <v>110.7</v>
      </c>
    </row>
    <row r="3353">
      <c r="A3353" s="46" t="s">
        <v>18</v>
      </c>
      <c r="B3353" s="46" t="s">
        <v>13</v>
      </c>
      <c r="C3353" s="49"/>
      <c r="D3353" s="48">
        <v>85.8</v>
      </c>
      <c r="E3353" s="48">
        <v>85.8</v>
      </c>
    </row>
    <row r="3354">
      <c r="A3354" s="46" t="s">
        <v>18</v>
      </c>
      <c r="B3354" s="46" t="s">
        <v>15</v>
      </c>
      <c r="C3354" s="48">
        <v>93.2</v>
      </c>
      <c r="D3354" s="49"/>
      <c r="E3354" s="48">
        <v>93.2</v>
      </c>
    </row>
    <row r="3355">
      <c r="A3355" s="46" t="s">
        <v>18</v>
      </c>
      <c r="B3355" s="46" t="s">
        <v>13</v>
      </c>
      <c r="C3355" s="49"/>
      <c r="D3355" s="48">
        <v>75.5</v>
      </c>
      <c r="E3355" s="48">
        <v>75.5</v>
      </c>
    </row>
    <row r="3356">
      <c r="A3356" s="46" t="s">
        <v>18</v>
      </c>
      <c r="B3356" s="46" t="s">
        <v>14</v>
      </c>
      <c r="C3356" s="48">
        <v>107.1</v>
      </c>
      <c r="D3356" s="48">
        <v>81.0</v>
      </c>
      <c r="E3356" s="48">
        <v>100.4</v>
      </c>
    </row>
    <row r="3357">
      <c r="A3357" s="46" t="s">
        <v>18</v>
      </c>
      <c r="B3357" s="46" t="s">
        <v>14</v>
      </c>
      <c r="C3357" s="48">
        <v>104.7</v>
      </c>
      <c r="D3357" s="48">
        <v>83.3</v>
      </c>
      <c r="E3357" s="48">
        <v>100.7</v>
      </c>
    </row>
    <row r="3358">
      <c r="A3358" s="46" t="s">
        <v>18</v>
      </c>
      <c r="B3358" s="46" t="s">
        <v>14</v>
      </c>
      <c r="C3358" s="48">
        <v>99.7</v>
      </c>
      <c r="D3358" s="48">
        <v>73.8</v>
      </c>
      <c r="E3358" s="48">
        <v>92.5</v>
      </c>
    </row>
    <row r="3359">
      <c r="A3359" s="46" t="s">
        <v>18</v>
      </c>
      <c r="B3359" s="46" t="s">
        <v>14</v>
      </c>
      <c r="C3359" s="48">
        <v>110.0</v>
      </c>
      <c r="D3359" s="48">
        <v>79.7</v>
      </c>
      <c r="E3359" s="48">
        <v>102.7</v>
      </c>
    </row>
    <row r="3360">
      <c r="A3360" s="46" t="s">
        <v>18</v>
      </c>
      <c r="B3360" s="46" t="s">
        <v>13</v>
      </c>
      <c r="C3360" s="49"/>
      <c r="D3360" s="48">
        <v>70.7</v>
      </c>
      <c r="E3360" s="48">
        <v>70.7</v>
      </c>
    </row>
    <row r="3361">
      <c r="A3361" s="46" t="s">
        <v>18</v>
      </c>
      <c r="B3361" s="46" t="s">
        <v>14</v>
      </c>
      <c r="C3361" s="48">
        <v>95.7</v>
      </c>
      <c r="D3361" s="48">
        <v>75.3</v>
      </c>
      <c r="E3361" s="48">
        <v>91.2</v>
      </c>
    </row>
    <row r="3362">
      <c r="A3362" s="46" t="s">
        <v>18</v>
      </c>
      <c r="B3362" s="46" t="s">
        <v>14</v>
      </c>
      <c r="C3362" s="48">
        <v>92.4</v>
      </c>
      <c r="D3362" s="48">
        <v>69.7</v>
      </c>
      <c r="E3362" s="48">
        <v>79.1</v>
      </c>
    </row>
    <row r="3363">
      <c r="A3363" s="46" t="s">
        <v>18</v>
      </c>
      <c r="B3363" s="46" t="s">
        <v>15</v>
      </c>
      <c r="C3363" s="48">
        <v>103.2</v>
      </c>
      <c r="D3363" s="49"/>
      <c r="E3363" s="48">
        <v>103.2</v>
      </c>
    </row>
    <row r="3364">
      <c r="A3364" s="46" t="s">
        <v>18</v>
      </c>
      <c r="B3364" s="46" t="s">
        <v>13</v>
      </c>
      <c r="C3364" s="49"/>
      <c r="D3364" s="48">
        <v>76.5</v>
      </c>
      <c r="E3364" s="48">
        <v>76.5</v>
      </c>
    </row>
    <row r="3365">
      <c r="A3365" s="46" t="s">
        <v>18</v>
      </c>
      <c r="B3365" s="46" t="s">
        <v>15</v>
      </c>
      <c r="C3365" s="48">
        <v>106.6</v>
      </c>
      <c r="D3365" s="49"/>
      <c r="E3365" s="48">
        <v>106.6</v>
      </c>
    </row>
    <row r="3366">
      <c r="A3366" s="46" t="s">
        <v>18</v>
      </c>
      <c r="B3366" s="46" t="s">
        <v>13</v>
      </c>
      <c r="C3366" s="49"/>
      <c r="D3366" s="48">
        <v>81.2</v>
      </c>
      <c r="E3366" s="48">
        <v>81.2</v>
      </c>
    </row>
    <row r="3367">
      <c r="A3367" s="46" t="s">
        <v>18</v>
      </c>
      <c r="B3367" s="46" t="s">
        <v>13</v>
      </c>
      <c r="C3367" s="49"/>
      <c r="D3367" s="48">
        <v>69.4</v>
      </c>
      <c r="E3367" s="48">
        <v>69.4</v>
      </c>
    </row>
    <row r="3368">
      <c r="A3368" s="46" t="s">
        <v>18</v>
      </c>
      <c r="B3368" s="46" t="s">
        <v>15</v>
      </c>
      <c r="C3368" s="48">
        <v>111.6</v>
      </c>
      <c r="D3368" s="49"/>
      <c r="E3368" s="48">
        <v>111.6</v>
      </c>
    </row>
    <row r="3369">
      <c r="A3369" s="46" t="s">
        <v>18</v>
      </c>
      <c r="B3369" s="46" t="s">
        <v>14</v>
      </c>
      <c r="C3369" s="48">
        <v>97.8</v>
      </c>
      <c r="D3369" s="48">
        <v>73.8</v>
      </c>
      <c r="E3369" s="48">
        <v>88.7</v>
      </c>
    </row>
    <row r="3370">
      <c r="A3370" s="46" t="s">
        <v>18</v>
      </c>
      <c r="B3370" s="46" t="s">
        <v>13</v>
      </c>
      <c r="C3370" s="49"/>
      <c r="D3370" s="48">
        <v>83.9</v>
      </c>
      <c r="E3370" s="48">
        <v>83.9</v>
      </c>
    </row>
    <row r="3371">
      <c r="A3371" s="46" t="s">
        <v>18</v>
      </c>
      <c r="B3371" s="46" t="s">
        <v>13</v>
      </c>
      <c r="C3371" s="49"/>
      <c r="D3371" s="48">
        <v>76.8</v>
      </c>
      <c r="E3371" s="48">
        <v>76.8</v>
      </c>
    </row>
    <row r="3372">
      <c r="A3372" s="46" t="s">
        <v>18</v>
      </c>
      <c r="B3372" s="46" t="s">
        <v>15</v>
      </c>
      <c r="C3372" s="48">
        <v>124.0</v>
      </c>
      <c r="D3372" s="49"/>
      <c r="E3372" s="48">
        <v>124.0</v>
      </c>
    </row>
    <row r="3373">
      <c r="A3373" s="46" t="s">
        <v>18</v>
      </c>
      <c r="B3373" s="46" t="s">
        <v>14</v>
      </c>
      <c r="C3373" s="48">
        <v>121.9</v>
      </c>
      <c r="D3373" s="48">
        <v>92.3</v>
      </c>
      <c r="E3373" s="48">
        <v>104.3</v>
      </c>
    </row>
    <row r="3374">
      <c r="A3374" s="46" t="s">
        <v>18</v>
      </c>
      <c r="B3374" s="46" t="s">
        <v>15</v>
      </c>
      <c r="C3374" s="48">
        <v>107.1</v>
      </c>
      <c r="D3374" s="49"/>
      <c r="E3374" s="48">
        <v>107.1</v>
      </c>
    </row>
    <row r="3375">
      <c r="A3375" s="46" t="s">
        <v>18</v>
      </c>
      <c r="B3375" s="46" t="s">
        <v>15</v>
      </c>
      <c r="C3375" s="48">
        <v>114.0</v>
      </c>
      <c r="D3375" s="49"/>
      <c r="E3375" s="48">
        <v>114.0</v>
      </c>
    </row>
    <row r="3376">
      <c r="A3376" s="46" t="s">
        <v>18</v>
      </c>
      <c r="B3376" s="46" t="s">
        <v>15</v>
      </c>
      <c r="C3376" s="48">
        <v>112.0</v>
      </c>
      <c r="D3376" s="49"/>
      <c r="E3376" s="48">
        <v>112.0</v>
      </c>
    </row>
    <row r="3377">
      <c r="A3377" s="46" t="s">
        <v>18</v>
      </c>
      <c r="B3377" s="46" t="s">
        <v>15</v>
      </c>
      <c r="C3377" s="48">
        <v>124.0</v>
      </c>
      <c r="D3377" s="49"/>
      <c r="E3377" s="48">
        <v>124.0</v>
      </c>
    </row>
    <row r="3378">
      <c r="A3378" s="46" t="s">
        <v>18</v>
      </c>
      <c r="B3378" s="46" t="s">
        <v>15</v>
      </c>
      <c r="C3378" s="48">
        <v>117.0</v>
      </c>
      <c r="D3378" s="49"/>
      <c r="E3378" s="48">
        <v>117.0</v>
      </c>
    </row>
    <row r="3379">
      <c r="A3379" s="46" t="s">
        <v>18</v>
      </c>
      <c r="B3379" s="46" t="s">
        <v>14</v>
      </c>
      <c r="C3379" s="48">
        <v>116.5</v>
      </c>
      <c r="D3379" s="48">
        <v>93.9</v>
      </c>
      <c r="E3379" s="48">
        <v>107.7</v>
      </c>
    </row>
    <row r="3380">
      <c r="A3380" s="46" t="s">
        <v>18</v>
      </c>
      <c r="B3380" s="46" t="s">
        <v>13</v>
      </c>
      <c r="C3380" s="49"/>
      <c r="D3380" s="48">
        <v>87.0</v>
      </c>
      <c r="E3380" s="48">
        <v>87.0</v>
      </c>
    </row>
    <row r="3381">
      <c r="A3381" s="46" t="s">
        <v>18</v>
      </c>
      <c r="B3381" s="46" t="s">
        <v>15</v>
      </c>
      <c r="C3381" s="48">
        <v>108.4</v>
      </c>
      <c r="D3381" s="49"/>
      <c r="E3381" s="48">
        <v>108.4</v>
      </c>
    </row>
    <row r="3382">
      <c r="A3382" s="46" t="s">
        <v>18</v>
      </c>
      <c r="B3382" s="46" t="s">
        <v>15</v>
      </c>
      <c r="C3382" s="48">
        <v>102.2</v>
      </c>
      <c r="D3382" s="49"/>
      <c r="E3382" s="48">
        <v>102.2</v>
      </c>
    </row>
    <row r="3383">
      <c r="A3383" s="46" t="s">
        <v>18</v>
      </c>
      <c r="B3383" s="46" t="s">
        <v>15</v>
      </c>
      <c r="C3383" s="48">
        <v>103.8</v>
      </c>
      <c r="D3383" s="49"/>
      <c r="E3383" s="48">
        <v>103.8</v>
      </c>
    </row>
    <row r="3384">
      <c r="A3384" s="46" t="s">
        <v>18</v>
      </c>
      <c r="B3384" s="46" t="s">
        <v>13</v>
      </c>
      <c r="C3384" s="49"/>
      <c r="D3384" s="48">
        <v>79.4</v>
      </c>
      <c r="E3384" s="48">
        <v>79.4</v>
      </c>
    </row>
    <row r="3385">
      <c r="A3385" s="46" t="s">
        <v>18</v>
      </c>
      <c r="B3385" s="46" t="s">
        <v>15</v>
      </c>
      <c r="C3385" s="48">
        <v>117.3</v>
      </c>
      <c r="D3385" s="49"/>
      <c r="E3385" s="48">
        <v>117.3</v>
      </c>
    </row>
    <row r="3386">
      <c r="A3386" s="46" t="s">
        <v>18</v>
      </c>
      <c r="B3386" s="46" t="s">
        <v>15</v>
      </c>
      <c r="C3386" s="48">
        <v>115.2</v>
      </c>
      <c r="D3386" s="49"/>
      <c r="E3386" s="48">
        <v>115.2</v>
      </c>
    </row>
    <row r="3387">
      <c r="A3387" s="46" t="s">
        <v>18</v>
      </c>
      <c r="B3387" s="46" t="s">
        <v>14</v>
      </c>
      <c r="C3387" s="48">
        <v>86.2</v>
      </c>
      <c r="D3387" s="48">
        <v>76.3</v>
      </c>
      <c r="E3387" s="48">
        <v>81.2</v>
      </c>
    </row>
    <row r="3388">
      <c r="A3388" s="46" t="s">
        <v>18</v>
      </c>
      <c r="B3388" s="46" t="s">
        <v>13</v>
      </c>
      <c r="C3388" s="49"/>
      <c r="D3388" s="48">
        <v>84.3</v>
      </c>
      <c r="E3388" s="48">
        <v>84.3</v>
      </c>
    </row>
    <row r="3389">
      <c r="A3389" s="46" t="s">
        <v>18</v>
      </c>
      <c r="B3389" s="46" t="s">
        <v>15</v>
      </c>
      <c r="C3389" s="48">
        <v>101.7</v>
      </c>
      <c r="D3389" s="49"/>
      <c r="E3389" s="48">
        <v>101.7</v>
      </c>
    </row>
    <row r="3390">
      <c r="A3390" s="46" t="s">
        <v>18</v>
      </c>
      <c r="B3390" s="46" t="s">
        <v>14</v>
      </c>
      <c r="C3390" s="48">
        <v>103.5</v>
      </c>
      <c r="D3390" s="48">
        <v>79.8</v>
      </c>
      <c r="E3390" s="48">
        <v>98.3</v>
      </c>
    </row>
    <row r="3391">
      <c r="A3391" s="46" t="s">
        <v>18</v>
      </c>
      <c r="B3391" s="46" t="s">
        <v>13</v>
      </c>
      <c r="C3391" s="49"/>
      <c r="D3391" s="48">
        <v>73.9</v>
      </c>
      <c r="E3391" s="48">
        <v>73.9</v>
      </c>
    </row>
    <row r="3392">
      <c r="A3392" s="46" t="s">
        <v>18</v>
      </c>
      <c r="B3392" s="46" t="s">
        <v>15</v>
      </c>
      <c r="C3392" s="48">
        <v>113.5</v>
      </c>
      <c r="D3392" s="49"/>
      <c r="E3392" s="48">
        <v>113.5</v>
      </c>
    </row>
    <row r="3393">
      <c r="A3393" s="46" t="s">
        <v>18</v>
      </c>
      <c r="B3393" s="46" t="s">
        <v>15</v>
      </c>
      <c r="C3393" s="48">
        <v>136.8</v>
      </c>
      <c r="D3393" s="49"/>
      <c r="E3393" s="48">
        <v>136.8</v>
      </c>
    </row>
    <row r="3394">
      <c r="A3394" s="46" t="s">
        <v>18</v>
      </c>
      <c r="B3394" s="46" t="s">
        <v>15</v>
      </c>
      <c r="C3394" s="48">
        <v>114.7</v>
      </c>
      <c r="D3394" s="49"/>
      <c r="E3394" s="48">
        <v>114.7</v>
      </c>
    </row>
    <row r="3395">
      <c r="A3395" s="46" t="s">
        <v>18</v>
      </c>
      <c r="B3395" s="46" t="s">
        <v>13</v>
      </c>
      <c r="C3395" s="49"/>
      <c r="D3395" s="48">
        <v>88.3</v>
      </c>
      <c r="E3395" s="48">
        <v>88.3</v>
      </c>
    </row>
    <row r="3396">
      <c r="A3396" s="46" t="s">
        <v>18</v>
      </c>
      <c r="B3396" s="46" t="s">
        <v>13</v>
      </c>
      <c r="C3396" s="49"/>
      <c r="D3396" s="48">
        <v>77.4</v>
      </c>
      <c r="E3396" s="48">
        <v>77.4</v>
      </c>
    </row>
    <row r="3397">
      <c r="A3397" s="46" t="s">
        <v>18</v>
      </c>
      <c r="B3397" s="46" t="s">
        <v>15</v>
      </c>
      <c r="C3397" s="48">
        <v>121.5</v>
      </c>
      <c r="D3397" s="49"/>
      <c r="E3397" s="48">
        <v>121.5</v>
      </c>
    </row>
    <row r="3398">
      <c r="A3398" s="46" t="s">
        <v>18</v>
      </c>
      <c r="B3398" s="46" t="s">
        <v>13</v>
      </c>
      <c r="C3398" s="49"/>
      <c r="D3398" s="48">
        <v>76.5</v>
      </c>
      <c r="E3398" s="48">
        <v>76.5</v>
      </c>
    </row>
    <row r="3399">
      <c r="A3399" s="46" t="s">
        <v>18</v>
      </c>
      <c r="B3399" s="46" t="s">
        <v>13</v>
      </c>
      <c r="C3399" s="49"/>
      <c r="D3399" s="48">
        <v>77.4</v>
      </c>
      <c r="E3399" s="48">
        <v>77.4</v>
      </c>
    </row>
    <row r="3400">
      <c r="A3400" s="46" t="s">
        <v>18</v>
      </c>
      <c r="B3400" s="46" t="s">
        <v>13</v>
      </c>
      <c r="C3400" s="49"/>
      <c r="D3400" s="48">
        <v>80.5</v>
      </c>
      <c r="E3400" s="48">
        <v>80.5</v>
      </c>
    </row>
    <row r="3401">
      <c r="A3401" s="46" t="s">
        <v>18</v>
      </c>
      <c r="B3401" s="46" t="s">
        <v>13</v>
      </c>
      <c r="C3401" s="49"/>
      <c r="D3401" s="48">
        <v>81.9</v>
      </c>
      <c r="E3401" s="48">
        <v>81.9</v>
      </c>
    </row>
    <row r="3402">
      <c r="A3402" s="46" t="s">
        <v>18</v>
      </c>
      <c r="B3402" s="46" t="s">
        <v>14</v>
      </c>
      <c r="C3402" s="48">
        <v>81.2</v>
      </c>
      <c r="D3402" s="48">
        <v>71.7</v>
      </c>
      <c r="E3402" s="48">
        <v>77.9</v>
      </c>
    </row>
    <row r="3403">
      <c r="A3403" s="46" t="s">
        <v>18</v>
      </c>
      <c r="B3403" s="46" t="s">
        <v>15</v>
      </c>
      <c r="C3403" s="48">
        <v>116.6</v>
      </c>
      <c r="D3403" s="49"/>
      <c r="E3403" s="48">
        <v>116.6</v>
      </c>
    </row>
    <row r="3404">
      <c r="A3404" s="46" t="s">
        <v>18</v>
      </c>
      <c r="B3404" s="46" t="s">
        <v>14</v>
      </c>
      <c r="C3404" s="48">
        <v>102.4</v>
      </c>
      <c r="D3404" s="48">
        <v>67.7</v>
      </c>
      <c r="E3404" s="48">
        <v>89.7</v>
      </c>
    </row>
    <row r="3405">
      <c r="A3405" s="46" t="s">
        <v>18</v>
      </c>
      <c r="B3405" s="46" t="s">
        <v>14</v>
      </c>
      <c r="C3405" s="48">
        <v>113.9</v>
      </c>
      <c r="D3405" s="48">
        <v>82.4</v>
      </c>
      <c r="E3405" s="48">
        <v>107.9</v>
      </c>
    </row>
    <row r="3406">
      <c r="A3406" s="46" t="s">
        <v>18</v>
      </c>
      <c r="B3406" s="46" t="s">
        <v>15</v>
      </c>
      <c r="C3406" s="48">
        <v>131.1</v>
      </c>
      <c r="D3406" s="49"/>
      <c r="E3406" s="48">
        <v>131.1</v>
      </c>
    </row>
    <row r="3407">
      <c r="A3407" s="46" t="s">
        <v>18</v>
      </c>
      <c r="B3407" s="46" t="s">
        <v>15</v>
      </c>
      <c r="C3407" s="48">
        <v>133.0</v>
      </c>
      <c r="D3407" s="49"/>
      <c r="E3407" s="48">
        <v>133.0</v>
      </c>
    </row>
    <row r="3408">
      <c r="A3408" s="46" t="s">
        <v>18</v>
      </c>
      <c r="B3408" s="46" t="s">
        <v>14</v>
      </c>
      <c r="C3408" s="48">
        <v>110.1</v>
      </c>
      <c r="D3408" s="48">
        <v>84.1</v>
      </c>
      <c r="E3408" s="48">
        <v>107.7</v>
      </c>
    </row>
    <row r="3409">
      <c r="A3409" s="46" t="s">
        <v>18</v>
      </c>
      <c r="B3409" s="46" t="s">
        <v>14</v>
      </c>
      <c r="C3409" s="48">
        <v>110.6</v>
      </c>
      <c r="D3409" s="48">
        <v>80.8</v>
      </c>
      <c r="E3409" s="48">
        <v>106.6</v>
      </c>
    </row>
    <row r="3410">
      <c r="A3410" s="46" t="s">
        <v>18</v>
      </c>
      <c r="B3410" s="46" t="s">
        <v>14</v>
      </c>
      <c r="C3410" s="48">
        <v>118.5</v>
      </c>
      <c r="D3410" s="48">
        <v>87.5</v>
      </c>
      <c r="E3410" s="48">
        <v>114.2</v>
      </c>
    </row>
    <row r="3411">
      <c r="A3411" s="46" t="s">
        <v>18</v>
      </c>
      <c r="B3411" s="46" t="s">
        <v>14</v>
      </c>
      <c r="C3411" s="48">
        <v>106.1</v>
      </c>
      <c r="D3411" s="48">
        <v>93.0</v>
      </c>
      <c r="E3411" s="48">
        <v>101.5</v>
      </c>
    </row>
    <row r="3412">
      <c r="A3412" s="46" t="s">
        <v>18</v>
      </c>
      <c r="B3412" s="46" t="s">
        <v>15</v>
      </c>
      <c r="C3412" s="48">
        <v>106.4</v>
      </c>
      <c r="D3412" s="49"/>
      <c r="E3412" s="48">
        <v>106.4</v>
      </c>
    </row>
    <row r="3413">
      <c r="A3413" s="46" t="s">
        <v>18</v>
      </c>
      <c r="B3413" s="46" t="s">
        <v>14</v>
      </c>
      <c r="C3413" s="48">
        <v>110.5</v>
      </c>
      <c r="D3413" s="48">
        <v>86.0</v>
      </c>
      <c r="E3413" s="48">
        <v>101.5</v>
      </c>
    </row>
    <row r="3414">
      <c r="A3414" s="46" t="s">
        <v>18</v>
      </c>
      <c r="B3414" s="46" t="s">
        <v>14</v>
      </c>
      <c r="C3414" s="48">
        <v>106.4</v>
      </c>
      <c r="D3414" s="48">
        <v>81.7</v>
      </c>
      <c r="E3414" s="48">
        <v>100.3</v>
      </c>
    </row>
    <row r="3415">
      <c r="A3415" s="46" t="s">
        <v>18</v>
      </c>
      <c r="B3415" s="46" t="s">
        <v>14</v>
      </c>
      <c r="C3415" s="48">
        <v>105.4</v>
      </c>
      <c r="D3415" s="48">
        <v>81.1</v>
      </c>
      <c r="E3415" s="48">
        <v>97.2</v>
      </c>
    </row>
    <row r="3416">
      <c r="A3416" s="46" t="s">
        <v>18</v>
      </c>
      <c r="B3416" s="46" t="s">
        <v>13</v>
      </c>
      <c r="C3416" s="49"/>
      <c r="D3416" s="48">
        <v>85.6</v>
      </c>
      <c r="E3416" s="48">
        <v>85.6</v>
      </c>
    </row>
    <row r="3417">
      <c r="A3417" s="46" t="s">
        <v>18</v>
      </c>
      <c r="B3417" s="46" t="s">
        <v>14</v>
      </c>
      <c r="C3417" s="48">
        <v>120.3</v>
      </c>
      <c r="D3417" s="48">
        <v>86.4</v>
      </c>
      <c r="E3417" s="48">
        <v>110.8</v>
      </c>
    </row>
    <row r="3418">
      <c r="A3418" s="46" t="s">
        <v>18</v>
      </c>
      <c r="B3418" s="46" t="s">
        <v>15</v>
      </c>
      <c r="C3418" s="48">
        <v>122.0</v>
      </c>
      <c r="D3418" s="49"/>
      <c r="E3418" s="48">
        <v>122.0</v>
      </c>
    </row>
    <row r="3419">
      <c r="A3419" s="46" t="s">
        <v>18</v>
      </c>
      <c r="B3419" s="46" t="s">
        <v>14</v>
      </c>
      <c r="C3419" s="48">
        <v>117.8</v>
      </c>
      <c r="D3419" s="48">
        <v>92.2</v>
      </c>
      <c r="E3419" s="48">
        <v>115.1</v>
      </c>
    </row>
    <row r="3420">
      <c r="A3420" s="46" t="s">
        <v>18</v>
      </c>
      <c r="B3420" s="46" t="s">
        <v>15</v>
      </c>
      <c r="C3420" s="48">
        <v>118.3</v>
      </c>
      <c r="D3420" s="49"/>
      <c r="E3420" s="48">
        <v>118.3</v>
      </c>
    </row>
    <row r="3421">
      <c r="A3421" s="46" t="s">
        <v>18</v>
      </c>
      <c r="B3421" s="46" t="s">
        <v>14</v>
      </c>
      <c r="C3421" s="48">
        <v>129.3</v>
      </c>
      <c r="D3421" s="48">
        <v>107.7</v>
      </c>
      <c r="E3421" s="48">
        <v>124.2</v>
      </c>
    </row>
    <row r="3422">
      <c r="A3422" s="46" t="s">
        <v>18</v>
      </c>
      <c r="B3422" s="46" t="s">
        <v>13</v>
      </c>
      <c r="C3422" s="49"/>
      <c r="D3422" s="48">
        <v>79.1</v>
      </c>
      <c r="E3422" s="48">
        <v>79.1</v>
      </c>
    </row>
    <row r="3423">
      <c r="A3423" s="46" t="s">
        <v>18</v>
      </c>
      <c r="B3423" s="46" t="s">
        <v>13</v>
      </c>
      <c r="C3423" s="49"/>
      <c r="D3423" s="48">
        <v>102.5</v>
      </c>
      <c r="E3423" s="48">
        <v>102.5</v>
      </c>
    </row>
    <row r="3424">
      <c r="A3424" s="46" t="s">
        <v>18</v>
      </c>
      <c r="B3424" s="46" t="s">
        <v>13</v>
      </c>
      <c r="C3424" s="49"/>
      <c r="D3424" s="48">
        <v>76.9</v>
      </c>
      <c r="E3424" s="48">
        <v>76.9</v>
      </c>
    </row>
    <row r="3425">
      <c r="A3425" s="46" t="s">
        <v>18</v>
      </c>
      <c r="B3425" s="46" t="s">
        <v>13</v>
      </c>
      <c r="C3425" s="49"/>
      <c r="D3425" s="48">
        <v>80.5</v>
      </c>
      <c r="E3425" s="48">
        <v>80.5</v>
      </c>
    </row>
    <row r="3426">
      <c r="A3426" s="46" t="s">
        <v>18</v>
      </c>
      <c r="B3426" s="46" t="s">
        <v>14</v>
      </c>
      <c r="C3426" s="48">
        <v>83.8</v>
      </c>
      <c r="D3426" s="48">
        <v>76.6</v>
      </c>
      <c r="E3426" s="48">
        <v>77.9</v>
      </c>
    </row>
    <row r="3427">
      <c r="A3427" s="46" t="s">
        <v>18</v>
      </c>
      <c r="B3427" s="46" t="s">
        <v>15</v>
      </c>
      <c r="C3427" s="48">
        <v>130.4</v>
      </c>
      <c r="D3427" s="49"/>
      <c r="E3427" s="48">
        <v>130.4</v>
      </c>
    </row>
    <row r="3428">
      <c r="A3428" s="46" t="s">
        <v>18</v>
      </c>
      <c r="B3428" s="46" t="s">
        <v>15</v>
      </c>
      <c r="C3428" s="48">
        <v>120.1</v>
      </c>
      <c r="D3428" s="49"/>
      <c r="E3428" s="48">
        <v>120.1</v>
      </c>
    </row>
    <row r="3429">
      <c r="A3429" s="46" t="s">
        <v>18</v>
      </c>
      <c r="B3429" s="46" t="s">
        <v>15</v>
      </c>
      <c r="C3429" s="48">
        <v>116.7</v>
      </c>
      <c r="D3429" s="49"/>
      <c r="E3429" s="48">
        <v>116.7</v>
      </c>
    </row>
    <row r="3430">
      <c r="A3430" s="46" t="s">
        <v>18</v>
      </c>
      <c r="B3430" s="46" t="s">
        <v>15</v>
      </c>
      <c r="C3430" s="48">
        <v>100.2</v>
      </c>
      <c r="D3430" s="49"/>
      <c r="E3430" s="48">
        <v>100.2</v>
      </c>
    </row>
    <row r="3431">
      <c r="A3431" s="46" t="s">
        <v>18</v>
      </c>
      <c r="B3431" s="46" t="s">
        <v>15</v>
      </c>
      <c r="C3431" s="48">
        <v>130.9</v>
      </c>
      <c r="D3431" s="49"/>
      <c r="E3431" s="48">
        <v>130.9</v>
      </c>
    </row>
    <row r="3432">
      <c r="A3432" s="46" t="s">
        <v>18</v>
      </c>
      <c r="B3432" s="46" t="s">
        <v>15</v>
      </c>
      <c r="C3432" s="48">
        <v>119.4</v>
      </c>
      <c r="D3432" s="49"/>
      <c r="E3432" s="48">
        <v>119.4</v>
      </c>
    </row>
    <row r="3433">
      <c r="A3433" s="46" t="s">
        <v>18</v>
      </c>
      <c r="B3433" s="46" t="s">
        <v>14</v>
      </c>
      <c r="C3433" s="48">
        <v>121.6</v>
      </c>
      <c r="D3433" s="48">
        <v>100.2</v>
      </c>
      <c r="E3433" s="48">
        <v>108.7</v>
      </c>
    </row>
    <row r="3434">
      <c r="A3434" s="46" t="s">
        <v>18</v>
      </c>
      <c r="B3434" s="46" t="s">
        <v>15</v>
      </c>
      <c r="C3434" s="48">
        <v>120.1</v>
      </c>
      <c r="D3434" s="49"/>
      <c r="E3434" s="48">
        <v>120.1</v>
      </c>
    </row>
    <row r="3435">
      <c r="A3435" s="46" t="s">
        <v>18</v>
      </c>
      <c r="B3435" s="46" t="s">
        <v>13</v>
      </c>
      <c r="C3435" s="49"/>
      <c r="D3435" s="48">
        <v>113.4</v>
      </c>
      <c r="E3435" s="48">
        <v>113.4</v>
      </c>
    </row>
    <row r="3436">
      <c r="A3436" s="46" t="s">
        <v>18</v>
      </c>
      <c r="B3436" s="46" t="s">
        <v>14</v>
      </c>
      <c r="C3436" s="48">
        <v>99.8</v>
      </c>
      <c r="D3436" s="48">
        <v>85.0</v>
      </c>
      <c r="E3436" s="48">
        <v>93.6</v>
      </c>
    </row>
    <row r="3437">
      <c r="A3437" s="46" t="s">
        <v>18</v>
      </c>
      <c r="B3437" s="46" t="s">
        <v>13</v>
      </c>
      <c r="C3437" s="49"/>
      <c r="D3437" s="48">
        <v>79.7</v>
      </c>
      <c r="E3437" s="48">
        <v>79.7</v>
      </c>
    </row>
    <row r="3438">
      <c r="A3438" s="46" t="s">
        <v>18</v>
      </c>
      <c r="B3438" s="46" t="s">
        <v>13</v>
      </c>
      <c r="C3438" s="49"/>
      <c r="D3438" s="48">
        <v>85.8</v>
      </c>
      <c r="E3438" s="48">
        <v>85.8</v>
      </c>
    </row>
    <row r="3439">
      <c r="A3439" s="46" t="s">
        <v>18</v>
      </c>
      <c r="B3439" s="46" t="s">
        <v>14</v>
      </c>
      <c r="C3439" s="48">
        <v>82.7</v>
      </c>
      <c r="D3439" s="48">
        <v>75.0</v>
      </c>
      <c r="E3439" s="48">
        <v>77.7</v>
      </c>
    </row>
    <row r="3440">
      <c r="A3440" s="46" t="s">
        <v>18</v>
      </c>
      <c r="B3440" s="46" t="s">
        <v>13</v>
      </c>
      <c r="C3440" s="49"/>
      <c r="D3440" s="48">
        <v>84.3</v>
      </c>
      <c r="E3440" s="48">
        <v>84.3</v>
      </c>
    </row>
    <row r="3441">
      <c r="A3441" s="46" t="s">
        <v>18</v>
      </c>
      <c r="B3441" s="46" t="s">
        <v>14</v>
      </c>
      <c r="C3441" s="48">
        <v>111.0</v>
      </c>
      <c r="D3441" s="48">
        <v>83.3</v>
      </c>
      <c r="E3441" s="48">
        <v>102.4</v>
      </c>
    </row>
    <row r="3442">
      <c r="A3442" s="46" t="s">
        <v>18</v>
      </c>
      <c r="B3442" s="46" t="s">
        <v>15</v>
      </c>
      <c r="C3442" s="48">
        <v>106.9</v>
      </c>
      <c r="D3442" s="49"/>
      <c r="E3442" s="48">
        <v>106.9</v>
      </c>
    </row>
    <row r="3443">
      <c r="A3443" s="46" t="s">
        <v>18</v>
      </c>
      <c r="B3443" s="46" t="s">
        <v>13</v>
      </c>
      <c r="C3443" s="49"/>
      <c r="D3443" s="48">
        <v>82.6</v>
      </c>
      <c r="E3443" s="48">
        <v>82.6</v>
      </c>
    </row>
    <row r="3444">
      <c r="A3444" s="46" t="s">
        <v>18</v>
      </c>
      <c r="B3444" s="46" t="s">
        <v>13</v>
      </c>
      <c r="C3444" s="49"/>
      <c r="D3444" s="48">
        <v>85.7</v>
      </c>
      <c r="E3444" s="48">
        <v>85.7</v>
      </c>
    </row>
    <row r="3445">
      <c r="A3445" s="46" t="s">
        <v>18</v>
      </c>
      <c r="B3445" s="46" t="s">
        <v>13</v>
      </c>
      <c r="C3445" s="49"/>
      <c r="D3445" s="48">
        <v>77.6</v>
      </c>
      <c r="E3445" s="48">
        <v>77.6</v>
      </c>
    </row>
    <row r="3446">
      <c r="A3446" s="46" t="s">
        <v>18</v>
      </c>
      <c r="B3446" s="46" t="s">
        <v>13</v>
      </c>
      <c r="C3446" s="49"/>
      <c r="D3446" s="48">
        <v>80.0</v>
      </c>
      <c r="E3446" s="48">
        <v>80.0</v>
      </c>
    </row>
    <row r="3447">
      <c r="A3447" s="46" t="s">
        <v>18</v>
      </c>
      <c r="B3447" s="46" t="s">
        <v>13</v>
      </c>
      <c r="C3447" s="49"/>
      <c r="D3447" s="48">
        <v>81.2</v>
      </c>
      <c r="E3447" s="48">
        <v>81.2</v>
      </c>
    </row>
    <row r="3448">
      <c r="A3448" s="46" t="s">
        <v>18</v>
      </c>
      <c r="B3448" s="46" t="s">
        <v>15</v>
      </c>
      <c r="C3448" s="48">
        <v>98.8</v>
      </c>
      <c r="D3448" s="49"/>
      <c r="E3448" s="48">
        <v>98.8</v>
      </c>
    </row>
    <row r="3449">
      <c r="A3449" s="46" t="s">
        <v>18</v>
      </c>
      <c r="B3449" s="46" t="s">
        <v>14</v>
      </c>
      <c r="C3449" s="48">
        <v>122.7</v>
      </c>
      <c r="D3449" s="48">
        <v>92.5</v>
      </c>
      <c r="E3449" s="48">
        <v>121.9</v>
      </c>
    </row>
    <row r="3450">
      <c r="A3450" s="46" t="s">
        <v>18</v>
      </c>
      <c r="B3450" s="46" t="s">
        <v>14</v>
      </c>
      <c r="C3450" s="48">
        <v>106.7</v>
      </c>
      <c r="D3450" s="48">
        <v>87.7</v>
      </c>
      <c r="E3450" s="48">
        <v>97.3</v>
      </c>
    </row>
    <row r="3451">
      <c r="A3451" s="46" t="s">
        <v>18</v>
      </c>
      <c r="B3451" s="46" t="s">
        <v>13</v>
      </c>
      <c r="C3451" s="49"/>
      <c r="D3451" s="48">
        <v>91.7</v>
      </c>
      <c r="E3451" s="48">
        <v>91.7</v>
      </c>
    </row>
    <row r="3452">
      <c r="A3452" s="46" t="s">
        <v>18</v>
      </c>
      <c r="B3452" s="46" t="s">
        <v>14</v>
      </c>
      <c r="C3452" s="48">
        <v>119.7</v>
      </c>
      <c r="D3452" s="48">
        <v>95.3</v>
      </c>
      <c r="E3452" s="48">
        <v>102.8</v>
      </c>
    </row>
    <row r="3453">
      <c r="A3453" s="46" t="s">
        <v>18</v>
      </c>
      <c r="B3453" s="46" t="s">
        <v>15</v>
      </c>
      <c r="C3453" s="48">
        <v>101.7</v>
      </c>
      <c r="D3453" s="49"/>
      <c r="E3453" s="48">
        <v>101.7</v>
      </c>
    </row>
    <row r="3454">
      <c r="A3454" s="46" t="s">
        <v>18</v>
      </c>
      <c r="B3454" s="46" t="s">
        <v>14</v>
      </c>
      <c r="C3454" s="48">
        <v>112.6</v>
      </c>
      <c r="D3454" s="48">
        <v>94.6</v>
      </c>
      <c r="E3454" s="48">
        <v>108.1</v>
      </c>
    </row>
    <row r="3455">
      <c r="A3455" s="46" t="s">
        <v>18</v>
      </c>
      <c r="B3455" s="46" t="s">
        <v>15</v>
      </c>
      <c r="C3455" s="48">
        <v>107.3</v>
      </c>
      <c r="D3455" s="49"/>
      <c r="E3455" s="48">
        <v>107.3</v>
      </c>
    </row>
    <row r="3456">
      <c r="A3456" s="46" t="s">
        <v>18</v>
      </c>
      <c r="B3456" s="46" t="s">
        <v>14</v>
      </c>
      <c r="C3456" s="48">
        <v>104.2</v>
      </c>
      <c r="D3456" s="48">
        <v>93.3</v>
      </c>
      <c r="E3456" s="48">
        <v>101.3</v>
      </c>
    </row>
    <row r="3457">
      <c r="A3457" s="46" t="s">
        <v>18</v>
      </c>
      <c r="B3457" s="46" t="s">
        <v>15</v>
      </c>
      <c r="C3457" s="48">
        <v>118.7</v>
      </c>
      <c r="D3457" s="49"/>
      <c r="E3457" s="48">
        <v>118.7</v>
      </c>
    </row>
    <row r="3458">
      <c r="A3458" s="46" t="s">
        <v>18</v>
      </c>
      <c r="B3458" s="46" t="s">
        <v>13</v>
      </c>
      <c r="C3458" s="49"/>
      <c r="D3458" s="48">
        <v>87.4</v>
      </c>
      <c r="E3458" s="48">
        <v>87.4</v>
      </c>
    </row>
    <row r="3459">
      <c r="A3459" s="46" t="s">
        <v>18</v>
      </c>
      <c r="B3459" s="46" t="s">
        <v>13</v>
      </c>
      <c r="C3459" s="49"/>
      <c r="D3459" s="48">
        <v>86.4</v>
      </c>
      <c r="E3459" s="48">
        <v>86.4</v>
      </c>
    </row>
    <row r="3460">
      <c r="A3460" s="46" t="s">
        <v>18</v>
      </c>
      <c r="B3460" s="46" t="s">
        <v>14</v>
      </c>
      <c r="C3460" s="48">
        <v>104.3</v>
      </c>
      <c r="D3460" s="48">
        <v>88.2</v>
      </c>
      <c r="E3460" s="48">
        <v>99.9</v>
      </c>
    </row>
    <row r="3461">
      <c r="A3461" s="46" t="s">
        <v>18</v>
      </c>
      <c r="B3461" s="46" t="s">
        <v>15</v>
      </c>
      <c r="C3461" s="48">
        <v>120.1</v>
      </c>
      <c r="D3461" s="49"/>
      <c r="E3461" s="48">
        <v>120.1</v>
      </c>
    </row>
    <row r="3462">
      <c r="A3462" s="46" t="s">
        <v>18</v>
      </c>
      <c r="B3462" s="46" t="s">
        <v>15</v>
      </c>
      <c r="C3462" s="48">
        <v>108.3</v>
      </c>
      <c r="D3462" s="49"/>
      <c r="E3462" s="48">
        <v>108.3</v>
      </c>
    </row>
    <row r="3463">
      <c r="A3463" s="46" t="s">
        <v>18</v>
      </c>
      <c r="B3463" s="46" t="s">
        <v>14</v>
      </c>
      <c r="C3463" s="48">
        <v>116.5</v>
      </c>
      <c r="D3463" s="48">
        <v>86.9</v>
      </c>
      <c r="E3463" s="48">
        <v>107.8</v>
      </c>
    </row>
    <row r="3464">
      <c r="A3464" s="46" t="s">
        <v>18</v>
      </c>
      <c r="B3464" s="46" t="s">
        <v>15</v>
      </c>
      <c r="C3464" s="48">
        <v>95.6</v>
      </c>
      <c r="D3464" s="49"/>
      <c r="E3464" s="48">
        <v>95.6</v>
      </c>
    </row>
    <row r="3465">
      <c r="A3465" s="46" t="s">
        <v>18</v>
      </c>
      <c r="B3465" s="46" t="s">
        <v>13</v>
      </c>
      <c r="C3465" s="49"/>
      <c r="D3465" s="48">
        <v>82.8</v>
      </c>
      <c r="E3465" s="48">
        <v>82.8</v>
      </c>
    </row>
    <row r="3466">
      <c r="A3466" s="46" t="s">
        <v>18</v>
      </c>
      <c r="B3466" s="46" t="s">
        <v>15</v>
      </c>
      <c r="C3466" s="48">
        <v>90.4</v>
      </c>
      <c r="D3466" s="49"/>
      <c r="E3466" s="48">
        <v>90.4</v>
      </c>
    </row>
    <row r="3467">
      <c r="A3467" s="46" t="s">
        <v>18</v>
      </c>
      <c r="B3467" s="46" t="s">
        <v>14</v>
      </c>
      <c r="C3467" s="48">
        <v>124.3</v>
      </c>
      <c r="D3467" s="48">
        <v>110.0</v>
      </c>
      <c r="E3467" s="48">
        <v>123.2</v>
      </c>
    </row>
    <row r="3468">
      <c r="A3468" s="46" t="s">
        <v>18</v>
      </c>
      <c r="B3468" s="46" t="s">
        <v>15</v>
      </c>
      <c r="C3468" s="48">
        <v>121.8</v>
      </c>
      <c r="D3468" s="49"/>
      <c r="E3468" s="48">
        <v>121.8</v>
      </c>
    </row>
    <row r="3469">
      <c r="A3469" s="46" t="s">
        <v>18</v>
      </c>
      <c r="B3469" s="46" t="s">
        <v>15</v>
      </c>
      <c r="C3469" s="48">
        <v>124.1</v>
      </c>
      <c r="D3469" s="49"/>
      <c r="E3469" s="48">
        <v>124.1</v>
      </c>
    </row>
    <row r="3470">
      <c r="A3470" s="46" t="s">
        <v>18</v>
      </c>
      <c r="B3470" s="46" t="s">
        <v>13</v>
      </c>
      <c r="C3470" s="49"/>
      <c r="D3470" s="48">
        <v>87.7</v>
      </c>
      <c r="E3470" s="48">
        <v>87.7</v>
      </c>
    </row>
    <row r="3471">
      <c r="A3471" s="46" t="s">
        <v>18</v>
      </c>
      <c r="B3471" s="46" t="s">
        <v>15</v>
      </c>
      <c r="C3471" s="48">
        <v>100.5</v>
      </c>
      <c r="D3471" s="49"/>
      <c r="E3471" s="48">
        <v>100.5</v>
      </c>
    </row>
    <row r="3472">
      <c r="A3472" s="46" t="s">
        <v>18</v>
      </c>
      <c r="B3472" s="46" t="s">
        <v>14</v>
      </c>
      <c r="C3472" s="48">
        <v>95.1</v>
      </c>
      <c r="D3472" s="48">
        <v>79.6</v>
      </c>
      <c r="E3472" s="48">
        <v>88.9</v>
      </c>
    </row>
    <row r="3473">
      <c r="A3473" s="46" t="s">
        <v>18</v>
      </c>
      <c r="B3473" s="46" t="s">
        <v>14</v>
      </c>
      <c r="C3473" s="48">
        <v>131.8</v>
      </c>
      <c r="D3473" s="48">
        <v>98.2</v>
      </c>
      <c r="E3473" s="48">
        <v>127.5</v>
      </c>
    </row>
    <row r="3474">
      <c r="A3474" s="46" t="s">
        <v>18</v>
      </c>
      <c r="B3474" s="46" t="s">
        <v>15</v>
      </c>
      <c r="C3474" s="48">
        <v>143.2</v>
      </c>
      <c r="D3474" s="49"/>
      <c r="E3474" s="48">
        <v>143.2</v>
      </c>
    </row>
    <row r="3475">
      <c r="A3475" s="46" t="s">
        <v>18</v>
      </c>
      <c r="B3475" s="46" t="s">
        <v>14</v>
      </c>
      <c r="C3475" s="48">
        <v>140.2</v>
      </c>
      <c r="D3475" s="48">
        <v>102.1</v>
      </c>
      <c r="E3475" s="48">
        <v>126.4</v>
      </c>
    </row>
    <row r="3476">
      <c r="A3476" s="46" t="s">
        <v>18</v>
      </c>
      <c r="B3476" s="46" t="s">
        <v>13</v>
      </c>
      <c r="C3476" s="49"/>
      <c r="D3476" s="48">
        <v>91.1</v>
      </c>
      <c r="E3476" s="48">
        <v>91.1</v>
      </c>
    </row>
    <row r="3477">
      <c r="A3477" s="46" t="s">
        <v>18</v>
      </c>
      <c r="B3477" s="46" t="s">
        <v>13</v>
      </c>
      <c r="C3477" s="49"/>
      <c r="D3477" s="48">
        <v>94.2</v>
      </c>
      <c r="E3477" s="48">
        <v>94.2</v>
      </c>
    </row>
    <row r="3478">
      <c r="A3478" s="46" t="s">
        <v>18</v>
      </c>
      <c r="B3478" s="46" t="s">
        <v>13</v>
      </c>
      <c r="C3478" s="49"/>
      <c r="D3478" s="48">
        <v>88.4</v>
      </c>
      <c r="E3478" s="48">
        <v>88.4</v>
      </c>
    </row>
    <row r="3479">
      <c r="A3479" s="46" t="s">
        <v>18</v>
      </c>
      <c r="B3479" s="46" t="s">
        <v>15</v>
      </c>
      <c r="C3479" s="48">
        <v>159.0</v>
      </c>
      <c r="D3479" s="49"/>
      <c r="E3479" s="48">
        <v>159.0</v>
      </c>
    </row>
    <row r="3480">
      <c r="A3480" s="46" t="s">
        <v>18</v>
      </c>
      <c r="B3480" s="46" t="s">
        <v>15</v>
      </c>
      <c r="C3480" s="48">
        <v>108.6</v>
      </c>
      <c r="D3480" s="49"/>
      <c r="E3480" s="48">
        <v>108.6</v>
      </c>
    </row>
    <row r="3481">
      <c r="A3481" s="46" t="s">
        <v>18</v>
      </c>
      <c r="B3481" s="46" t="s">
        <v>13</v>
      </c>
      <c r="C3481" s="49"/>
      <c r="D3481" s="48">
        <v>84.3</v>
      </c>
      <c r="E3481" s="48">
        <v>84.3</v>
      </c>
    </row>
    <row r="3482">
      <c r="A3482" s="46" t="s">
        <v>18</v>
      </c>
      <c r="B3482" s="46" t="s">
        <v>15</v>
      </c>
      <c r="C3482" s="48">
        <v>112.2</v>
      </c>
      <c r="D3482" s="49"/>
      <c r="E3482" s="48">
        <v>112.2</v>
      </c>
    </row>
    <row r="3483">
      <c r="A3483" s="46" t="s">
        <v>18</v>
      </c>
      <c r="B3483" s="46" t="s">
        <v>13</v>
      </c>
      <c r="C3483" s="49"/>
      <c r="D3483" s="48">
        <v>87.8</v>
      </c>
      <c r="E3483" s="48">
        <v>87.8</v>
      </c>
    </row>
    <row r="3484">
      <c r="A3484" s="46" t="s">
        <v>18</v>
      </c>
      <c r="B3484" s="46" t="s">
        <v>13</v>
      </c>
      <c r="C3484" s="49"/>
      <c r="D3484" s="48">
        <v>82.3</v>
      </c>
      <c r="E3484" s="48">
        <v>82.3</v>
      </c>
    </row>
    <row r="3485">
      <c r="A3485" s="46" t="s">
        <v>18</v>
      </c>
      <c r="B3485" s="46" t="s">
        <v>13</v>
      </c>
      <c r="C3485" s="49"/>
      <c r="D3485" s="48">
        <v>83.2</v>
      </c>
      <c r="E3485" s="48">
        <v>83.2</v>
      </c>
    </row>
    <row r="3486">
      <c r="A3486" s="46" t="s">
        <v>18</v>
      </c>
      <c r="B3486" s="46" t="s">
        <v>15</v>
      </c>
      <c r="C3486" s="48">
        <v>122.0</v>
      </c>
      <c r="D3486" s="49"/>
      <c r="E3486" s="48">
        <v>122.0</v>
      </c>
    </row>
    <row r="3487">
      <c r="A3487" s="46" t="s">
        <v>18</v>
      </c>
      <c r="B3487" s="46" t="s">
        <v>15</v>
      </c>
      <c r="C3487" s="48">
        <v>120.7</v>
      </c>
      <c r="D3487" s="49"/>
      <c r="E3487" s="48">
        <v>120.7</v>
      </c>
    </row>
    <row r="3488">
      <c r="A3488" s="46" t="s">
        <v>18</v>
      </c>
      <c r="B3488" s="46" t="s">
        <v>13</v>
      </c>
      <c r="C3488" s="49"/>
      <c r="D3488" s="48">
        <v>77.9</v>
      </c>
      <c r="E3488" s="48">
        <v>77.9</v>
      </c>
    </row>
    <row r="3489">
      <c r="A3489" s="46" t="s">
        <v>18</v>
      </c>
      <c r="B3489" s="46" t="s">
        <v>13</v>
      </c>
      <c r="C3489" s="49"/>
      <c r="D3489" s="48">
        <v>70.4</v>
      </c>
      <c r="E3489" s="48">
        <v>70.4</v>
      </c>
    </row>
    <row r="3490">
      <c r="A3490" s="46" t="s">
        <v>18</v>
      </c>
      <c r="B3490" s="46" t="s">
        <v>13</v>
      </c>
      <c r="C3490" s="49"/>
      <c r="D3490" s="48">
        <v>84.6</v>
      </c>
      <c r="E3490" s="48">
        <v>84.6</v>
      </c>
    </row>
    <row r="3491">
      <c r="A3491" s="46" t="s">
        <v>18</v>
      </c>
      <c r="B3491" s="46" t="s">
        <v>13</v>
      </c>
      <c r="C3491" s="49"/>
      <c r="D3491" s="48">
        <v>76.2</v>
      </c>
      <c r="E3491" s="48">
        <v>76.2</v>
      </c>
    </row>
    <row r="3492">
      <c r="A3492" s="46" t="s">
        <v>18</v>
      </c>
      <c r="B3492" s="46" t="s">
        <v>15</v>
      </c>
      <c r="C3492" s="48">
        <v>127.0</v>
      </c>
      <c r="D3492" s="49"/>
      <c r="E3492" s="48">
        <v>127.0</v>
      </c>
    </row>
    <row r="3493">
      <c r="A3493" s="46" t="s">
        <v>18</v>
      </c>
      <c r="B3493" s="46" t="s">
        <v>14</v>
      </c>
      <c r="C3493" s="48">
        <v>113.0</v>
      </c>
      <c r="D3493" s="48">
        <v>90.7</v>
      </c>
      <c r="E3493" s="48">
        <v>110.4</v>
      </c>
    </row>
    <row r="3494">
      <c r="A3494" s="46" t="s">
        <v>18</v>
      </c>
      <c r="B3494" s="46" t="s">
        <v>13</v>
      </c>
      <c r="C3494" s="49"/>
      <c r="D3494" s="48">
        <v>86.9</v>
      </c>
      <c r="E3494" s="48">
        <v>86.9</v>
      </c>
    </row>
    <row r="3495">
      <c r="A3495" s="46" t="s">
        <v>18</v>
      </c>
      <c r="B3495" s="46" t="s">
        <v>13</v>
      </c>
      <c r="C3495" s="49"/>
      <c r="D3495" s="48">
        <v>93.3</v>
      </c>
      <c r="E3495" s="48">
        <v>93.3</v>
      </c>
    </row>
    <row r="3496">
      <c r="A3496" s="46" t="s">
        <v>18</v>
      </c>
      <c r="B3496" s="46" t="s">
        <v>15</v>
      </c>
      <c r="C3496" s="48">
        <v>107.6</v>
      </c>
      <c r="D3496" s="49"/>
      <c r="E3496" s="48">
        <v>107.6</v>
      </c>
    </row>
    <row r="3497">
      <c r="A3497" s="46" t="s">
        <v>18</v>
      </c>
      <c r="B3497" s="46" t="s">
        <v>14</v>
      </c>
      <c r="C3497" s="48">
        <v>94.2</v>
      </c>
      <c r="D3497" s="48">
        <v>78.9</v>
      </c>
      <c r="E3497" s="48">
        <v>80.2</v>
      </c>
    </row>
    <row r="3498">
      <c r="A3498" s="46" t="s">
        <v>18</v>
      </c>
      <c r="B3498" s="46" t="s">
        <v>13</v>
      </c>
      <c r="C3498" s="49"/>
      <c r="D3498" s="48">
        <v>91.6</v>
      </c>
      <c r="E3498" s="48">
        <v>91.6</v>
      </c>
    </row>
    <row r="3499">
      <c r="A3499" s="46" t="s">
        <v>18</v>
      </c>
      <c r="B3499" s="46" t="s">
        <v>14</v>
      </c>
      <c r="C3499" s="48">
        <v>108.4</v>
      </c>
      <c r="D3499" s="48">
        <v>90.6</v>
      </c>
      <c r="E3499" s="48">
        <v>104.3</v>
      </c>
    </row>
    <row r="3500">
      <c r="A3500" s="46" t="s">
        <v>18</v>
      </c>
      <c r="B3500" s="46" t="s">
        <v>14</v>
      </c>
      <c r="C3500" s="48">
        <v>124.0</v>
      </c>
      <c r="D3500" s="48">
        <v>99.1</v>
      </c>
      <c r="E3500" s="48">
        <v>119.5</v>
      </c>
    </row>
    <row r="3501">
      <c r="A3501" s="46" t="s">
        <v>18</v>
      </c>
      <c r="B3501" s="46" t="s">
        <v>14</v>
      </c>
      <c r="C3501" s="48">
        <v>110.3</v>
      </c>
      <c r="D3501" s="48">
        <v>85.1</v>
      </c>
      <c r="E3501" s="48">
        <v>106.1</v>
      </c>
    </row>
    <row r="3502">
      <c r="A3502" s="46" t="s">
        <v>18</v>
      </c>
      <c r="B3502" s="46" t="s">
        <v>14</v>
      </c>
      <c r="C3502" s="48">
        <v>104.0</v>
      </c>
      <c r="D3502" s="48">
        <v>85.1</v>
      </c>
      <c r="E3502" s="48">
        <v>98.8</v>
      </c>
    </row>
    <row r="3503">
      <c r="A3503" s="46" t="s">
        <v>18</v>
      </c>
      <c r="B3503" s="46" t="s">
        <v>13</v>
      </c>
      <c r="C3503" s="49"/>
      <c r="D3503" s="48">
        <v>93.1</v>
      </c>
      <c r="E3503" s="48">
        <v>93.1</v>
      </c>
    </row>
    <row r="3504">
      <c r="A3504" s="46" t="s">
        <v>18</v>
      </c>
      <c r="B3504" s="46" t="s">
        <v>13</v>
      </c>
      <c r="C3504" s="49"/>
      <c r="D3504" s="48">
        <v>80.4</v>
      </c>
      <c r="E3504" s="48">
        <v>80.4</v>
      </c>
    </row>
    <row r="3505">
      <c r="A3505" s="46" t="s">
        <v>18</v>
      </c>
      <c r="B3505" s="46" t="s">
        <v>13</v>
      </c>
      <c r="C3505" s="49"/>
      <c r="D3505" s="48">
        <v>82.8</v>
      </c>
      <c r="E3505" s="48">
        <v>82.8</v>
      </c>
    </row>
    <row r="3506">
      <c r="A3506" s="46" t="s">
        <v>18</v>
      </c>
      <c r="B3506" s="46" t="s">
        <v>14</v>
      </c>
      <c r="C3506" s="48">
        <v>98.7</v>
      </c>
      <c r="D3506" s="48">
        <v>77.6</v>
      </c>
      <c r="E3506" s="48">
        <v>94.1</v>
      </c>
    </row>
    <row r="3507">
      <c r="A3507" s="46" t="s">
        <v>18</v>
      </c>
      <c r="B3507" s="46" t="s">
        <v>14</v>
      </c>
      <c r="C3507" s="48">
        <v>110.2</v>
      </c>
      <c r="D3507" s="48">
        <v>84.8</v>
      </c>
      <c r="E3507" s="48">
        <v>86.0</v>
      </c>
    </row>
    <row r="3508">
      <c r="A3508" s="46" t="s">
        <v>18</v>
      </c>
      <c r="B3508" s="46" t="s">
        <v>15</v>
      </c>
      <c r="C3508" s="48">
        <v>109.6</v>
      </c>
      <c r="D3508" s="49"/>
      <c r="E3508" s="48">
        <v>109.6</v>
      </c>
    </row>
    <row r="3509">
      <c r="A3509" s="46" t="s">
        <v>18</v>
      </c>
      <c r="B3509" s="46" t="s">
        <v>15</v>
      </c>
      <c r="C3509" s="48">
        <v>114.0</v>
      </c>
      <c r="D3509" s="49"/>
      <c r="E3509" s="48">
        <v>114.0</v>
      </c>
    </row>
    <row r="3510">
      <c r="A3510" s="46" t="s">
        <v>18</v>
      </c>
      <c r="B3510" s="46" t="s">
        <v>13</v>
      </c>
      <c r="C3510" s="49"/>
      <c r="D3510" s="48">
        <v>84.5</v>
      </c>
      <c r="E3510" s="48">
        <v>84.5</v>
      </c>
    </row>
    <row r="3511">
      <c r="A3511" s="46" t="s">
        <v>18</v>
      </c>
      <c r="B3511" s="46" t="s">
        <v>15</v>
      </c>
      <c r="C3511" s="48">
        <v>125.6</v>
      </c>
      <c r="D3511" s="49"/>
      <c r="E3511" s="48">
        <v>125.6</v>
      </c>
    </row>
    <row r="3512">
      <c r="A3512" s="46" t="s">
        <v>18</v>
      </c>
      <c r="B3512" s="46" t="s">
        <v>13</v>
      </c>
      <c r="C3512" s="49"/>
      <c r="D3512" s="48">
        <v>77.2</v>
      </c>
      <c r="E3512" s="48">
        <v>77.2</v>
      </c>
    </row>
    <row r="3513">
      <c r="A3513" s="46" t="s">
        <v>18</v>
      </c>
      <c r="B3513" s="46" t="s">
        <v>13</v>
      </c>
      <c r="C3513" s="49"/>
      <c r="D3513" s="48">
        <v>77.8</v>
      </c>
      <c r="E3513" s="48">
        <v>77.8</v>
      </c>
    </row>
    <row r="3514">
      <c r="A3514" s="46" t="s">
        <v>18</v>
      </c>
      <c r="B3514" s="46" t="s">
        <v>15</v>
      </c>
      <c r="C3514" s="48">
        <v>113.2</v>
      </c>
      <c r="D3514" s="49"/>
      <c r="E3514" s="48">
        <v>113.2</v>
      </c>
    </row>
    <row r="3515">
      <c r="A3515" s="46" t="s">
        <v>18</v>
      </c>
      <c r="B3515" s="46" t="s">
        <v>14</v>
      </c>
      <c r="C3515" s="48">
        <v>94.6</v>
      </c>
      <c r="D3515" s="48">
        <v>82.7</v>
      </c>
      <c r="E3515" s="48">
        <v>92.6</v>
      </c>
    </row>
    <row r="3516">
      <c r="A3516" s="46" t="s">
        <v>18</v>
      </c>
      <c r="B3516" s="46" t="s">
        <v>14</v>
      </c>
      <c r="C3516" s="48">
        <v>124.2</v>
      </c>
      <c r="D3516" s="48">
        <v>87.1</v>
      </c>
      <c r="E3516" s="48">
        <v>121.2</v>
      </c>
    </row>
    <row r="3517">
      <c r="A3517" s="46" t="s">
        <v>18</v>
      </c>
      <c r="B3517" s="46" t="s">
        <v>13</v>
      </c>
      <c r="C3517" s="49"/>
      <c r="D3517" s="48">
        <v>81.5</v>
      </c>
      <c r="E3517" s="48">
        <v>81.5</v>
      </c>
    </row>
    <row r="3518">
      <c r="A3518" s="46" t="s">
        <v>18</v>
      </c>
      <c r="B3518" s="46" t="s">
        <v>13</v>
      </c>
      <c r="C3518" s="49"/>
      <c r="D3518" s="48">
        <v>92.5</v>
      </c>
      <c r="E3518" s="48">
        <v>92.5</v>
      </c>
    </row>
    <row r="3519">
      <c r="A3519" s="46" t="s">
        <v>18</v>
      </c>
      <c r="B3519" s="46" t="s">
        <v>15</v>
      </c>
      <c r="C3519" s="48">
        <v>101.8</v>
      </c>
      <c r="D3519" s="49"/>
      <c r="E3519" s="48">
        <v>101.8</v>
      </c>
    </row>
    <row r="3520">
      <c r="A3520" s="46" t="s">
        <v>18</v>
      </c>
      <c r="B3520" s="46" t="s">
        <v>13</v>
      </c>
      <c r="C3520" s="49"/>
      <c r="D3520" s="48">
        <v>80.1</v>
      </c>
      <c r="E3520" s="48">
        <v>80.1</v>
      </c>
    </row>
    <row r="3521">
      <c r="A3521" s="46" t="s">
        <v>18</v>
      </c>
      <c r="B3521" s="46" t="s">
        <v>13</v>
      </c>
      <c r="C3521" s="49"/>
      <c r="D3521" s="48">
        <v>84.5</v>
      </c>
      <c r="E3521" s="48">
        <v>84.5</v>
      </c>
    </row>
    <row r="3522">
      <c r="A3522" s="46" t="s">
        <v>18</v>
      </c>
      <c r="B3522" s="46" t="s">
        <v>15</v>
      </c>
      <c r="C3522" s="48">
        <v>109.4</v>
      </c>
      <c r="D3522" s="49"/>
      <c r="E3522" s="48">
        <v>109.4</v>
      </c>
    </row>
    <row r="3523">
      <c r="A3523" s="46" t="s">
        <v>18</v>
      </c>
      <c r="B3523" s="46" t="s">
        <v>15</v>
      </c>
      <c r="C3523" s="48">
        <v>101.2</v>
      </c>
      <c r="D3523" s="49"/>
      <c r="E3523" s="48">
        <v>101.2</v>
      </c>
    </row>
    <row r="3524">
      <c r="A3524" s="46" t="s">
        <v>18</v>
      </c>
      <c r="B3524" s="46" t="s">
        <v>15</v>
      </c>
      <c r="C3524" s="48">
        <v>115.6</v>
      </c>
      <c r="D3524" s="49"/>
      <c r="E3524" s="48">
        <v>115.6</v>
      </c>
    </row>
    <row r="3525">
      <c r="A3525" s="46" t="s">
        <v>18</v>
      </c>
      <c r="B3525" s="46" t="s">
        <v>13</v>
      </c>
      <c r="C3525" s="49"/>
      <c r="D3525" s="48">
        <v>75.4</v>
      </c>
      <c r="E3525" s="48">
        <v>75.4</v>
      </c>
    </row>
    <row r="3526">
      <c r="A3526" s="46" t="s">
        <v>18</v>
      </c>
      <c r="B3526" s="46" t="s">
        <v>15</v>
      </c>
      <c r="C3526" s="48">
        <v>152.6</v>
      </c>
      <c r="D3526" s="49"/>
      <c r="E3526" s="48">
        <v>152.6</v>
      </c>
    </row>
    <row r="3527">
      <c r="A3527" s="46" t="s">
        <v>18</v>
      </c>
      <c r="B3527" s="46" t="s">
        <v>13</v>
      </c>
      <c r="C3527" s="49"/>
      <c r="D3527" s="48">
        <v>93.8</v>
      </c>
      <c r="E3527" s="48">
        <v>93.8</v>
      </c>
    </row>
    <row r="3528">
      <c r="A3528" s="46" t="s">
        <v>18</v>
      </c>
      <c r="B3528" s="46" t="s">
        <v>13</v>
      </c>
      <c r="C3528" s="49"/>
      <c r="D3528" s="48">
        <v>96.9</v>
      </c>
      <c r="E3528" s="48">
        <v>96.9</v>
      </c>
    </row>
    <row r="3529">
      <c r="A3529" s="46" t="s">
        <v>18</v>
      </c>
      <c r="B3529" s="46" t="s">
        <v>13</v>
      </c>
      <c r="C3529" s="49"/>
      <c r="D3529" s="48">
        <v>84.3</v>
      </c>
      <c r="E3529" s="48">
        <v>84.3</v>
      </c>
    </row>
    <row r="3530">
      <c r="A3530" s="46" t="s">
        <v>18</v>
      </c>
      <c r="B3530" s="46" t="s">
        <v>14</v>
      </c>
      <c r="C3530" s="48">
        <v>100.6</v>
      </c>
      <c r="D3530" s="48">
        <v>82.5</v>
      </c>
      <c r="E3530" s="48">
        <v>94.5</v>
      </c>
    </row>
    <row r="3531">
      <c r="A3531" s="46" t="s">
        <v>18</v>
      </c>
      <c r="B3531" s="46" t="s">
        <v>13</v>
      </c>
      <c r="C3531" s="49"/>
      <c r="D3531" s="48">
        <v>83.6</v>
      </c>
      <c r="E3531" s="48">
        <v>83.6</v>
      </c>
    </row>
    <row r="3532">
      <c r="A3532" s="46" t="s">
        <v>18</v>
      </c>
      <c r="B3532" s="46" t="s">
        <v>13</v>
      </c>
      <c r="C3532" s="49"/>
      <c r="D3532" s="48">
        <v>82.9</v>
      </c>
      <c r="E3532" s="48">
        <v>82.9</v>
      </c>
    </row>
    <row r="3533">
      <c r="A3533" s="46" t="s">
        <v>18</v>
      </c>
      <c r="B3533" s="46" t="s">
        <v>15</v>
      </c>
      <c r="C3533" s="48">
        <v>132.4</v>
      </c>
      <c r="D3533" s="49"/>
      <c r="E3533" s="48">
        <v>132.4</v>
      </c>
    </row>
    <row r="3534">
      <c r="A3534" s="46" t="s">
        <v>18</v>
      </c>
      <c r="B3534" s="46" t="s">
        <v>14</v>
      </c>
      <c r="C3534" s="48">
        <v>108.4</v>
      </c>
      <c r="D3534" s="48">
        <v>87.8</v>
      </c>
      <c r="E3534" s="48">
        <v>102.4</v>
      </c>
    </row>
    <row r="3535">
      <c r="A3535" s="46" t="s">
        <v>18</v>
      </c>
      <c r="B3535" s="46" t="s">
        <v>14</v>
      </c>
      <c r="C3535" s="48">
        <v>90.2</v>
      </c>
      <c r="D3535" s="48">
        <v>80.0</v>
      </c>
      <c r="E3535" s="48">
        <v>81.2</v>
      </c>
    </row>
    <row r="3536">
      <c r="A3536" s="46" t="s">
        <v>18</v>
      </c>
      <c r="B3536" s="46" t="s">
        <v>15</v>
      </c>
      <c r="C3536" s="48">
        <v>131.2</v>
      </c>
      <c r="D3536" s="49"/>
      <c r="E3536" s="48">
        <v>131.2</v>
      </c>
    </row>
    <row r="3537">
      <c r="A3537" s="46" t="s">
        <v>18</v>
      </c>
      <c r="B3537" s="46" t="s">
        <v>15</v>
      </c>
      <c r="C3537" s="48">
        <v>125.7</v>
      </c>
      <c r="D3537" s="49"/>
      <c r="E3537" s="48">
        <v>125.7</v>
      </c>
    </row>
    <row r="3538">
      <c r="A3538" s="46" t="s">
        <v>18</v>
      </c>
      <c r="B3538" s="46" t="s">
        <v>15</v>
      </c>
      <c r="C3538" s="48">
        <v>124.5</v>
      </c>
      <c r="D3538" s="49"/>
      <c r="E3538" s="48">
        <v>124.5</v>
      </c>
    </row>
    <row r="3539">
      <c r="A3539" s="46" t="s">
        <v>18</v>
      </c>
      <c r="B3539" s="46" t="s">
        <v>14</v>
      </c>
      <c r="C3539" s="48">
        <v>95.2</v>
      </c>
      <c r="D3539" s="48">
        <v>93.5</v>
      </c>
      <c r="E3539" s="48">
        <v>95.1</v>
      </c>
    </row>
    <row r="3540">
      <c r="A3540" s="46" t="s">
        <v>18</v>
      </c>
      <c r="B3540" s="46" t="s">
        <v>15</v>
      </c>
      <c r="C3540" s="48">
        <v>146.9</v>
      </c>
      <c r="D3540" s="49"/>
      <c r="E3540" s="48">
        <v>146.9</v>
      </c>
    </row>
    <row r="3541">
      <c r="A3541" s="46" t="s">
        <v>18</v>
      </c>
      <c r="B3541" s="46" t="s">
        <v>13</v>
      </c>
      <c r="C3541" s="49"/>
      <c r="D3541" s="48">
        <v>90.4</v>
      </c>
      <c r="E3541" s="48">
        <v>90.4</v>
      </c>
    </row>
    <row r="3542">
      <c r="A3542" s="46" t="s">
        <v>18</v>
      </c>
      <c r="B3542" s="46" t="s">
        <v>13</v>
      </c>
      <c r="C3542" s="49"/>
      <c r="D3542" s="48">
        <v>88.0</v>
      </c>
      <c r="E3542" s="48">
        <v>88.0</v>
      </c>
    </row>
    <row r="3543">
      <c r="A3543" s="46" t="s">
        <v>18</v>
      </c>
      <c r="B3543" s="46" t="s">
        <v>13</v>
      </c>
      <c r="C3543" s="49"/>
      <c r="D3543" s="48">
        <v>96.0</v>
      </c>
      <c r="E3543" s="48">
        <v>96.0</v>
      </c>
    </row>
    <row r="3544">
      <c r="A3544" s="46" t="s">
        <v>18</v>
      </c>
      <c r="B3544" s="46" t="s">
        <v>15</v>
      </c>
      <c r="C3544" s="48">
        <v>132.1</v>
      </c>
      <c r="D3544" s="49"/>
      <c r="E3544" s="48">
        <v>132.1</v>
      </c>
    </row>
    <row r="3545">
      <c r="A3545" s="46" t="s">
        <v>18</v>
      </c>
      <c r="B3545" s="46" t="s">
        <v>14</v>
      </c>
      <c r="C3545" s="48">
        <v>94.5</v>
      </c>
      <c r="D3545" s="48">
        <v>77.3</v>
      </c>
      <c r="E3545" s="48">
        <v>94.4</v>
      </c>
    </row>
    <row r="3546">
      <c r="A3546" s="46" t="s">
        <v>18</v>
      </c>
      <c r="B3546" s="46" t="s">
        <v>14</v>
      </c>
      <c r="C3546" s="48">
        <v>120.1</v>
      </c>
      <c r="D3546" s="48">
        <v>94.1</v>
      </c>
      <c r="E3546" s="48">
        <v>116.1</v>
      </c>
    </row>
    <row r="3547">
      <c r="A3547" s="46" t="s">
        <v>18</v>
      </c>
      <c r="B3547" s="46" t="s">
        <v>13</v>
      </c>
      <c r="C3547" s="49"/>
      <c r="D3547" s="48">
        <v>84.9</v>
      </c>
      <c r="E3547" s="48">
        <v>84.9</v>
      </c>
    </row>
    <row r="3548">
      <c r="A3548" s="46" t="s">
        <v>18</v>
      </c>
      <c r="B3548" s="46" t="s">
        <v>15</v>
      </c>
      <c r="C3548" s="48">
        <v>134.2</v>
      </c>
      <c r="D3548" s="49"/>
      <c r="E3548" s="48">
        <v>134.2</v>
      </c>
    </row>
    <row r="3549">
      <c r="A3549" s="46" t="s">
        <v>18</v>
      </c>
      <c r="B3549" s="46" t="s">
        <v>13</v>
      </c>
      <c r="C3549" s="49"/>
      <c r="D3549" s="48">
        <v>91.4</v>
      </c>
      <c r="E3549" s="48">
        <v>91.4</v>
      </c>
    </row>
    <row r="3550">
      <c r="A3550" s="46" t="s">
        <v>18</v>
      </c>
      <c r="B3550" s="46" t="s">
        <v>13</v>
      </c>
      <c r="C3550" s="49"/>
      <c r="D3550" s="48">
        <v>85.2</v>
      </c>
      <c r="E3550" s="48">
        <v>85.2</v>
      </c>
    </row>
    <row r="3551">
      <c r="A3551" s="46" t="s">
        <v>18</v>
      </c>
      <c r="B3551" s="46" t="s">
        <v>14</v>
      </c>
      <c r="C3551" s="48">
        <v>116.4</v>
      </c>
      <c r="D3551" s="48">
        <v>90.1</v>
      </c>
      <c r="E3551" s="48">
        <v>113.8</v>
      </c>
    </row>
    <row r="3552">
      <c r="A3552" s="46" t="s">
        <v>18</v>
      </c>
      <c r="B3552" s="46" t="s">
        <v>14</v>
      </c>
      <c r="C3552" s="48">
        <v>102.7</v>
      </c>
      <c r="D3552" s="48">
        <v>93.2</v>
      </c>
      <c r="E3552" s="48">
        <v>94.4</v>
      </c>
    </row>
    <row r="3553">
      <c r="A3553" s="46" t="s">
        <v>18</v>
      </c>
      <c r="B3553" s="46" t="s">
        <v>15</v>
      </c>
      <c r="C3553" s="48">
        <v>122.5</v>
      </c>
      <c r="D3553" s="49"/>
      <c r="E3553" s="48">
        <v>122.5</v>
      </c>
    </row>
    <row r="3554">
      <c r="A3554" s="46" t="s">
        <v>18</v>
      </c>
      <c r="B3554" s="46" t="s">
        <v>15</v>
      </c>
      <c r="C3554" s="48">
        <v>121.2</v>
      </c>
      <c r="D3554" s="49"/>
      <c r="E3554" s="48">
        <v>121.2</v>
      </c>
    </row>
    <row r="3555">
      <c r="A3555" s="46" t="s">
        <v>18</v>
      </c>
      <c r="B3555" s="46" t="s">
        <v>15</v>
      </c>
      <c r="C3555" s="48">
        <v>83.5</v>
      </c>
      <c r="D3555" s="49"/>
      <c r="E3555" s="48">
        <v>83.5</v>
      </c>
    </row>
    <row r="3556">
      <c r="A3556" s="46" t="s">
        <v>18</v>
      </c>
      <c r="B3556" s="46" t="s">
        <v>14</v>
      </c>
      <c r="C3556" s="48">
        <v>71.5</v>
      </c>
      <c r="D3556" s="48">
        <v>75.6</v>
      </c>
      <c r="E3556" s="48">
        <v>75.5</v>
      </c>
    </row>
    <row r="3557">
      <c r="A3557" s="46" t="s">
        <v>18</v>
      </c>
      <c r="B3557" s="46" t="s">
        <v>14</v>
      </c>
      <c r="C3557" s="48">
        <v>81.5</v>
      </c>
      <c r="D3557" s="48">
        <v>72.7</v>
      </c>
      <c r="E3557" s="48">
        <v>75.4</v>
      </c>
    </row>
    <row r="3558">
      <c r="A3558" s="46" t="s">
        <v>18</v>
      </c>
      <c r="B3558" s="46" t="s">
        <v>13</v>
      </c>
      <c r="C3558" s="49"/>
      <c r="D3558" s="48">
        <v>87.9</v>
      </c>
      <c r="E3558" s="48">
        <v>87.9</v>
      </c>
    </row>
    <row r="3559">
      <c r="A3559" s="46" t="s">
        <v>18</v>
      </c>
      <c r="B3559" s="46" t="s">
        <v>14</v>
      </c>
      <c r="C3559" s="48">
        <v>98.4</v>
      </c>
      <c r="D3559" s="48">
        <v>84.8</v>
      </c>
      <c r="E3559" s="48">
        <v>95.8</v>
      </c>
    </row>
    <row r="3560">
      <c r="A3560" s="46" t="s">
        <v>18</v>
      </c>
      <c r="B3560" s="46" t="s">
        <v>14</v>
      </c>
      <c r="C3560" s="48">
        <v>85.8</v>
      </c>
      <c r="D3560" s="48">
        <v>75.6</v>
      </c>
      <c r="E3560" s="48">
        <v>83.8</v>
      </c>
    </row>
    <row r="3561">
      <c r="A3561" s="46" t="s">
        <v>18</v>
      </c>
      <c r="B3561" s="46" t="s">
        <v>14</v>
      </c>
      <c r="C3561" s="48">
        <v>83.6</v>
      </c>
      <c r="D3561" s="48">
        <v>75.6</v>
      </c>
      <c r="E3561" s="48">
        <v>79.4</v>
      </c>
    </row>
    <row r="3562">
      <c r="A3562" s="46" t="s">
        <v>18</v>
      </c>
      <c r="B3562" s="46" t="s">
        <v>14</v>
      </c>
      <c r="C3562" s="48">
        <v>93.9</v>
      </c>
      <c r="D3562" s="48">
        <v>73.8</v>
      </c>
      <c r="E3562" s="48">
        <v>76.2</v>
      </c>
    </row>
    <row r="3563">
      <c r="A3563" s="46" t="s">
        <v>18</v>
      </c>
      <c r="B3563" s="46" t="s">
        <v>13</v>
      </c>
      <c r="C3563" s="49"/>
      <c r="D3563" s="48">
        <v>74.3</v>
      </c>
      <c r="E3563" s="48">
        <v>74.3</v>
      </c>
    </row>
    <row r="3564">
      <c r="A3564" s="46" t="s">
        <v>18</v>
      </c>
      <c r="B3564" s="46" t="s">
        <v>14</v>
      </c>
      <c r="C3564" s="48">
        <v>95.0</v>
      </c>
      <c r="D3564" s="48">
        <v>77.6</v>
      </c>
      <c r="E3564" s="48">
        <v>84.6</v>
      </c>
    </row>
    <row r="3565">
      <c r="A3565" s="46" t="s">
        <v>18</v>
      </c>
      <c r="B3565" s="46" t="s">
        <v>14</v>
      </c>
      <c r="C3565" s="48">
        <v>97.2</v>
      </c>
      <c r="D3565" s="48">
        <v>83.3</v>
      </c>
      <c r="E3565" s="48">
        <v>89.8</v>
      </c>
    </row>
    <row r="3566">
      <c r="A3566" s="46" t="s">
        <v>18</v>
      </c>
      <c r="B3566" s="46" t="s">
        <v>15</v>
      </c>
      <c r="C3566" s="48">
        <v>86.7</v>
      </c>
      <c r="D3566" s="49"/>
      <c r="E3566" s="48">
        <v>86.7</v>
      </c>
    </row>
    <row r="3567">
      <c r="A3567" s="46" t="s">
        <v>18</v>
      </c>
      <c r="B3567" s="46" t="s">
        <v>15</v>
      </c>
      <c r="C3567" s="48">
        <v>127.7</v>
      </c>
      <c r="D3567" s="49"/>
      <c r="E3567" s="48">
        <v>127.7</v>
      </c>
    </row>
    <row r="3568">
      <c r="A3568" s="46" t="s">
        <v>18</v>
      </c>
      <c r="B3568" s="46" t="s">
        <v>13</v>
      </c>
      <c r="C3568" s="49"/>
      <c r="D3568" s="48">
        <v>89.3</v>
      </c>
      <c r="E3568" s="48">
        <v>89.3</v>
      </c>
    </row>
    <row r="3569">
      <c r="A3569" s="46" t="s">
        <v>18</v>
      </c>
      <c r="B3569" s="46" t="s">
        <v>13</v>
      </c>
      <c r="C3569" s="49"/>
      <c r="D3569" s="48">
        <v>87.6</v>
      </c>
      <c r="E3569" s="48">
        <v>87.6</v>
      </c>
    </row>
    <row r="3570">
      <c r="A3570" s="46" t="s">
        <v>18</v>
      </c>
      <c r="B3570" s="46" t="s">
        <v>14</v>
      </c>
      <c r="C3570" s="48">
        <v>107.9</v>
      </c>
      <c r="D3570" s="48">
        <v>88.6</v>
      </c>
      <c r="E3570" s="48">
        <v>105.7</v>
      </c>
    </row>
    <row r="3571">
      <c r="A3571" s="46" t="s">
        <v>18</v>
      </c>
      <c r="B3571" s="46" t="s">
        <v>14</v>
      </c>
      <c r="C3571" s="48">
        <v>108.2</v>
      </c>
      <c r="D3571" s="48">
        <v>83.6</v>
      </c>
      <c r="E3571" s="48">
        <v>104.7</v>
      </c>
    </row>
    <row r="3572">
      <c r="A3572" s="46" t="s">
        <v>18</v>
      </c>
      <c r="B3572" s="46" t="s">
        <v>14</v>
      </c>
      <c r="C3572" s="48">
        <v>97.1</v>
      </c>
      <c r="D3572" s="48">
        <v>82.1</v>
      </c>
      <c r="E3572" s="48">
        <v>95.1</v>
      </c>
    </row>
    <row r="3573">
      <c r="A3573" s="46" t="s">
        <v>18</v>
      </c>
      <c r="B3573" s="46" t="s">
        <v>14</v>
      </c>
      <c r="C3573" s="48">
        <v>96.1</v>
      </c>
      <c r="D3573" s="48">
        <v>86.4</v>
      </c>
      <c r="E3573" s="48">
        <v>92.5</v>
      </c>
    </row>
    <row r="3574">
      <c r="A3574" s="46" t="s">
        <v>18</v>
      </c>
      <c r="B3574" s="46" t="s">
        <v>13</v>
      </c>
      <c r="C3574" s="49"/>
      <c r="D3574" s="48">
        <v>79.2</v>
      </c>
      <c r="E3574" s="48">
        <v>79.2</v>
      </c>
    </row>
    <row r="3575">
      <c r="A3575" s="46" t="s">
        <v>18</v>
      </c>
      <c r="B3575" s="46" t="s">
        <v>14</v>
      </c>
      <c r="C3575" s="48">
        <v>97.7</v>
      </c>
      <c r="D3575" s="48">
        <v>80.9</v>
      </c>
      <c r="E3575" s="48">
        <v>92.8</v>
      </c>
    </row>
    <row r="3576">
      <c r="A3576" s="46" t="s">
        <v>18</v>
      </c>
      <c r="B3576" s="46" t="s">
        <v>14</v>
      </c>
      <c r="C3576" s="48">
        <v>120.2</v>
      </c>
      <c r="D3576" s="48">
        <v>86.4</v>
      </c>
      <c r="E3576" s="48">
        <v>113.2</v>
      </c>
    </row>
    <row r="3577">
      <c r="A3577" s="46" t="s">
        <v>18</v>
      </c>
      <c r="B3577" s="46" t="s">
        <v>14</v>
      </c>
      <c r="C3577" s="48">
        <v>102.1</v>
      </c>
      <c r="D3577" s="48">
        <v>84.4</v>
      </c>
      <c r="E3577" s="48">
        <v>94.8</v>
      </c>
    </row>
    <row r="3578">
      <c r="A3578" s="46" t="s">
        <v>18</v>
      </c>
      <c r="B3578" s="46" t="s">
        <v>13</v>
      </c>
      <c r="C3578" s="49"/>
      <c r="D3578" s="48">
        <v>81.5</v>
      </c>
      <c r="E3578" s="48">
        <v>81.5</v>
      </c>
    </row>
    <row r="3579">
      <c r="A3579" s="46" t="s">
        <v>18</v>
      </c>
      <c r="B3579" s="46" t="s">
        <v>13</v>
      </c>
      <c r="C3579" s="49"/>
      <c r="D3579" s="48">
        <v>76.1</v>
      </c>
      <c r="E3579" s="48">
        <v>76.1</v>
      </c>
    </row>
    <row r="3580">
      <c r="A3580" s="46" t="s">
        <v>18</v>
      </c>
      <c r="B3580" s="46" t="s">
        <v>13</v>
      </c>
      <c r="C3580" s="49"/>
      <c r="D3580" s="48">
        <v>75.6</v>
      </c>
      <c r="E3580" s="48">
        <v>75.6</v>
      </c>
    </row>
    <row r="3581">
      <c r="A3581" s="46" t="s">
        <v>18</v>
      </c>
      <c r="B3581" s="46" t="s">
        <v>13</v>
      </c>
      <c r="C3581" s="49"/>
      <c r="D3581" s="48">
        <v>94.2</v>
      </c>
      <c r="E3581" s="48">
        <v>94.2</v>
      </c>
    </row>
    <row r="3582">
      <c r="A3582" s="46" t="s">
        <v>18</v>
      </c>
      <c r="B3582" s="46" t="s">
        <v>14</v>
      </c>
      <c r="C3582" s="48">
        <v>103.5</v>
      </c>
      <c r="D3582" s="48">
        <v>88.3</v>
      </c>
      <c r="E3582" s="48">
        <v>96.9</v>
      </c>
    </row>
    <row r="3583">
      <c r="A3583" s="46" t="s">
        <v>18</v>
      </c>
      <c r="B3583" s="46" t="s">
        <v>14</v>
      </c>
      <c r="C3583" s="48">
        <v>117.4</v>
      </c>
      <c r="D3583" s="48">
        <v>89.2</v>
      </c>
      <c r="E3583" s="48">
        <v>108.4</v>
      </c>
    </row>
    <row r="3584">
      <c r="A3584" s="46" t="s">
        <v>18</v>
      </c>
      <c r="B3584" s="46" t="s">
        <v>14</v>
      </c>
      <c r="C3584" s="48">
        <v>121.8</v>
      </c>
      <c r="D3584" s="48">
        <v>98.6</v>
      </c>
      <c r="E3584" s="48">
        <v>118.3</v>
      </c>
    </row>
    <row r="3585">
      <c r="A3585" s="46" t="s">
        <v>18</v>
      </c>
      <c r="B3585" s="46" t="s">
        <v>15</v>
      </c>
      <c r="C3585" s="48">
        <v>115.2</v>
      </c>
      <c r="D3585" s="49"/>
      <c r="E3585" s="48">
        <v>115.2</v>
      </c>
    </row>
    <row r="3586">
      <c r="A3586" s="46" t="s">
        <v>18</v>
      </c>
      <c r="B3586" s="46" t="s">
        <v>14</v>
      </c>
      <c r="C3586" s="48">
        <v>105.1</v>
      </c>
      <c r="D3586" s="48">
        <v>75.7</v>
      </c>
      <c r="E3586" s="48">
        <v>103.3</v>
      </c>
    </row>
    <row r="3587">
      <c r="A3587" s="46" t="s">
        <v>18</v>
      </c>
      <c r="B3587" s="46" t="s">
        <v>15</v>
      </c>
      <c r="C3587" s="48">
        <v>117.1</v>
      </c>
      <c r="D3587" s="49"/>
      <c r="E3587" s="48">
        <v>117.1</v>
      </c>
    </row>
    <row r="3588">
      <c r="A3588" s="46" t="s">
        <v>18</v>
      </c>
      <c r="B3588" s="46" t="s">
        <v>14</v>
      </c>
      <c r="C3588" s="48">
        <v>106.3</v>
      </c>
      <c r="D3588" s="48">
        <v>91.1</v>
      </c>
      <c r="E3588" s="48">
        <v>103.3</v>
      </c>
    </row>
    <row r="3589">
      <c r="A3589" s="46" t="s">
        <v>18</v>
      </c>
      <c r="B3589" s="46" t="s">
        <v>15</v>
      </c>
      <c r="C3589" s="48">
        <v>87.6</v>
      </c>
      <c r="D3589" s="49"/>
      <c r="E3589" s="48">
        <v>87.6</v>
      </c>
    </row>
    <row r="3590">
      <c r="A3590" s="46" t="s">
        <v>18</v>
      </c>
      <c r="B3590" s="46" t="s">
        <v>14</v>
      </c>
      <c r="C3590" s="48">
        <v>98.1</v>
      </c>
      <c r="D3590" s="48">
        <v>74.2</v>
      </c>
      <c r="E3590" s="48">
        <v>86.4</v>
      </c>
    </row>
    <row r="3591">
      <c r="A3591" s="46" t="s">
        <v>18</v>
      </c>
      <c r="B3591" s="46" t="s">
        <v>15</v>
      </c>
      <c r="C3591" s="48">
        <v>110.8</v>
      </c>
      <c r="D3591" s="49"/>
      <c r="E3591" s="48">
        <v>110.8</v>
      </c>
    </row>
    <row r="3592">
      <c r="A3592" s="46" t="s">
        <v>18</v>
      </c>
      <c r="B3592" s="46" t="s">
        <v>13</v>
      </c>
      <c r="C3592" s="49"/>
      <c r="D3592" s="48">
        <v>76.7</v>
      </c>
      <c r="E3592" s="48">
        <v>76.7</v>
      </c>
    </row>
    <row r="3593">
      <c r="A3593" s="46" t="s">
        <v>18</v>
      </c>
      <c r="B3593" s="46" t="s">
        <v>15</v>
      </c>
      <c r="C3593" s="48">
        <v>97.1</v>
      </c>
      <c r="D3593" s="49"/>
      <c r="E3593" s="48">
        <v>97.1</v>
      </c>
    </row>
    <row r="3594">
      <c r="A3594" s="46" t="s">
        <v>18</v>
      </c>
      <c r="B3594" s="46" t="s">
        <v>13</v>
      </c>
      <c r="C3594" s="49"/>
      <c r="D3594" s="48">
        <v>77.4</v>
      </c>
      <c r="E3594" s="48">
        <v>77.4</v>
      </c>
    </row>
    <row r="3595">
      <c r="A3595" s="46" t="s">
        <v>18</v>
      </c>
      <c r="B3595" s="46" t="s">
        <v>15</v>
      </c>
      <c r="C3595" s="48">
        <v>96.3</v>
      </c>
      <c r="D3595" s="49"/>
      <c r="E3595" s="48">
        <v>96.3</v>
      </c>
    </row>
    <row r="3596">
      <c r="A3596" s="46" t="s">
        <v>18</v>
      </c>
      <c r="B3596" s="46" t="s">
        <v>14</v>
      </c>
      <c r="C3596" s="48">
        <v>74.6</v>
      </c>
      <c r="D3596" s="48">
        <v>55.0</v>
      </c>
      <c r="E3596" s="48">
        <v>64.9</v>
      </c>
    </row>
    <row r="3597">
      <c r="A3597" s="46" t="s">
        <v>18</v>
      </c>
      <c r="B3597" s="46" t="s">
        <v>15</v>
      </c>
      <c r="C3597" s="48">
        <v>98.2</v>
      </c>
      <c r="D3597" s="49"/>
      <c r="E3597" s="48">
        <v>98.2</v>
      </c>
    </row>
    <row r="3598">
      <c r="A3598" s="46" t="s">
        <v>18</v>
      </c>
      <c r="B3598" s="46" t="s">
        <v>14</v>
      </c>
      <c r="C3598" s="48">
        <v>94.0</v>
      </c>
      <c r="D3598" s="48">
        <v>53.9</v>
      </c>
      <c r="E3598" s="48">
        <v>93.7</v>
      </c>
    </row>
    <row r="3599">
      <c r="A3599" s="46" t="s">
        <v>18</v>
      </c>
      <c r="B3599" s="46" t="s">
        <v>13</v>
      </c>
      <c r="C3599" s="49"/>
      <c r="D3599" s="48">
        <v>64.2</v>
      </c>
      <c r="E3599" s="48">
        <v>64.2</v>
      </c>
    </row>
    <row r="3600">
      <c r="A3600" s="46" t="s">
        <v>18</v>
      </c>
      <c r="B3600" s="46" t="s">
        <v>13</v>
      </c>
      <c r="C3600" s="49"/>
      <c r="D3600" s="48">
        <v>66.7</v>
      </c>
      <c r="E3600" s="48">
        <v>66.7</v>
      </c>
    </row>
    <row r="3601">
      <c r="A3601" s="46" t="s">
        <v>18</v>
      </c>
      <c r="B3601" s="46" t="s">
        <v>15</v>
      </c>
      <c r="C3601" s="48">
        <v>100.9</v>
      </c>
      <c r="D3601" s="49"/>
      <c r="E3601" s="48">
        <v>100.9</v>
      </c>
    </row>
    <row r="3602">
      <c r="A3602" s="46" t="s">
        <v>18</v>
      </c>
      <c r="B3602" s="46" t="s">
        <v>14</v>
      </c>
      <c r="C3602" s="48">
        <v>92.0</v>
      </c>
      <c r="D3602" s="48">
        <v>65.7</v>
      </c>
      <c r="E3602" s="48">
        <v>81.4</v>
      </c>
    </row>
    <row r="3603">
      <c r="A3603" s="46" t="s">
        <v>18</v>
      </c>
      <c r="B3603" s="46" t="s">
        <v>14</v>
      </c>
      <c r="C3603" s="48">
        <v>107.9</v>
      </c>
      <c r="D3603" s="48">
        <v>78.1</v>
      </c>
      <c r="E3603" s="48">
        <v>102.2</v>
      </c>
    </row>
    <row r="3604">
      <c r="A3604" s="46" t="s">
        <v>18</v>
      </c>
      <c r="B3604" s="46" t="s">
        <v>14</v>
      </c>
      <c r="C3604" s="48">
        <v>67.1</v>
      </c>
      <c r="D3604" s="48">
        <v>61.8</v>
      </c>
      <c r="E3604" s="48">
        <v>63.6</v>
      </c>
    </row>
    <row r="3605">
      <c r="A3605" s="46" t="s">
        <v>18</v>
      </c>
      <c r="B3605" s="46" t="s">
        <v>14</v>
      </c>
      <c r="C3605" s="48">
        <v>62.6</v>
      </c>
      <c r="D3605" s="48">
        <v>60.1</v>
      </c>
      <c r="E3605" s="48">
        <v>61.3</v>
      </c>
    </row>
    <row r="3606">
      <c r="A3606" s="46" t="s">
        <v>18</v>
      </c>
      <c r="B3606" s="46" t="s">
        <v>14</v>
      </c>
      <c r="C3606" s="48">
        <v>78.7</v>
      </c>
      <c r="D3606" s="48">
        <v>62.5</v>
      </c>
      <c r="E3606" s="48">
        <v>73.9</v>
      </c>
    </row>
    <row r="3607">
      <c r="A3607" s="46" t="s">
        <v>18</v>
      </c>
      <c r="B3607" s="46" t="s">
        <v>14</v>
      </c>
      <c r="C3607" s="48">
        <v>73.2</v>
      </c>
      <c r="D3607" s="48">
        <v>61.9</v>
      </c>
      <c r="E3607" s="48">
        <v>67.0</v>
      </c>
    </row>
    <row r="3608">
      <c r="A3608" s="46" t="s">
        <v>18</v>
      </c>
      <c r="B3608" s="46" t="s">
        <v>14</v>
      </c>
      <c r="C3608" s="48">
        <v>67.7</v>
      </c>
      <c r="D3608" s="48">
        <v>60.1</v>
      </c>
      <c r="E3608" s="48">
        <v>65.6</v>
      </c>
    </row>
    <row r="3609">
      <c r="A3609" s="50"/>
      <c r="B3609" s="50"/>
      <c r="C3609" s="50"/>
      <c r="D3609" s="50"/>
      <c r="E3609" s="50"/>
    </row>
    <row r="3610">
      <c r="A3610" s="50"/>
      <c r="B3610" s="50"/>
      <c r="C3610" s="50"/>
      <c r="D3610" s="50"/>
      <c r="E3610" s="50"/>
    </row>
  </sheetData>
  <autoFilter ref="$A$1:$E$3608">
    <sortState ref="A1:E3608">
      <sortCondition ref="A1:A3608"/>
    </sortState>
  </autoFilter>
  <customSheetViews>
    <customSheetView guid="{E1DD9E4C-D646-41F4-9057-4F4DB3543482}" filter="1" showAutoFilter="1">
      <autoFilter ref="$A$1:$B$3610"/>
    </customSheetView>
  </customSheetView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1.22" defaultRowHeight="15.75"/>
  <sheetData>
    <row r="1">
      <c r="A1" s="46" t="s">
        <v>59</v>
      </c>
      <c r="B1" s="51" t="s">
        <v>8358</v>
      </c>
      <c r="C1" s="51" t="s">
        <v>8359</v>
      </c>
      <c r="D1" s="46" t="s">
        <v>10</v>
      </c>
      <c r="E1" s="51" t="s">
        <v>25</v>
      </c>
      <c r="F1" s="52" t="s">
        <v>57</v>
      </c>
      <c r="K1" s="34" t="s">
        <v>8360</v>
      </c>
      <c r="L1" s="9">
        <f>average(F2:F3608)</f>
        <v>103.9115609</v>
      </c>
    </row>
    <row r="2">
      <c r="A2" s="46" t="s">
        <v>71</v>
      </c>
      <c r="B2" s="46" t="s">
        <v>77</v>
      </c>
      <c r="C2" s="46" t="s">
        <v>78</v>
      </c>
      <c r="D2" s="46" t="s">
        <v>18</v>
      </c>
      <c r="E2" s="46" t="s">
        <v>14</v>
      </c>
      <c r="F2" s="48">
        <v>121.6</v>
      </c>
    </row>
    <row r="3">
      <c r="A3" s="46" t="s">
        <v>71</v>
      </c>
      <c r="B3" s="46" t="s">
        <v>80</v>
      </c>
      <c r="C3" s="46" t="s">
        <v>81</v>
      </c>
      <c r="D3" s="46" t="s">
        <v>17</v>
      </c>
      <c r="E3" s="46" t="s">
        <v>15</v>
      </c>
      <c r="F3" s="48">
        <v>128.5</v>
      </c>
      <c r="K3" s="53" t="s">
        <v>30</v>
      </c>
      <c r="L3" s="53" t="s">
        <v>31</v>
      </c>
      <c r="M3" s="53" t="s">
        <v>32</v>
      </c>
      <c r="O3" s="53" t="s">
        <v>25</v>
      </c>
      <c r="P3" s="53" t="s">
        <v>12</v>
      </c>
      <c r="Q3" s="53" t="s">
        <v>13</v>
      </c>
      <c r="R3" s="53" t="s">
        <v>14</v>
      </c>
    </row>
    <row r="4">
      <c r="A4" s="46" t="s">
        <v>71</v>
      </c>
      <c r="B4" s="46" t="s">
        <v>86</v>
      </c>
      <c r="C4" s="46" t="s">
        <v>87</v>
      </c>
      <c r="D4" s="46" t="s">
        <v>18</v>
      </c>
      <c r="E4" s="46" t="s">
        <v>15</v>
      </c>
      <c r="F4" s="48">
        <v>120.1</v>
      </c>
      <c r="K4" s="54" t="s">
        <v>22</v>
      </c>
      <c r="L4" s="54">
        <f>COUNTIFs($D2:$D3608,"public")</f>
        <v>2403</v>
      </c>
      <c r="M4" s="54">
        <f>COUNTIFs($D2:$D3608,"privé sous contrat")</f>
        <v>1204</v>
      </c>
      <c r="O4" s="54" t="s">
        <v>22</v>
      </c>
      <c r="P4" s="54">
        <f>countif($E$2:$E$3608,"LEGT")</f>
        <v>1517</v>
      </c>
      <c r="Q4" s="54">
        <f>countif($E$2:$E$3608,"LP")</f>
        <v>1132</v>
      </c>
      <c r="R4" s="54">
        <f>countif($E$2:$E$3608,"LPO")</f>
        <v>958</v>
      </c>
    </row>
    <row r="5">
      <c r="A5" s="46" t="s">
        <v>88</v>
      </c>
      <c r="B5" s="46" t="s">
        <v>107</v>
      </c>
      <c r="C5" s="46" t="s">
        <v>108</v>
      </c>
      <c r="D5" s="46" t="s">
        <v>17</v>
      </c>
      <c r="E5" s="46" t="s">
        <v>15</v>
      </c>
      <c r="F5" s="48">
        <v>109.8</v>
      </c>
    </row>
    <row r="6">
      <c r="A6" s="46" t="s">
        <v>88</v>
      </c>
      <c r="B6" s="46" t="s">
        <v>80</v>
      </c>
      <c r="C6" s="46" t="s">
        <v>110</v>
      </c>
      <c r="D6" s="46" t="s">
        <v>17</v>
      </c>
      <c r="E6" s="46" t="s">
        <v>15</v>
      </c>
      <c r="F6" s="48">
        <v>110.2</v>
      </c>
    </row>
    <row r="7">
      <c r="A7" s="46" t="s">
        <v>116</v>
      </c>
      <c r="B7" s="46" t="s">
        <v>122</v>
      </c>
      <c r="C7" s="46" t="s">
        <v>123</v>
      </c>
      <c r="D7" s="46" t="s">
        <v>18</v>
      </c>
      <c r="E7" s="46" t="s">
        <v>15</v>
      </c>
      <c r="F7" s="48">
        <v>111.9</v>
      </c>
    </row>
    <row r="8">
      <c r="A8" s="46" t="s">
        <v>129</v>
      </c>
      <c r="B8" s="46" t="s">
        <v>132</v>
      </c>
      <c r="C8" s="46" t="s">
        <v>133</v>
      </c>
      <c r="D8" s="46" t="s">
        <v>18</v>
      </c>
      <c r="E8" s="46" t="s">
        <v>15</v>
      </c>
      <c r="F8" s="48">
        <v>113.2</v>
      </c>
      <c r="K8" s="55" t="s">
        <v>8361</v>
      </c>
      <c r="L8" s="56"/>
      <c r="M8" s="56"/>
      <c r="N8" s="56"/>
    </row>
    <row r="9">
      <c r="A9" s="46" t="s">
        <v>134</v>
      </c>
      <c r="B9" s="46" t="s">
        <v>140</v>
      </c>
      <c r="C9" s="46" t="s">
        <v>141</v>
      </c>
      <c r="D9" s="46" t="s">
        <v>18</v>
      </c>
      <c r="E9" s="46" t="s">
        <v>15</v>
      </c>
      <c r="F9" s="48">
        <v>123.2</v>
      </c>
    </row>
    <row r="10">
      <c r="A10" s="46" t="s">
        <v>134</v>
      </c>
      <c r="B10" s="46" t="s">
        <v>149</v>
      </c>
      <c r="C10" s="46" t="s">
        <v>138</v>
      </c>
      <c r="D10" s="46" t="s">
        <v>17</v>
      </c>
      <c r="E10" s="46" t="s">
        <v>15</v>
      </c>
      <c r="F10" s="48">
        <v>131.6</v>
      </c>
      <c r="K10" s="53" t="s">
        <v>30</v>
      </c>
      <c r="L10" s="57" t="s">
        <v>31</v>
      </c>
      <c r="M10" s="57" t="s">
        <v>32</v>
      </c>
    </row>
    <row r="11">
      <c r="A11" s="46" t="s">
        <v>134</v>
      </c>
      <c r="B11" s="46" t="s">
        <v>151</v>
      </c>
      <c r="C11" s="46" t="s">
        <v>134</v>
      </c>
      <c r="D11" s="46" t="s">
        <v>17</v>
      </c>
      <c r="E11" s="46" t="s">
        <v>15</v>
      </c>
      <c r="F11" s="48">
        <v>127.2</v>
      </c>
      <c r="K11" s="54" t="s">
        <v>20</v>
      </c>
      <c r="L11" s="58">
        <f>ROUND(COUNTIFS($F$2:$F$3608,"&gt;="&amp;L1,$D$2:$D$3608,"public")*100/$L$4,2)</f>
        <v>41.53</v>
      </c>
      <c r="M11" s="58">
        <f>ROUND(COUNTIFS($F$2:$F$3608,"&gt;="&amp;L1,$D$2:$D$3608,"privé sous contrat")*100/$M$4,2)</f>
        <v>65.78</v>
      </c>
    </row>
    <row r="12">
      <c r="A12" s="46" t="s">
        <v>134</v>
      </c>
      <c r="B12" s="46" t="s">
        <v>153</v>
      </c>
      <c r="C12" s="46" t="s">
        <v>134</v>
      </c>
      <c r="D12" s="46" t="s">
        <v>17</v>
      </c>
      <c r="E12" s="46" t="s">
        <v>13</v>
      </c>
      <c r="F12" s="48">
        <v>108.5</v>
      </c>
      <c r="K12" s="59"/>
      <c r="L12" s="59"/>
      <c r="M12" s="59"/>
      <c r="N12" s="59"/>
    </row>
    <row r="13">
      <c r="A13" s="46" t="s">
        <v>134</v>
      </c>
      <c r="B13" s="46" t="s">
        <v>155</v>
      </c>
      <c r="C13" s="46" t="s">
        <v>134</v>
      </c>
      <c r="D13" s="46" t="s">
        <v>17</v>
      </c>
      <c r="E13" s="46" t="s">
        <v>13</v>
      </c>
      <c r="F13" s="48">
        <v>121.5</v>
      </c>
      <c r="K13" s="60" t="s">
        <v>8362</v>
      </c>
    </row>
    <row r="14">
      <c r="A14" s="46" t="s">
        <v>161</v>
      </c>
      <c r="B14" s="46" t="s">
        <v>167</v>
      </c>
      <c r="C14" s="46" t="s">
        <v>168</v>
      </c>
      <c r="D14" s="46" t="s">
        <v>18</v>
      </c>
      <c r="E14" s="46" t="s">
        <v>14</v>
      </c>
      <c r="F14" s="48">
        <v>106.4</v>
      </c>
    </row>
    <row r="15">
      <c r="A15" s="46" t="s">
        <v>169</v>
      </c>
      <c r="B15" s="46" t="s">
        <v>181</v>
      </c>
      <c r="C15" s="46" t="s">
        <v>173</v>
      </c>
      <c r="D15" s="46" t="s">
        <v>17</v>
      </c>
      <c r="E15" s="46" t="s">
        <v>14</v>
      </c>
      <c r="F15" s="48">
        <v>114.1</v>
      </c>
      <c r="K15" s="53" t="s">
        <v>11</v>
      </c>
      <c r="L15" s="57" t="s">
        <v>12</v>
      </c>
      <c r="M15" s="57" t="s">
        <v>13</v>
      </c>
      <c r="N15" s="57" t="s">
        <v>14</v>
      </c>
    </row>
    <row r="16">
      <c r="A16" s="46" t="s">
        <v>182</v>
      </c>
      <c r="B16" s="46" t="s">
        <v>185</v>
      </c>
      <c r="C16" s="46" t="s">
        <v>186</v>
      </c>
      <c r="D16" s="46" t="s">
        <v>18</v>
      </c>
      <c r="E16" s="46" t="s">
        <v>14</v>
      </c>
      <c r="F16" s="48">
        <v>108.1</v>
      </c>
      <c r="K16" s="54" t="s">
        <v>20</v>
      </c>
      <c r="L16" s="58">
        <f>ROUND(COUNTIFS($F$2:$F$3608,"&gt;="&amp;$L$1,$E$2:$E$3608,"LEGT")*100/P$4,2)</f>
        <v>84.25</v>
      </c>
      <c r="M16" s="58">
        <f>ROUND(COUNTIFS($F$2:$F$3608,"&gt;="&amp;$L$1,$E$2:$E$3608,"LP")*100/Q$4,2)</f>
        <v>6.63</v>
      </c>
      <c r="N16" s="58">
        <f>ROUND(COUNTIFS($F$2:$F$3608,"&gt;="&amp;$L$1,$E$2:$E$3608,"LPo")*100/R$4,2)</f>
        <v>45.62</v>
      </c>
    </row>
    <row r="17">
      <c r="A17" s="46" t="s">
        <v>169</v>
      </c>
      <c r="B17" s="46" t="s">
        <v>192</v>
      </c>
      <c r="C17" s="46" t="s">
        <v>193</v>
      </c>
      <c r="D17" s="46" t="s">
        <v>17</v>
      </c>
      <c r="E17" s="46" t="s">
        <v>15</v>
      </c>
      <c r="F17" s="48">
        <v>114.2</v>
      </c>
      <c r="K17" s="59"/>
      <c r="L17" s="59"/>
      <c r="M17" s="59"/>
      <c r="N17" s="59"/>
    </row>
    <row r="18">
      <c r="A18" s="46" t="s">
        <v>169</v>
      </c>
      <c r="B18" s="46" t="s">
        <v>199</v>
      </c>
      <c r="C18" s="46" t="s">
        <v>193</v>
      </c>
      <c r="D18" s="46" t="s">
        <v>18</v>
      </c>
      <c r="E18" s="46" t="s">
        <v>15</v>
      </c>
      <c r="F18" s="48">
        <v>106.7</v>
      </c>
    </row>
    <row r="19">
      <c r="A19" s="46" t="s">
        <v>182</v>
      </c>
      <c r="B19" s="46" t="s">
        <v>202</v>
      </c>
      <c r="C19" s="46" t="s">
        <v>203</v>
      </c>
      <c r="D19" s="46" t="s">
        <v>18</v>
      </c>
      <c r="E19" s="46" t="s">
        <v>15</v>
      </c>
      <c r="F19" s="48">
        <v>114.2</v>
      </c>
    </row>
    <row r="20">
      <c r="A20" s="46" t="s">
        <v>182</v>
      </c>
      <c r="B20" s="46" t="s">
        <v>205</v>
      </c>
      <c r="C20" s="46" t="s">
        <v>206</v>
      </c>
      <c r="D20" s="46" t="s">
        <v>18</v>
      </c>
      <c r="E20" s="46" t="s">
        <v>15</v>
      </c>
      <c r="F20" s="48">
        <v>121.9</v>
      </c>
    </row>
    <row r="21">
      <c r="A21" s="46" t="s">
        <v>182</v>
      </c>
      <c r="B21" s="46" t="s">
        <v>210</v>
      </c>
      <c r="C21" s="46" t="s">
        <v>203</v>
      </c>
      <c r="D21" s="46" t="s">
        <v>17</v>
      </c>
      <c r="E21" s="46" t="s">
        <v>15</v>
      </c>
      <c r="F21" s="48">
        <v>111.3</v>
      </c>
    </row>
    <row r="22">
      <c r="A22" s="46" t="s">
        <v>182</v>
      </c>
      <c r="B22" s="46" t="s">
        <v>212</v>
      </c>
      <c r="C22" s="46" t="s">
        <v>213</v>
      </c>
      <c r="D22" s="46" t="s">
        <v>17</v>
      </c>
      <c r="E22" s="46" t="s">
        <v>15</v>
      </c>
      <c r="F22" s="48">
        <v>111.3</v>
      </c>
    </row>
    <row r="23">
      <c r="A23" s="46" t="s">
        <v>129</v>
      </c>
      <c r="B23" s="46" t="s">
        <v>235</v>
      </c>
      <c r="C23" s="46" t="s">
        <v>236</v>
      </c>
      <c r="D23" s="46" t="s">
        <v>18</v>
      </c>
      <c r="E23" s="46" t="s">
        <v>14</v>
      </c>
      <c r="F23" s="48">
        <v>105.1</v>
      </c>
    </row>
    <row r="24">
      <c r="A24" s="46" t="s">
        <v>129</v>
      </c>
      <c r="B24" s="46" t="s">
        <v>241</v>
      </c>
      <c r="C24" s="46" t="s">
        <v>242</v>
      </c>
      <c r="D24" s="46" t="s">
        <v>17</v>
      </c>
      <c r="E24" s="46" t="s">
        <v>15</v>
      </c>
      <c r="F24" s="48">
        <v>146.8</v>
      </c>
    </row>
    <row r="25">
      <c r="A25" s="46" t="s">
        <v>129</v>
      </c>
      <c r="B25" s="46" t="s">
        <v>244</v>
      </c>
      <c r="C25" s="46" t="s">
        <v>242</v>
      </c>
      <c r="D25" s="46" t="s">
        <v>17</v>
      </c>
      <c r="E25" s="46" t="s">
        <v>15</v>
      </c>
      <c r="F25" s="48">
        <v>137.7</v>
      </c>
    </row>
    <row r="26">
      <c r="A26" s="46" t="s">
        <v>129</v>
      </c>
      <c r="B26" s="46" t="s">
        <v>246</v>
      </c>
      <c r="C26" s="46" t="s">
        <v>247</v>
      </c>
      <c r="D26" s="46" t="s">
        <v>17</v>
      </c>
      <c r="E26" s="46" t="s">
        <v>15</v>
      </c>
      <c r="F26" s="48">
        <v>131.9</v>
      </c>
    </row>
    <row r="27">
      <c r="A27" s="46" t="s">
        <v>129</v>
      </c>
      <c r="B27" s="46" t="s">
        <v>249</v>
      </c>
      <c r="C27" s="46" t="s">
        <v>250</v>
      </c>
      <c r="D27" s="46" t="s">
        <v>17</v>
      </c>
      <c r="E27" s="46" t="s">
        <v>15</v>
      </c>
      <c r="F27" s="48">
        <v>137.2</v>
      </c>
    </row>
    <row r="28">
      <c r="A28" s="46" t="s">
        <v>129</v>
      </c>
      <c r="B28" s="46" t="s">
        <v>256</v>
      </c>
      <c r="C28" s="46" t="s">
        <v>247</v>
      </c>
      <c r="D28" s="46" t="s">
        <v>17</v>
      </c>
      <c r="E28" s="46" t="s">
        <v>14</v>
      </c>
      <c r="F28" s="48">
        <v>108.4</v>
      </c>
    </row>
    <row r="29">
      <c r="A29" s="46" t="s">
        <v>129</v>
      </c>
      <c r="B29" s="46" t="s">
        <v>261</v>
      </c>
      <c r="C29" s="46" t="s">
        <v>262</v>
      </c>
      <c r="D29" s="46" t="s">
        <v>18</v>
      </c>
      <c r="E29" s="46" t="s">
        <v>14</v>
      </c>
      <c r="F29" s="48">
        <v>118.8</v>
      </c>
    </row>
    <row r="30">
      <c r="A30" s="46" t="s">
        <v>129</v>
      </c>
      <c r="B30" s="46" t="s">
        <v>264</v>
      </c>
      <c r="C30" s="46" t="s">
        <v>242</v>
      </c>
      <c r="D30" s="46" t="s">
        <v>17</v>
      </c>
      <c r="E30" s="46" t="s">
        <v>15</v>
      </c>
      <c r="F30" s="48">
        <v>130.8</v>
      </c>
    </row>
    <row r="31">
      <c r="A31" s="46" t="s">
        <v>129</v>
      </c>
      <c r="B31" s="46" t="s">
        <v>268</v>
      </c>
      <c r="C31" s="46" t="s">
        <v>231</v>
      </c>
      <c r="D31" s="46" t="s">
        <v>17</v>
      </c>
      <c r="E31" s="46" t="s">
        <v>15</v>
      </c>
      <c r="F31" s="48">
        <v>109.0</v>
      </c>
    </row>
    <row r="32">
      <c r="A32" s="46" t="s">
        <v>269</v>
      </c>
      <c r="B32" s="46" t="s">
        <v>272</v>
      </c>
      <c r="C32" s="46" t="s">
        <v>273</v>
      </c>
      <c r="D32" s="46" t="s">
        <v>17</v>
      </c>
      <c r="E32" s="46" t="s">
        <v>15</v>
      </c>
      <c r="F32" s="48">
        <v>131.7</v>
      </c>
    </row>
    <row r="33">
      <c r="A33" s="46" t="s">
        <v>284</v>
      </c>
      <c r="B33" s="46" t="s">
        <v>287</v>
      </c>
      <c r="C33" s="46" t="s">
        <v>288</v>
      </c>
      <c r="D33" s="46" t="s">
        <v>18</v>
      </c>
      <c r="E33" s="46" t="s">
        <v>15</v>
      </c>
      <c r="F33" s="48">
        <v>105.4</v>
      </c>
    </row>
    <row r="34">
      <c r="A34" s="46" t="s">
        <v>284</v>
      </c>
      <c r="B34" s="46" t="s">
        <v>290</v>
      </c>
      <c r="C34" s="46" t="s">
        <v>288</v>
      </c>
      <c r="D34" s="46" t="s">
        <v>18</v>
      </c>
      <c r="E34" s="46" t="s">
        <v>15</v>
      </c>
      <c r="F34" s="48">
        <v>115.6</v>
      </c>
    </row>
    <row r="35">
      <c r="A35" s="46" t="s">
        <v>284</v>
      </c>
      <c r="B35" s="46" t="s">
        <v>296</v>
      </c>
      <c r="C35" s="46" t="s">
        <v>297</v>
      </c>
      <c r="D35" s="46" t="s">
        <v>18</v>
      </c>
      <c r="E35" s="46" t="s">
        <v>15</v>
      </c>
      <c r="F35" s="48">
        <v>128.9</v>
      </c>
    </row>
    <row r="36">
      <c r="A36" s="46" t="s">
        <v>284</v>
      </c>
      <c r="B36" s="46" t="s">
        <v>301</v>
      </c>
      <c r="C36" s="46" t="s">
        <v>302</v>
      </c>
      <c r="D36" s="46" t="s">
        <v>18</v>
      </c>
      <c r="E36" s="46" t="s">
        <v>15</v>
      </c>
      <c r="F36" s="48">
        <v>116.1</v>
      </c>
    </row>
    <row r="37">
      <c r="A37" s="46" t="s">
        <v>284</v>
      </c>
      <c r="B37" s="46" t="s">
        <v>307</v>
      </c>
      <c r="C37" s="46" t="s">
        <v>308</v>
      </c>
      <c r="D37" s="46" t="s">
        <v>17</v>
      </c>
      <c r="E37" s="46" t="s">
        <v>15</v>
      </c>
      <c r="F37" s="48">
        <v>121.2</v>
      </c>
    </row>
    <row r="38">
      <c r="A38" s="46" t="s">
        <v>284</v>
      </c>
      <c r="B38" s="46" t="s">
        <v>310</v>
      </c>
      <c r="C38" s="46" t="s">
        <v>297</v>
      </c>
      <c r="D38" s="46" t="s">
        <v>17</v>
      </c>
      <c r="E38" s="46" t="s">
        <v>14</v>
      </c>
      <c r="F38" s="48">
        <v>116.0</v>
      </c>
    </row>
    <row r="39">
      <c r="A39" s="46" t="s">
        <v>284</v>
      </c>
      <c r="B39" s="46" t="s">
        <v>312</v>
      </c>
      <c r="C39" s="46" t="s">
        <v>297</v>
      </c>
      <c r="D39" s="46" t="s">
        <v>18</v>
      </c>
      <c r="E39" s="46" t="s">
        <v>14</v>
      </c>
      <c r="F39" s="48">
        <v>113.1</v>
      </c>
    </row>
    <row r="40">
      <c r="A40" s="46" t="s">
        <v>322</v>
      </c>
      <c r="B40" s="46" t="s">
        <v>328</v>
      </c>
      <c r="C40" s="46" t="s">
        <v>329</v>
      </c>
      <c r="D40" s="46" t="s">
        <v>18</v>
      </c>
      <c r="E40" s="46" t="s">
        <v>15</v>
      </c>
      <c r="F40" s="48">
        <v>106.8</v>
      </c>
    </row>
    <row r="41">
      <c r="A41" s="46" t="s">
        <v>322</v>
      </c>
      <c r="B41" s="46" t="s">
        <v>331</v>
      </c>
      <c r="C41" s="46" t="s">
        <v>332</v>
      </c>
      <c r="D41" s="46" t="s">
        <v>17</v>
      </c>
      <c r="E41" s="46" t="s">
        <v>15</v>
      </c>
      <c r="F41" s="48">
        <v>121.4</v>
      </c>
    </row>
    <row r="42">
      <c r="A42" s="46" t="s">
        <v>333</v>
      </c>
      <c r="B42" s="46" t="s">
        <v>336</v>
      </c>
      <c r="C42" s="46" t="s">
        <v>337</v>
      </c>
      <c r="D42" s="46" t="s">
        <v>18</v>
      </c>
      <c r="E42" s="46" t="s">
        <v>14</v>
      </c>
      <c r="F42" s="48">
        <v>115.2</v>
      </c>
    </row>
    <row r="43">
      <c r="A43" s="46" t="s">
        <v>333</v>
      </c>
      <c r="B43" s="46" t="s">
        <v>342</v>
      </c>
      <c r="C43" s="46" t="s">
        <v>333</v>
      </c>
      <c r="D43" s="46" t="s">
        <v>18</v>
      </c>
      <c r="E43" s="46" t="s">
        <v>14</v>
      </c>
      <c r="F43" s="48">
        <v>104.3</v>
      </c>
    </row>
    <row r="44">
      <c r="A44" s="46" t="s">
        <v>333</v>
      </c>
      <c r="B44" s="46" t="s">
        <v>344</v>
      </c>
      <c r="C44" s="46" t="s">
        <v>345</v>
      </c>
      <c r="D44" s="46" t="s">
        <v>18</v>
      </c>
      <c r="E44" s="46" t="s">
        <v>14</v>
      </c>
      <c r="F44" s="48">
        <v>108.0</v>
      </c>
    </row>
    <row r="45">
      <c r="A45" s="46" t="s">
        <v>333</v>
      </c>
      <c r="B45" s="46" t="s">
        <v>350</v>
      </c>
      <c r="C45" s="46" t="s">
        <v>333</v>
      </c>
      <c r="D45" s="46" t="s">
        <v>17</v>
      </c>
      <c r="E45" s="46" t="s">
        <v>14</v>
      </c>
      <c r="F45" s="48">
        <v>123.8</v>
      </c>
    </row>
    <row r="46">
      <c r="A46" s="46" t="s">
        <v>333</v>
      </c>
      <c r="B46" s="46" t="s">
        <v>352</v>
      </c>
      <c r="C46" s="46" t="s">
        <v>353</v>
      </c>
      <c r="D46" s="46" t="s">
        <v>18</v>
      </c>
      <c r="E46" s="46" t="s">
        <v>15</v>
      </c>
      <c r="F46" s="48">
        <v>119.7</v>
      </c>
    </row>
    <row r="47">
      <c r="A47" s="46" t="s">
        <v>354</v>
      </c>
      <c r="B47" s="46" t="s">
        <v>360</v>
      </c>
      <c r="C47" s="46" t="s">
        <v>361</v>
      </c>
      <c r="D47" s="46" t="s">
        <v>17</v>
      </c>
      <c r="E47" s="46" t="s">
        <v>15</v>
      </c>
      <c r="F47" s="48">
        <v>136.5</v>
      </c>
    </row>
    <row r="48">
      <c r="A48" s="46" t="s">
        <v>354</v>
      </c>
      <c r="B48" s="46" t="s">
        <v>363</v>
      </c>
      <c r="C48" s="46" t="s">
        <v>361</v>
      </c>
      <c r="D48" s="46" t="s">
        <v>17</v>
      </c>
      <c r="E48" s="46" t="s">
        <v>15</v>
      </c>
      <c r="F48" s="48">
        <v>125.6</v>
      </c>
    </row>
    <row r="49">
      <c r="A49" s="46" t="s">
        <v>322</v>
      </c>
      <c r="B49" s="46" t="s">
        <v>375</v>
      </c>
      <c r="C49" s="46" t="s">
        <v>376</v>
      </c>
      <c r="D49" s="46" t="s">
        <v>18</v>
      </c>
      <c r="E49" s="46" t="s">
        <v>15</v>
      </c>
      <c r="F49" s="48">
        <v>114.2</v>
      </c>
    </row>
    <row r="50">
      <c r="A50" s="46" t="s">
        <v>377</v>
      </c>
      <c r="B50" s="46" t="s">
        <v>380</v>
      </c>
      <c r="C50" s="46" t="s">
        <v>381</v>
      </c>
      <c r="D50" s="46" t="s">
        <v>18</v>
      </c>
      <c r="E50" s="46" t="s">
        <v>15</v>
      </c>
      <c r="F50" s="48">
        <v>107.9</v>
      </c>
    </row>
    <row r="51">
      <c r="A51" s="46" t="s">
        <v>377</v>
      </c>
      <c r="B51" s="46" t="s">
        <v>391</v>
      </c>
      <c r="C51" s="46" t="s">
        <v>392</v>
      </c>
      <c r="D51" s="46" t="s">
        <v>18</v>
      </c>
      <c r="E51" s="46" t="s">
        <v>14</v>
      </c>
      <c r="F51" s="48">
        <v>104.2</v>
      </c>
    </row>
    <row r="52">
      <c r="A52" s="46" t="s">
        <v>393</v>
      </c>
      <c r="B52" s="46" t="s">
        <v>398</v>
      </c>
      <c r="C52" s="46" t="s">
        <v>399</v>
      </c>
      <c r="D52" s="46" t="s">
        <v>18</v>
      </c>
      <c r="E52" s="46" t="s">
        <v>14</v>
      </c>
      <c r="F52" s="48">
        <v>108.3</v>
      </c>
    </row>
    <row r="53">
      <c r="A53" s="46" t="s">
        <v>161</v>
      </c>
      <c r="B53" s="46" t="s">
        <v>404</v>
      </c>
      <c r="C53" s="46" t="s">
        <v>405</v>
      </c>
      <c r="D53" s="46" t="s">
        <v>18</v>
      </c>
      <c r="E53" s="46" t="s">
        <v>14</v>
      </c>
      <c r="F53" s="48">
        <v>115.4</v>
      </c>
    </row>
    <row r="54">
      <c r="A54" s="46" t="s">
        <v>161</v>
      </c>
      <c r="B54" s="46" t="s">
        <v>410</v>
      </c>
      <c r="C54" s="46" t="s">
        <v>411</v>
      </c>
      <c r="D54" s="46" t="s">
        <v>18</v>
      </c>
      <c r="E54" s="46" t="s">
        <v>15</v>
      </c>
      <c r="F54" s="48">
        <v>118.5</v>
      </c>
    </row>
    <row r="55">
      <c r="A55" s="46" t="s">
        <v>161</v>
      </c>
      <c r="B55" s="46" t="s">
        <v>413</v>
      </c>
      <c r="C55" s="46" t="s">
        <v>411</v>
      </c>
      <c r="D55" s="46" t="s">
        <v>17</v>
      </c>
      <c r="E55" s="46" t="s">
        <v>15</v>
      </c>
      <c r="F55" s="48">
        <v>125.9</v>
      </c>
    </row>
    <row r="56">
      <c r="A56" s="46" t="s">
        <v>269</v>
      </c>
      <c r="B56" s="46" t="s">
        <v>419</v>
      </c>
      <c r="C56" s="46" t="s">
        <v>420</v>
      </c>
      <c r="D56" s="46" t="s">
        <v>18</v>
      </c>
      <c r="E56" s="46" t="s">
        <v>15</v>
      </c>
      <c r="F56" s="48">
        <v>104.8</v>
      </c>
    </row>
    <row r="57">
      <c r="A57" s="46" t="s">
        <v>269</v>
      </c>
      <c r="B57" s="46" t="s">
        <v>422</v>
      </c>
      <c r="C57" s="46" t="s">
        <v>423</v>
      </c>
      <c r="D57" s="46" t="s">
        <v>18</v>
      </c>
      <c r="E57" s="46" t="s">
        <v>14</v>
      </c>
      <c r="F57" s="48">
        <v>107.2</v>
      </c>
    </row>
    <row r="58">
      <c r="A58" s="46" t="s">
        <v>269</v>
      </c>
      <c r="B58" s="46" t="s">
        <v>425</v>
      </c>
      <c r="C58" s="46" t="s">
        <v>426</v>
      </c>
      <c r="D58" s="46" t="s">
        <v>17</v>
      </c>
      <c r="E58" s="46" t="s">
        <v>15</v>
      </c>
      <c r="F58" s="48">
        <v>120.7</v>
      </c>
    </row>
    <row r="59">
      <c r="A59" s="46" t="s">
        <v>269</v>
      </c>
      <c r="B59" s="46" t="s">
        <v>428</v>
      </c>
      <c r="C59" s="46" t="s">
        <v>429</v>
      </c>
      <c r="D59" s="46" t="s">
        <v>17</v>
      </c>
      <c r="E59" s="46" t="s">
        <v>15</v>
      </c>
      <c r="F59" s="48">
        <v>132.7</v>
      </c>
    </row>
    <row r="60">
      <c r="A60" s="46" t="s">
        <v>313</v>
      </c>
      <c r="B60" s="46" t="s">
        <v>436</v>
      </c>
      <c r="C60" s="46" t="s">
        <v>437</v>
      </c>
      <c r="D60" s="46" t="s">
        <v>18</v>
      </c>
      <c r="E60" s="46" t="s">
        <v>15</v>
      </c>
      <c r="F60" s="48">
        <v>128.0</v>
      </c>
    </row>
    <row r="61">
      <c r="A61" s="46" t="s">
        <v>313</v>
      </c>
      <c r="B61" s="46" t="s">
        <v>442</v>
      </c>
      <c r="C61" s="46" t="s">
        <v>443</v>
      </c>
      <c r="D61" s="46" t="s">
        <v>18</v>
      </c>
      <c r="E61" s="46" t="s">
        <v>14</v>
      </c>
      <c r="F61" s="48">
        <v>107.9</v>
      </c>
    </row>
    <row r="62">
      <c r="A62" s="46" t="s">
        <v>313</v>
      </c>
      <c r="B62" s="46" t="s">
        <v>445</v>
      </c>
      <c r="C62" s="46" t="s">
        <v>440</v>
      </c>
      <c r="D62" s="46" t="s">
        <v>17</v>
      </c>
      <c r="E62" s="46" t="s">
        <v>15</v>
      </c>
      <c r="F62" s="48">
        <v>133.3</v>
      </c>
    </row>
    <row r="63">
      <c r="A63" s="46" t="s">
        <v>354</v>
      </c>
      <c r="B63" s="46" t="s">
        <v>448</v>
      </c>
      <c r="C63" s="46" t="s">
        <v>449</v>
      </c>
      <c r="D63" s="46" t="s">
        <v>18</v>
      </c>
      <c r="E63" s="46" t="s">
        <v>15</v>
      </c>
      <c r="F63" s="48">
        <v>123.7</v>
      </c>
    </row>
    <row r="64">
      <c r="A64" s="46" t="s">
        <v>354</v>
      </c>
      <c r="B64" s="46" t="s">
        <v>451</v>
      </c>
      <c r="C64" s="46" t="s">
        <v>449</v>
      </c>
      <c r="D64" s="46" t="s">
        <v>18</v>
      </c>
      <c r="E64" s="46" t="s">
        <v>15</v>
      </c>
      <c r="F64" s="48">
        <v>126.3</v>
      </c>
    </row>
    <row r="65">
      <c r="A65" s="46" t="s">
        <v>354</v>
      </c>
      <c r="B65" s="46" t="s">
        <v>456</v>
      </c>
      <c r="C65" s="46" t="s">
        <v>457</v>
      </c>
      <c r="D65" s="46" t="s">
        <v>18</v>
      </c>
      <c r="E65" s="46" t="s">
        <v>15</v>
      </c>
      <c r="F65" s="48">
        <v>110.8</v>
      </c>
    </row>
    <row r="66">
      <c r="A66" s="46" t="s">
        <v>354</v>
      </c>
      <c r="B66" s="46" t="s">
        <v>459</v>
      </c>
      <c r="C66" s="46" t="s">
        <v>460</v>
      </c>
      <c r="D66" s="46" t="s">
        <v>18</v>
      </c>
      <c r="E66" s="46" t="s">
        <v>14</v>
      </c>
      <c r="F66" s="48">
        <v>112.6</v>
      </c>
    </row>
    <row r="67">
      <c r="A67" s="46" t="s">
        <v>354</v>
      </c>
      <c r="B67" s="46" t="s">
        <v>462</v>
      </c>
      <c r="C67" s="46" t="s">
        <v>463</v>
      </c>
      <c r="D67" s="46" t="s">
        <v>18</v>
      </c>
      <c r="E67" s="46" t="s">
        <v>15</v>
      </c>
      <c r="F67" s="48">
        <v>119.3</v>
      </c>
    </row>
    <row r="68">
      <c r="A68" s="46" t="s">
        <v>354</v>
      </c>
      <c r="B68" s="46" t="s">
        <v>470</v>
      </c>
      <c r="C68" s="46" t="s">
        <v>471</v>
      </c>
      <c r="D68" s="46" t="s">
        <v>17</v>
      </c>
      <c r="E68" s="46" t="s">
        <v>15</v>
      </c>
      <c r="F68" s="48">
        <v>111.8</v>
      </c>
    </row>
    <row r="69">
      <c r="A69" s="46" t="s">
        <v>354</v>
      </c>
      <c r="B69" s="46" t="s">
        <v>473</v>
      </c>
      <c r="C69" s="46" t="s">
        <v>466</v>
      </c>
      <c r="D69" s="46" t="s">
        <v>17</v>
      </c>
      <c r="E69" s="46" t="s">
        <v>15</v>
      </c>
      <c r="F69" s="48">
        <v>120.7</v>
      </c>
    </row>
    <row r="70">
      <c r="A70" s="46" t="s">
        <v>354</v>
      </c>
      <c r="B70" s="46" t="s">
        <v>475</v>
      </c>
      <c r="C70" s="46" t="s">
        <v>460</v>
      </c>
      <c r="D70" s="46" t="s">
        <v>17</v>
      </c>
      <c r="E70" s="46" t="s">
        <v>13</v>
      </c>
      <c r="F70" s="48">
        <v>107.1</v>
      </c>
    </row>
    <row r="71">
      <c r="A71" s="46" t="s">
        <v>354</v>
      </c>
      <c r="B71" s="46" t="s">
        <v>477</v>
      </c>
      <c r="C71" s="46" t="s">
        <v>466</v>
      </c>
      <c r="D71" s="46" t="s">
        <v>17</v>
      </c>
      <c r="E71" s="46" t="s">
        <v>14</v>
      </c>
      <c r="F71" s="48">
        <v>105.1</v>
      </c>
    </row>
    <row r="72">
      <c r="A72" s="46" t="s">
        <v>354</v>
      </c>
      <c r="B72" s="46" t="s">
        <v>482</v>
      </c>
      <c r="C72" s="46" t="s">
        <v>454</v>
      </c>
      <c r="D72" s="46" t="s">
        <v>17</v>
      </c>
      <c r="E72" s="46" t="s">
        <v>15</v>
      </c>
      <c r="F72" s="48">
        <v>133.3</v>
      </c>
    </row>
    <row r="73">
      <c r="A73" s="46" t="s">
        <v>483</v>
      </c>
      <c r="B73" s="46" t="s">
        <v>489</v>
      </c>
      <c r="C73" s="46" t="s">
        <v>490</v>
      </c>
      <c r="D73" s="46" t="s">
        <v>18</v>
      </c>
      <c r="E73" s="46" t="s">
        <v>15</v>
      </c>
      <c r="F73" s="48">
        <v>110.1</v>
      </c>
    </row>
    <row r="74">
      <c r="A74" s="46" t="s">
        <v>483</v>
      </c>
      <c r="B74" s="46" t="s">
        <v>495</v>
      </c>
      <c r="C74" s="46" t="s">
        <v>496</v>
      </c>
      <c r="D74" s="46" t="s">
        <v>18</v>
      </c>
      <c r="E74" s="46" t="s">
        <v>14</v>
      </c>
      <c r="F74" s="48">
        <v>113.6</v>
      </c>
    </row>
    <row r="75">
      <c r="A75" s="46" t="s">
        <v>483</v>
      </c>
      <c r="B75" s="46" t="s">
        <v>500</v>
      </c>
      <c r="C75" s="46" t="s">
        <v>490</v>
      </c>
      <c r="D75" s="46" t="s">
        <v>17</v>
      </c>
      <c r="E75" s="46" t="s">
        <v>14</v>
      </c>
      <c r="F75" s="48">
        <v>111.7</v>
      </c>
    </row>
    <row r="76">
      <c r="A76" s="46" t="s">
        <v>483</v>
      </c>
      <c r="B76" s="46" t="s">
        <v>502</v>
      </c>
      <c r="C76" s="46" t="s">
        <v>490</v>
      </c>
      <c r="D76" s="46" t="s">
        <v>17</v>
      </c>
      <c r="E76" s="46" t="s">
        <v>15</v>
      </c>
      <c r="F76" s="48">
        <v>107.6</v>
      </c>
    </row>
    <row r="77">
      <c r="A77" s="46" t="s">
        <v>182</v>
      </c>
      <c r="B77" s="46" t="s">
        <v>510</v>
      </c>
      <c r="C77" s="46" t="s">
        <v>182</v>
      </c>
      <c r="D77" s="46" t="s">
        <v>18</v>
      </c>
      <c r="E77" s="46" t="s">
        <v>15</v>
      </c>
      <c r="F77" s="48">
        <v>139.4</v>
      </c>
    </row>
    <row r="78">
      <c r="A78" s="46" t="s">
        <v>182</v>
      </c>
      <c r="B78" s="46" t="s">
        <v>512</v>
      </c>
      <c r="C78" s="46" t="s">
        <v>182</v>
      </c>
      <c r="D78" s="46" t="s">
        <v>18</v>
      </c>
      <c r="E78" s="46" t="s">
        <v>14</v>
      </c>
      <c r="F78" s="48">
        <v>122.6</v>
      </c>
    </row>
    <row r="79">
      <c r="A79" s="46" t="s">
        <v>182</v>
      </c>
      <c r="B79" s="46" t="s">
        <v>527</v>
      </c>
      <c r="C79" s="46" t="s">
        <v>182</v>
      </c>
      <c r="D79" s="46" t="s">
        <v>18</v>
      </c>
      <c r="E79" s="46" t="s">
        <v>15</v>
      </c>
      <c r="F79" s="48">
        <v>111.1</v>
      </c>
    </row>
    <row r="80">
      <c r="A80" s="46" t="s">
        <v>182</v>
      </c>
      <c r="B80" s="46" t="s">
        <v>531</v>
      </c>
      <c r="C80" s="46" t="s">
        <v>182</v>
      </c>
      <c r="D80" s="46" t="s">
        <v>17</v>
      </c>
      <c r="E80" s="46" t="s">
        <v>13</v>
      </c>
      <c r="F80" s="48">
        <v>110.9</v>
      </c>
    </row>
    <row r="81">
      <c r="A81" s="46" t="s">
        <v>182</v>
      </c>
      <c r="B81" s="46" t="s">
        <v>537</v>
      </c>
      <c r="C81" s="46" t="s">
        <v>538</v>
      </c>
      <c r="D81" s="46" t="s">
        <v>18</v>
      </c>
      <c r="E81" s="46" t="s">
        <v>14</v>
      </c>
      <c r="F81" s="48">
        <v>124.0</v>
      </c>
    </row>
    <row r="82">
      <c r="A82" s="46" t="s">
        <v>182</v>
      </c>
      <c r="B82" s="46" t="s">
        <v>541</v>
      </c>
      <c r="C82" s="46" t="s">
        <v>542</v>
      </c>
      <c r="D82" s="46" t="s">
        <v>18</v>
      </c>
      <c r="E82" s="46" t="s">
        <v>15</v>
      </c>
      <c r="F82" s="48">
        <v>111.4</v>
      </c>
    </row>
    <row r="83">
      <c r="A83" s="46" t="s">
        <v>182</v>
      </c>
      <c r="B83" s="46" t="s">
        <v>544</v>
      </c>
      <c r="C83" s="46" t="s">
        <v>545</v>
      </c>
      <c r="D83" s="46" t="s">
        <v>18</v>
      </c>
      <c r="E83" s="46" t="s">
        <v>14</v>
      </c>
      <c r="F83" s="48">
        <v>108.9</v>
      </c>
    </row>
    <row r="84">
      <c r="A84" s="46" t="s">
        <v>182</v>
      </c>
      <c r="B84" s="46" t="s">
        <v>553</v>
      </c>
      <c r="C84" s="46" t="s">
        <v>551</v>
      </c>
      <c r="D84" s="46" t="s">
        <v>17</v>
      </c>
      <c r="E84" s="46" t="s">
        <v>15</v>
      </c>
      <c r="F84" s="48">
        <v>123.2</v>
      </c>
    </row>
    <row r="85">
      <c r="A85" s="46" t="s">
        <v>182</v>
      </c>
      <c r="B85" s="46" t="s">
        <v>555</v>
      </c>
      <c r="C85" s="46" t="s">
        <v>556</v>
      </c>
      <c r="D85" s="46" t="s">
        <v>17</v>
      </c>
      <c r="E85" s="46" t="s">
        <v>15</v>
      </c>
      <c r="F85" s="48">
        <v>131.5</v>
      </c>
    </row>
    <row r="86">
      <c r="A86" s="46" t="s">
        <v>182</v>
      </c>
      <c r="B86" s="46" t="s">
        <v>558</v>
      </c>
      <c r="C86" s="46" t="s">
        <v>559</v>
      </c>
      <c r="D86" s="46" t="s">
        <v>17</v>
      </c>
      <c r="E86" s="46" t="s">
        <v>15</v>
      </c>
      <c r="F86" s="48">
        <v>116.0</v>
      </c>
    </row>
    <row r="87">
      <c r="A87" s="46" t="s">
        <v>377</v>
      </c>
      <c r="B87" s="46" t="s">
        <v>562</v>
      </c>
      <c r="C87" s="46" t="s">
        <v>563</v>
      </c>
      <c r="D87" s="46" t="s">
        <v>18</v>
      </c>
      <c r="E87" s="46" t="s">
        <v>15</v>
      </c>
      <c r="F87" s="48">
        <v>121.8</v>
      </c>
    </row>
    <row r="88">
      <c r="A88" s="46" t="s">
        <v>377</v>
      </c>
      <c r="B88" s="46" t="s">
        <v>568</v>
      </c>
      <c r="C88" s="46" t="s">
        <v>377</v>
      </c>
      <c r="D88" s="46" t="s">
        <v>18</v>
      </c>
      <c r="E88" s="46" t="s">
        <v>15</v>
      </c>
      <c r="F88" s="48">
        <v>124.5</v>
      </c>
    </row>
    <row r="89">
      <c r="A89" s="46" t="s">
        <v>377</v>
      </c>
      <c r="B89" s="46" t="s">
        <v>570</v>
      </c>
      <c r="C89" s="46" t="s">
        <v>377</v>
      </c>
      <c r="D89" s="46" t="s">
        <v>18</v>
      </c>
      <c r="E89" s="46" t="s">
        <v>15</v>
      </c>
      <c r="F89" s="48">
        <v>134.6</v>
      </c>
    </row>
    <row r="90">
      <c r="A90" s="46" t="s">
        <v>377</v>
      </c>
      <c r="B90" s="46" t="s">
        <v>572</v>
      </c>
      <c r="C90" s="46" t="s">
        <v>377</v>
      </c>
      <c r="D90" s="46" t="s">
        <v>18</v>
      </c>
      <c r="E90" s="46" t="s">
        <v>15</v>
      </c>
      <c r="F90" s="48">
        <v>116.2</v>
      </c>
    </row>
    <row r="91">
      <c r="A91" s="46" t="s">
        <v>377</v>
      </c>
      <c r="B91" s="46" t="s">
        <v>582</v>
      </c>
      <c r="C91" s="46" t="s">
        <v>583</v>
      </c>
      <c r="D91" s="46" t="s">
        <v>18</v>
      </c>
      <c r="E91" s="46" t="s">
        <v>15</v>
      </c>
      <c r="F91" s="48">
        <v>111.7</v>
      </c>
    </row>
    <row r="92">
      <c r="A92" s="46" t="s">
        <v>377</v>
      </c>
      <c r="B92" s="46" t="s">
        <v>585</v>
      </c>
      <c r="C92" s="46" t="s">
        <v>586</v>
      </c>
      <c r="D92" s="46" t="s">
        <v>18</v>
      </c>
      <c r="E92" s="46" t="s">
        <v>14</v>
      </c>
      <c r="F92" s="48">
        <v>112.1</v>
      </c>
    </row>
    <row r="93">
      <c r="A93" s="46" t="s">
        <v>377</v>
      </c>
      <c r="B93" s="46" t="s">
        <v>588</v>
      </c>
      <c r="C93" s="46" t="s">
        <v>377</v>
      </c>
      <c r="D93" s="46" t="s">
        <v>17</v>
      </c>
      <c r="E93" s="46" t="s">
        <v>15</v>
      </c>
      <c r="F93" s="48">
        <v>140.9</v>
      </c>
    </row>
    <row r="94">
      <c r="A94" s="46" t="s">
        <v>377</v>
      </c>
      <c r="B94" s="46" t="s">
        <v>590</v>
      </c>
      <c r="C94" s="46" t="s">
        <v>377</v>
      </c>
      <c r="D94" s="46" t="s">
        <v>17</v>
      </c>
      <c r="E94" s="46" t="s">
        <v>15</v>
      </c>
      <c r="F94" s="48">
        <v>144.7</v>
      </c>
    </row>
    <row r="95">
      <c r="A95" s="46" t="s">
        <v>377</v>
      </c>
      <c r="B95" s="46" t="s">
        <v>592</v>
      </c>
      <c r="C95" s="46" t="s">
        <v>593</v>
      </c>
      <c r="D95" s="46" t="s">
        <v>17</v>
      </c>
      <c r="E95" s="46" t="s">
        <v>15</v>
      </c>
      <c r="F95" s="48">
        <v>114.9</v>
      </c>
    </row>
    <row r="96">
      <c r="A96" s="46" t="s">
        <v>377</v>
      </c>
      <c r="B96" s="46" t="s">
        <v>598</v>
      </c>
      <c r="C96" s="46" t="s">
        <v>377</v>
      </c>
      <c r="D96" s="46" t="s">
        <v>17</v>
      </c>
      <c r="E96" s="46" t="s">
        <v>15</v>
      </c>
      <c r="F96" s="48">
        <v>118.5</v>
      </c>
    </row>
    <row r="97">
      <c r="A97" s="46" t="s">
        <v>377</v>
      </c>
      <c r="B97" s="46" t="s">
        <v>604</v>
      </c>
      <c r="C97" s="46" t="s">
        <v>605</v>
      </c>
      <c r="D97" s="46" t="s">
        <v>18</v>
      </c>
      <c r="E97" s="46" t="s">
        <v>15</v>
      </c>
      <c r="F97" s="48">
        <v>129.4</v>
      </c>
    </row>
    <row r="98">
      <c r="A98" s="46" t="s">
        <v>483</v>
      </c>
      <c r="B98" s="46" t="s">
        <v>611</v>
      </c>
      <c r="C98" s="46" t="s">
        <v>612</v>
      </c>
      <c r="D98" s="46" t="s">
        <v>18</v>
      </c>
      <c r="E98" s="46" t="s">
        <v>15</v>
      </c>
      <c r="F98" s="48">
        <v>115.3</v>
      </c>
    </row>
    <row r="99">
      <c r="A99" s="46" t="s">
        <v>483</v>
      </c>
      <c r="B99" s="46" t="s">
        <v>614</v>
      </c>
      <c r="C99" s="46" t="s">
        <v>615</v>
      </c>
      <c r="D99" s="46" t="s">
        <v>18</v>
      </c>
      <c r="E99" s="46" t="s">
        <v>15</v>
      </c>
      <c r="F99" s="48">
        <v>105.8</v>
      </c>
    </row>
    <row r="100">
      <c r="A100" s="46" t="s">
        <v>483</v>
      </c>
      <c r="B100" s="46" t="s">
        <v>617</v>
      </c>
      <c r="C100" s="46" t="s">
        <v>483</v>
      </c>
      <c r="D100" s="46" t="s">
        <v>17</v>
      </c>
      <c r="E100" s="46" t="s">
        <v>15</v>
      </c>
      <c r="F100" s="48">
        <v>134.2</v>
      </c>
    </row>
    <row r="101">
      <c r="A101" s="46" t="s">
        <v>483</v>
      </c>
      <c r="B101" s="46" t="s">
        <v>621</v>
      </c>
      <c r="C101" s="46" t="s">
        <v>483</v>
      </c>
      <c r="D101" s="46" t="s">
        <v>18</v>
      </c>
      <c r="E101" s="46" t="s">
        <v>15</v>
      </c>
      <c r="F101" s="48">
        <v>115.3</v>
      </c>
    </row>
    <row r="102">
      <c r="A102" s="46" t="s">
        <v>354</v>
      </c>
      <c r="B102" s="46" t="s">
        <v>626</v>
      </c>
      <c r="C102" s="46" t="s">
        <v>627</v>
      </c>
      <c r="D102" s="46" t="s">
        <v>18</v>
      </c>
      <c r="E102" s="46" t="s">
        <v>15</v>
      </c>
      <c r="F102" s="48">
        <v>117.5</v>
      </c>
    </row>
    <row r="103">
      <c r="A103" s="46" t="s">
        <v>313</v>
      </c>
      <c r="B103" s="46" t="s">
        <v>630</v>
      </c>
      <c r="C103" s="46" t="s">
        <v>631</v>
      </c>
      <c r="D103" s="46" t="s">
        <v>18</v>
      </c>
      <c r="E103" s="46" t="s">
        <v>15</v>
      </c>
      <c r="F103" s="48">
        <v>111.5</v>
      </c>
    </row>
    <row r="104">
      <c r="A104" s="46" t="s">
        <v>313</v>
      </c>
      <c r="B104" s="46" t="s">
        <v>633</v>
      </c>
      <c r="C104" s="46" t="s">
        <v>634</v>
      </c>
      <c r="D104" s="46" t="s">
        <v>18</v>
      </c>
      <c r="E104" s="46" t="s">
        <v>15</v>
      </c>
      <c r="F104" s="48">
        <v>116.3</v>
      </c>
    </row>
    <row r="105">
      <c r="A105" s="46" t="s">
        <v>313</v>
      </c>
      <c r="B105" s="46" t="s">
        <v>642</v>
      </c>
      <c r="C105" s="46" t="s">
        <v>640</v>
      </c>
      <c r="D105" s="46" t="s">
        <v>17</v>
      </c>
      <c r="E105" s="46" t="s">
        <v>15</v>
      </c>
      <c r="F105" s="48">
        <v>128.0</v>
      </c>
    </row>
    <row r="106">
      <c r="A106" s="46" t="s">
        <v>313</v>
      </c>
      <c r="B106" s="46" t="s">
        <v>644</v>
      </c>
      <c r="C106" s="46" t="s">
        <v>645</v>
      </c>
      <c r="D106" s="46" t="s">
        <v>17</v>
      </c>
      <c r="E106" s="46" t="s">
        <v>14</v>
      </c>
      <c r="F106" s="48">
        <v>114.2</v>
      </c>
    </row>
    <row r="107">
      <c r="A107" s="46" t="s">
        <v>161</v>
      </c>
      <c r="B107" s="46" t="s">
        <v>670</v>
      </c>
      <c r="C107" s="46" t="s">
        <v>671</v>
      </c>
      <c r="D107" s="46" t="s">
        <v>18</v>
      </c>
      <c r="E107" s="46" t="s">
        <v>14</v>
      </c>
      <c r="F107" s="48">
        <v>109.4</v>
      </c>
    </row>
    <row r="108">
      <c r="A108" s="46" t="s">
        <v>161</v>
      </c>
      <c r="B108" s="46" t="s">
        <v>673</v>
      </c>
      <c r="C108" s="46" t="s">
        <v>674</v>
      </c>
      <c r="D108" s="46" t="s">
        <v>18</v>
      </c>
      <c r="E108" s="46" t="s">
        <v>14</v>
      </c>
      <c r="F108" s="48">
        <v>117.0</v>
      </c>
    </row>
    <row r="109">
      <c r="A109" s="46" t="s">
        <v>161</v>
      </c>
      <c r="B109" s="46" t="s">
        <v>676</v>
      </c>
      <c r="C109" s="46" t="s">
        <v>677</v>
      </c>
      <c r="D109" s="46" t="s">
        <v>18</v>
      </c>
      <c r="E109" s="46" t="s">
        <v>15</v>
      </c>
      <c r="F109" s="48">
        <v>135.7</v>
      </c>
    </row>
    <row r="110">
      <c r="A110" s="46" t="s">
        <v>161</v>
      </c>
      <c r="B110" s="46" t="s">
        <v>682</v>
      </c>
      <c r="C110" s="46" t="s">
        <v>666</v>
      </c>
      <c r="D110" s="46" t="s">
        <v>17</v>
      </c>
      <c r="E110" s="46" t="s">
        <v>15</v>
      </c>
      <c r="F110" s="48">
        <v>117.8</v>
      </c>
    </row>
    <row r="111">
      <c r="A111" s="46" t="s">
        <v>161</v>
      </c>
      <c r="B111" s="46" t="s">
        <v>684</v>
      </c>
      <c r="C111" s="46" t="s">
        <v>161</v>
      </c>
      <c r="D111" s="46" t="s">
        <v>17</v>
      </c>
      <c r="E111" s="46" t="s">
        <v>15</v>
      </c>
      <c r="F111" s="48">
        <v>128.6</v>
      </c>
    </row>
    <row r="112">
      <c r="A112" s="46" t="s">
        <v>161</v>
      </c>
      <c r="B112" s="46" t="s">
        <v>689</v>
      </c>
      <c r="C112" s="46" t="s">
        <v>687</v>
      </c>
      <c r="D112" s="46" t="s">
        <v>18</v>
      </c>
      <c r="E112" s="46" t="s">
        <v>14</v>
      </c>
      <c r="F112" s="48">
        <v>119.1</v>
      </c>
    </row>
    <row r="113">
      <c r="A113" s="46" t="s">
        <v>161</v>
      </c>
      <c r="B113" s="46" t="s">
        <v>691</v>
      </c>
      <c r="C113" s="46" t="s">
        <v>692</v>
      </c>
      <c r="D113" s="46" t="s">
        <v>18</v>
      </c>
      <c r="E113" s="46" t="s">
        <v>15</v>
      </c>
      <c r="F113" s="48">
        <v>119.1</v>
      </c>
    </row>
    <row r="114">
      <c r="A114" s="46" t="s">
        <v>161</v>
      </c>
      <c r="B114" s="46" t="s">
        <v>694</v>
      </c>
      <c r="C114" s="46" t="s">
        <v>695</v>
      </c>
      <c r="D114" s="46" t="s">
        <v>17</v>
      </c>
      <c r="E114" s="46" t="s">
        <v>15</v>
      </c>
      <c r="F114" s="48">
        <v>125.2</v>
      </c>
    </row>
    <row r="115">
      <c r="A115" s="46" t="s">
        <v>161</v>
      </c>
      <c r="B115" s="46" t="s">
        <v>697</v>
      </c>
      <c r="C115" s="46" t="s">
        <v>698</v>
      </c>
      <c r="D115" s="46" t="s">
        <v>18</v>
      </c>
      <c r="E115" s="46" t="s">
        <v>14</v>
      </c>
      <c r="F115" s="48">
        <v>104.7</v>
      </c>
    </row>
    <row r="116">
      <c r="A116" s="46" t="s">
        <v>161</v>
      </c>
      <c r="B116" s="46" t="s">
        <v>700</v>
      </c>
      <c r="C116" s="46" t="s">
        <v>701</v>
      </c>
      <c r="D116" s="46" t="s">
        <v>18</v>
      </c>
      <c r="E116" s="46" t="s">
        <v>15</v>
      </c>
      <c r="F116" s="48">
        <v>114.5</v>
      </c>
    </row>
    <row r="117">
      <c r="A117" s="46" t="s">
        <v>161</v>
      </c>
      <c r="B117" s="46" t="s">
        <v>703</v>
      </c>
      <c r="C117" s="46" t="s">
        <v>704</v>
      </c>
      <c r="D117" s="46" t="s">
        <v>17</v>
      </c>
      <c r="E117" s="46" t="s">
        <v>14</v>
      </c>
      <c r="F117" s="48">
        <v>131.4</v>
      </c>
    </row>
    <row r="118">
      <c r="A118" s="46" t="s">
        <v>161</v>
      </c>
      <c r="B118" s="46" t="s">
        <v>706</v>
      </c>
      <c r="C118" s="46" t="s">
        <v>707</v>
      </c>
      <c r="D118" s="46" t="s">
        <v>18</v>
      </c>
      <c r="E118" s="46" t="s">
        <v>15</v>
      </c>
      <c r="F118" s="48">
        <v>136.3</v>
      </c>
    </row>
    <row r="119">
      <c r="A119" s="46" t="s">
        <v>393</v>
      </c>
      <c r="B119" s="46" t="s">
        <v>715</v>
      </c>
      <c r="C119" s="46" t="s">
        <v>716</v>
      </c>
      <c r="D119" s="46" t="s">
        <v>17</v>
      </c>
      <c r="E119" s="46" t="s">
        <v>13</v>
      </c>
      <c r="F119" s="48">
        <v>121.9</v>
      </c>
    </row>
    <row r="120">
      <c r="A120" s="46" t="s">
        <v>377</v>
      </c>
      <c r="B120" s="46" t="s">
        <v>719</v>
      </c>
      <c r="C120" s="46" t="s">
        <v>720</v>
      </c>
      <c r="D120" s="46" t="s">
        <v>18</v>
      </c>
      <c r="E120" s="46" t="s">
        <v>14</v>
      </c>
      <c r="F120" s="48">
        <v>112.7</v>
      </c>
    </row>
    <row r="121">
      <c r="A121" s="46" t="s">
        <v>377</v>
      </c>
      <c r="B121" s="46" t="s">
        <v>722</v>
      </c>
      <c r="C121" s="46" t="s">
        <v>723</v>
      </c>
      <c r="D121" s="46" t="s">
        <v>18</v>
      </c>
      <c r="E121" s="46" t="s">
        <v>15</v>
      </c>
      <c r="F121" s="48">
        <v>109.5</v>
      </c>
    </row>
    <row r="122">
      <c r="A122" s="46" t="s">
        <v>377</v>
      </c>
      <c r="B122" s="46" t="s">
        <v>725</v>
      </c>
      <c r="C122" s="46" t="s">
        <v>726</v>
      </c>
      <c r="D122" s="46" t="s">
        <v>17</v>
      </c>
      <c r="E122" s="46" t="s">
        <v>15</v>
      </c>
      <c r="F122" s="48">
        <v>109.6</v>
      </c>
    </row>
    <row r="123">
      <c r="A123" s="46" t="s">
        <v>377</v>
      </c>
      <c r="B123" s="46" t="s">
        <v>730</v>
      </c>
      <c r="C123" s="46" t="s">
        <v>731</v>
      </c>
      <c r="D123" s="46" t="s">
        <v>18</v>
      </c>
      <c r="E123" s="46" t="s">
        <v>14</v>
      </c>
      <c r="F123" s="48">
        <v>107.1</v>
      </c>
    </row>
    <row r="124">
      <c r="A124" s="46" t="s">
        <v>313</v>
      </c>
      <c r="B124" s="46" t="s">
        <v>734</v>
      </c>
      <c r="C124" s="46" t="s">
        <v>735</v>
      </c>
      <c r="D124" s="46" t="s">
        <v>18</v>
      </c>
      <c r="E124" s="46" t="s">
        <v>15</v>
      </c>
      <c r="F124" s="48">
        <v>106.2</v>
      </c>
    </row>
    <row r="125">
      <c r="A125" s="46" t="s">
        <v>313</v>
      </c>
      <c r="B125" s="46" t="s">
        <v>740</v>
      </c>
      <c r="C125" s="46" t="s">
        <v>741</v>
      </c>
      <c r="D125" s="46" t="s">
        <v>17</v>
      </c>
      <c r="E125" s="46" t="s">
        <v>15</v>
      </c>
      <c r="F125" s="48">
        <v>124.3</v>
      </c>
    </row>
    <row r="126">
      <c r="A126" s="46" t="s">
        <v>71</v>
      </c>
      <c r="B126" s="46" t="s">
        <v>744</v>
      </c>
      <c r="C126" s="46" t="s">
        <v>745</v>
      </c>
      <c r="D126" s="46" t="s">
        <v>18</v>
      </c>
      <c r="E126" s="46" t="s">
        <v>15</v>
      </c>
      <c r="F126" s="48">
        <v>112.1</v>
      </c>
    </row>
    <row r="127">
      <c r="A127" s="46" t="s">
        <v>71</v>
      </c>
      <c r="B127" s="46" t="s">
        <v>747</v>
      </c>
      <c r="C127" s="46" t="s">
        <v>748</v>
      </c>
      <c r="D127" s="46" t="s">
        <v>18</v>
      </c>
      <c r="E127" s="46" t="s">
        <v>15</v>
      </c>
      <c r="F127" s="48">
        <v>111.8</v>
      </c>
    </row>
    <row r="128">
      <c r="A128" s="46" t="s">
        <v>71</v>
      </c>
      <c r="B128" s="46" t="s">
        <v>750</v>
      </c>
      <c r="C128" s="46" t="s">
        <v>748</v>
      </c>
      <c r="D128" s="46" t="s">
        <v>18</v>
      </c>
      <c r="E128" s="46" t="s">
        <v>15</v>
      </c>
      <c r="F128" s="48">
        <v>105.8</v>
      </c>
    </row>
    <row r="129">
      <c r="A129" s="46" t="s">
        <v>71</v>
      </c>
      <c r="B129" s="46" t="s">
        <v>752</v>
      </c>
      <c r="C129" s="46" t="s">
        <v>748</v>
      </c>
      <c r="D129" s="46" t="s">
        <v>17</v>
      </c>
      <c r="E129" s="46" t="s">
        <v>15</v>
      </c>
      <c r="F129" s="48">
        <v>104.8</v>
      </c>
    </row>
    <row r="130">
      <c r="A130" s="46" t="s">
        <v>71</v>
      </c>
      <c r="B130" s="46" t="s">
        <v>756</v>
      </c>
      <c r="C130" s="46" t="s">
        <v>745</v>
      </c>
      <c r="D130" s="46" t="s">
        <v>17</v>
      </c>
      <c r="E130" s="46" t="s">
        <v>15</v>
      </c>
      <c r="F130" s="48">
        <v>124.8</v>
      </c>
    </row>
    <row r="131">
      <c r="A131" s="46" t="s">
        <v>116</v>
      </c>
      <c r="B131" s="46" t="s">
        <v>766</v>
      </c>
      <c r="C131" s="46" t="s">
        <v>767</v>
      </c>
      <c r="D131" s="46" t="s">
        <v>18</v>
      </c>
      <c r="E131" s="46" t="s">
        <v>15</v>
      </c>
      <c r="F131" s="48">
        <v>115.7</v>
      </c>
    </row>
    <row r="132">
      <c r="A132" s="46" t="s">
        <v>116</v>
      </c>
      <c r="B132" s="46" t="s">
        <v>769</v>
      </c>
      <c r="C132" s="46" t="s">
        <v>770</v>
      </c>
      <c r="D132" s="46" t="s">
        <v>17</v>
      </c>
      <c r="E132" s="46" t="s">
        <v>14</v>
      </c>
      <c r="F132" s="48">
        <v>104.2</v>
      </c>
    </row>
    <row r="133">
      <c r="A133" s="46" t="s">
        <v>116</v>
      </c>
      <c r="B133" s="46" t="s">
        <v>772</v>
      </c>
      <c r="C133" s="46" t="s">
        <v>773</v>
      </c>
      <c r="D133" s="46" t="s">
        <v>17</v>
      </c>
      <c r="E133" s="46" t="s">
        <v>15</v>
      </c>
      <c r="F133" s="48">
        <v>117.9</v>
      </c>
    </row>
    <row r="134">
      <c r="A134" s="46" t="s">
        <v>116</v>
      </c>
      <c r="B134" s="46" t="s">
        <v>778</v>
      </c>
      <c r="C134" s="46" t="s">
        <v>767</v>
      </c>
      <c r="D134" s="46" t="s">
        <v>17</v>
      </c>
      <c r="E134" s="46" t="s">
        <v>15</v>
      </c>
      <c r="F134" s="48">
        <v>114.1</v>
      </c>
    </row>
    <row r="135">
      <c r="A135" s="46" t="s">
        <v>779</v>
      </c>
      <c r="B135" s="46" t="s">
        <v>782</v>
      </c>
      <c r="C135" s="46" t="s">
        <v>779</v>
      </c>
      <c r="D135" s="46" t="s">
        <v>18</v>
      </c>
      <c r="E135" s="46" t="s">
        <v>15</v>
      </c>
      <c r="F135" s="48">
        <v>133.8</v>
      </c>
    </row>
    <row r="136">
      <c r="A136" s="46" t="s">
        <v>779</v>
      </c>
      <c r="B136" s="46" t="s">
        <v>787</v>
      </c>
      <c r="C136" s="46" t="s">
        <v>779</v>
      </c>
      <c r="D136" s="46" t="s">
        <v>17</v>
      </c>
      <c r="E136" s="46" t="s">
        <v>15</v>
      </c>
      <c r="F136" s="48">
        <v>141.1</v>
      </c>
    </row>
    <row r="137">
      <c r="A137" s="46" t="s">
        <v>779</v>
      </c>
      <c r="B137" s="46" t="s">
        <v>789</v>
      </c>
      <c r="C137" s="46" t="s">
        <v>790</v>
      </c>
      <c r="D137" s="46" t="s">
        <v>17</v>
      </c>
      <c r="E137" s="46" t="s">
        <v>15</v>
      </c>
      <c r="F137" s="48">
        <v>134.1</v>
      </c>
    </row>
    <row r="138">
      <c r="A138" s="46" t="s">
        <v>779</v>
      </c>
      <c r="B138" s="46" t="s">
        <v>80</v>
      </c>
      <c r="C138" s="46" t="s">
        <v>792</v>
      </c>
      <c r="D138" s="46" t="s">
        <v>17</v>
      </c>
      <c r="E138" s="46" t="s">
        <v>15</v>
      </c>
      <c r="F138" s="48">
        <v>119.4</v>
      </c>
    </row>
    <row r="139">
      <c r="A139" s="46" t="s">
        <v>779</v>
      </c>
      <c r="B139" s="46" t="s">
        <v>811</v>
      </c>
      <c r="C139" s="46" t="s">
        <v>812</v>
      </c>
      <c r="D139" s="46" t="s">
        <v>18</v>
      </c>
      <c r="E139" s="46" t="s">
        <v>15</v>
      </c>
      <c r="F139" s="48">
        <v>134.6</v>
      </c>
    </row>
    <row r="140">
      <c r="A140" s="46" t="s">
        <v>779</v>
      </c>
      <c r="B140" s="46" t="s">
        <v>814</v>
      </c>
      <c r="C140" s="46" t="s">
        <v>815</v>
      </c>
      <c r="D140" s="46" t="s">
        <v>18</v>
      </c>
      <c r="E140" s="46" t="s">
        <v>15</v>
      </c>
      <c r="F140" s="48">
        <v>119.6</v>
      </c>
    </row>
    <row r="141">
      <c r="A141" s="46" t="s">
        <v>779</v>
      </c>
      <c r="B141" s="46" t="s">
        <v>817</v>
      </c>
      <c r="C141" s="46" t="s">
        <v>818</v>
      </c>
      <c r="D141" s="46" t="s">
        <v>17</v>
      </c>
      <c r="E141" s="46" t="s">
        <v>15</v>
      </c>
      <c r="F141" s="48">
        <v>125.0</v>
      </c>
    </row>
    <row r="142">
      <c r="A142" s="46" t="s">
        <v>779</v>
      </c>
      <c r="B142" s="46" t="s">
        <v>820</v>
      </c>
      <c r="C142" s="46" t="s">
        <v>779</v>
      </c>
      <c r="D142" s="46" t="s">
        <v>17</v>
      </c>
      <c r="E142" s="46" t="s">
        <v>15</v>
      </c>
      <c r="F142" s="48">
        <v>125.5</v>
      </c>
    </row>
    <row r="143">
      <c r="A143" s="46" t="s">
        <v>313</v>
      </c>
      <c r="B143" s="46" t="s">
        <v>823</v>
      </c>
      <c r="C143" s="46" t="s">
        <v>824</v>
      </c>
      <c r="D143" s="46" t="s">
        <v>18</v>
      </c>
      <c r="E143" s="46" t="s">
        <v>15</v>
      </c>
      <c r="F143" s="48">
        <v>104.0</v>
      </c>
    </row>
    <row r="144">
      <c r="A144" s="46" t="s">
        <v>313</v>
      </c>
      <c r="B144" s="46" t="s">
        <v>832</v>
      </c>
      <c r="C144" s="46" t="s">
        <v>824</v>
      </c>
      <c r="D144" s="46" t="s">
        <v>17</v>
      </c>
      <c r="E144" s="46" t="s">
        <v>14</v>
      </c>
      <c r="F144" s="48">
        <v>107.7</v>
      </c>
    </row>
    <row r="145">
      <c r="A145" s="46" t="s">
        <v>182</v>
      </c>
      <c r="B145" s="46" t="s">
        <v>840</v>
      </c>
      <c r="C145" s="46" t="s">
        <v>841</v>
      </c>
      <c r="D145" s="46" t="s">
        <v>18</v>
      </c>
      <c r="E145" s="46" t="s">
        <v>15</v>
      </c>
      <c r="F145" s="48">
        <v>116.4</v>
      </c>
    </row>
    <row r="146">
      <c r="A146" s="46" t="s">
        <v>182</v>
      </c>
      <c r="B146" s="46" t="s">
        <v>843</v>
      </c>
      <c r="C146" s="46" t="s">
        <v>844</v>
      </c>
      <c r="D146" s="46" t="s">
        <v>18</v>
      </c>
      <c r="E146" s="46" t="s">
        <v>15</v>
      </c>
      <c r="F146" s="48">
        <v>115.7</v>
      </c>
    </row>
    <row r="147">
      <c r="A147" s="46" t="s">
        <v>182</v>
      </c>
      <c r="B147" s="46" t="s">
        <v>848</v>
      </c>
      <c r="C147" s="46" t="s">
        <v>841</v>
      </c>
      <c r="D147" s="46" t="s">
        <v>17</v>
      </c>
      <c r="E147" s="46" t="s">
        <v>14</v>
      </c>
      <c r="F147" s="48">
        <v>108.9</v>
      </c>
    </row>
    <row r="148">
      <c r="A148" s="46" t="s">
        <v>377</v>
      </c>
      <c r="B148" s="46" t="s">
        <v>851</v>
      </c>
      <c r="C148" s="46" t="s">
        <v>852</v>
      </c>
      <c r="D148" s="46" t="s">
        <v>18</v>
      </c>
      <c r="E148" s="46" t="s">
        <v>15</v>
      </c>
      <c r="F148" s="48">
        <v>110.8</v>
      </c>
    </row>
    <row r="149">
      <c r="A149" s="46" t="s">
        <v>779</v>
      </c>
      <c r="B149" s="46" t="s">
        <v>858</v>
      </c>
      <c r="C149" s="46" t="s">
        <v>859</v>
      </c>
      <c r="D149" s="46" t="s">
        <v>18</v>
      </c>
      <c r="E149" s="46" t="s">
        <v>14</v>
      </c>
      <c r="F149" s="48">
        <v>104.5</v>
      </c>
    </row>
    <row r="150">
      <c r="A150" s="46" t="s">
        <v>779</v>
      </c>
      <c r="B150" s="46" t="s">
        <v>872</v>
      </c>
      <c r="C150" s="46" t="s">
        <v>873</v>
      </c>
      <c r="D150" s="46" t="s">
        <v>17</v>
      </c>
      <c r="E150" s="46" t="s">
        <v>15</v>
      </c>
      <c r="F150" s="48">
        <v>117.2</v>
      </c>
    </row>
    <row r="151">
      <c r="A151" s="46" t="s">
        <v>779</v>
      </c>
      <c r="B151" s="46" t="s">
        <v>875</v>
      </c>
      <c r="C151" s="46" t="s">
        <v>859</v>
      </c>
      <c r="D151" s="46" t="s">
        <v>18</v>
      </c>
      <c r="E151" s="46" t="s">
        <v>15</v>
      </c>
      <c r="F151" s="48">
        <v>124.8</v>
      </c>
    </row>
    <row r="152">
      <c r="A152" s="46" t="s">
        <v>779</v>
      </c>
      <c r="B152" s="46" t="s">
        <v>877</v>
      </c>
      <c r="C152" s="46" t="s">
        <v>859</v>
      </c>
      <c r="D152" s="46" t="s">
        <v>18</v>
      </c>
      <c r="E152" s="46" t="s">
        <v>15</v>
      </c>
      <c r="F152" s="48">
        <v>122.4</v>
      </c>
    </row>
    <row r="153">
      <c r="A153" s="46" t="s">
        <v>779</v>
      </c>
      <c r="B153" s="46" t="s">
        <v>879</v>
      </c>
      <c r="C153" s="46" t="s">
        <v>880</v>
      </c>
      <c r="D153" s="46" t="s">
        <v>17</v>
      </c>
      <c r="E153" s="46" t="s">
        <v>14</v>
      </c>
      <c r="F153" s="48">
        <v>112.6</v>
      </c>
    </row>
    <row r="154">
      <c r="A154" s="46" t="s">
        <v>269</v>
      </c>
      <c r="B154" s="46" t="s">
        <v>883</v>
      </c>
      <c r="C154" s="46" t="s">
        <v>884</v>
      </c>
      <c r="D154" s="46" t="s">
        <v>18</v>
      </c>
      <c r="E154" s="46" t="s">
        <v>15</v>
      </c>
      <c r="F154" s="48">
        <v>116.3</v>
      </c>
    </row>
    <row r="155">
      <c r="A155" s="46" t="s">
        <v>269</v>
      </c>
      <c r="B155" s="46" t="s">
        <v>886</v>
      </c>
      <c r="C155" s="46" t="s">
        <v>887</v>
      </c>
      <c r="D155" s="46" t="s">
        <v>18</v>
      </c>
      <c r="E155" s="46" t="s">
        <v>15</v>
      </c>
      <c r="F155" s="48">
        <v>120.7</v>
      </c>
    </row>
    <row r="156">
      <c r="A156" s="46" t="s">
        <v>269</v>
      </c>
      <c r="B156" s="46" t="s">
        <v>889</v>
      </c>
      <c r="C156" s="46" t="s">
        <v>890</v>
      </c>
      <c r="D156" s="46" t="s">
        <v>17</v>
      </c>
      <c r="E156" s="46" t="s">
        <v>15</v>
      </c>
      <c r="F156" s="48">
        <v>117.1</v>
      </c>
    </row>
    <row r="157">
      <c r="A157" s="46" t="s">
        <v>269</v>
      </c>
      <c r="B157" s="46" t="s">
        <v>892</v>
      </c>
      <c r="C157" s="46" t="s">
        <v>893</v>
      </c>
      <c r="D157" s="46" t="s">
        <v>17</v>
      </c>
      <c r="E157" s="46" t="s">
        <v>15</v>
      </c>
      <c r="F157" s="48">
        <v>118.1</v>
      </c>
    </row>
    <row r="158">
      <c r="A158" s="46" t="s">
        <v>269</v>
      </c>
      <c r="B158" s="46" t="s">
        <v>900</v>
      </c>
      <c r="C158" s="46" t="s">
        <v>884</v>
      </c>
      <c r="D158" s="46" t="s">
        <v>18</v>
      </c>
      <c r="E158" s="46" t="s">
        <v>15</v>
      </c>
      <c r="F158" s="48">
        <v>119.2</v>
      </c>
    </row>
    <row r="159">
      <c r="A159" s="46" t="s">
        <v>269</v>
      </c>
      <c r="B159" s="46" t="s">
        <v>902</v>
      </c>
      <c r="C159" s="46" t="s">
        <v>903</v>
      </c>
      <c r="D159" s="46" t="s">
        <v>18</v>
      </c>
      <c r="E159" s="46" t="s">
        <v>15</v>
      </c>
      <c r="F159" s="48">
        <v>106.8</v>
      </c>
    </row>
    <row r="160">
      <c r="A160" s="46" t="s">
        <v>169</v>
      </c>
      <c r="B160" s="46" t="s">
        <v>906</v>
      </c>
      <c r="C160" s="46" t="s">
        <v>169</v>
      </c>
      <c r="D160" s="46" t="s">
        <v>18</v>
      </c>
      <c r="E160" s="46" t="s">
        <v>15</v>
      </c>
      <c r="F160" s="48">
        <v>124.3</v>
      </c>
    </row>
    <row r="161">
      <c r="A161" s="46" t="s">
        <v>169</v>
      </c>
      <c r="B161" s="46" t="s">
        <v>908</v>
      </c>
      <c r="C161" s="46" t="s">
        <v>169</v>
      </c>
      <c r="D161" s="46" t="s">
        <v>18</v>
      </c>
      <c r="E161" s="46" t="s">
        <v>14</v>
      </c>
      <c r="F161" s="48">
        <v>109.3</v>
      </c>
    </row>
    <row r="162">
      <c r="A162" s="46" t="s">
        <v>169</v>
      </c>
      <c r="B162" s="46" t="s">
        <v>913</v>
      </c>
      <c r="C162" s="46" t="s">
        <v>914</v>
      </c>
      <c r="D162" s="46" t="s">
        <v>18</v>
      </c>
      <c r="E162" s="46" t="s">
        <v>14</v>
      </c>
      <c r="F162" s="48">
        <v>104.1</v>
      </c>
    </row>
    <row r="163">
      <c r="A163" s="46" t="s">
        <v>169</v>
      </c>
      <c r="B163" s="46" t="s">
        <v>916</v>
      </c>
      <c r="C163" s="46" t="s">
        <v>169</v>
      </c>
      <c r="D163" s="46" t="s">
        <v>17</v>
      </c>
      <c r="E163" s="46" t="s">
        <v>14</v>
      </c>
      <c r="F163" s="48">
        <v>105.9</v>
      </c>
    </row>
    <row r="164">
      <c r="A164" s="46" t="s">
        <v>930</v>
      </c>
      <c r="B164" s="46" t="s">
        <v>933</v>
      </c>
      <c r="C164" s="46" t="s">
        <v>934</v>
      </c>
      <c r="D164" s="46" t="s">
        <v>18</v>
      </c>
      <c r="E164" s="46" t="s">
        <v>15</v>
      </c>
      <c r="F164" s="48">
        <v>112.1</v>
      </c>
    </row>
    <row r="165">
      <c r="A165" s="46" t="s">
        <v>930</v>
      </c>
      <c r="B165" s="46" t="s">
        <v>939</v>
      </c>
      <c r="C165" s="46" t="s">
        <v>937</v>
      </c>
      <c r="D165" s="46" t="s">
        <v>18</v>
      </c>
      <c r="E165" s="46" t="s">
        <v>15</v>
      </c>
      <c r="F165" s="48">
        <v>121.8</v>
      </c>
    </row>
    <row r="166">
      <c r="A166" s="46" t="s">
        <v>930</v>
      </c>
      <c r="B166" s="46" t="s">
        <v>941</v>
      </c>
      <c r="C166" s="46" t="s">
        <v>942</v>
      </c>
      <c r="D166" s="46" t="s">
        <v>18</v>
      </c>
      <c r="E166" s="46" t="s">
        <v>15</v>
      </c>
      <c r="F166" s="48">
        <v>108.4</v>
      </c>
    </row>
    <row r="167">
      <c r="A167" s="46" t="s">
        <v>930</v>
      </c>
      <c r="B167" s="46" t="s">
        <v>953</v>
      </c>
      <c r="C167" s="46" t="s">
        <v>954</v>
      </c>
      <c r="D167" s="46" t="s">
        <v>17</v>
      </c>
      <c r="E167" s="46" t="s">
        <v>15</v>
      </c>
      <c r="F167" s="48">
        <v>109.9</v>
      </c>
    </row>
    <row r="168">
      <c r="A168" s="46" t="s">
        <v>930</v>
      </c>
      <c r="B168" s="46" t="s">
        <v>959</v>
      </c>
      <c r="C168" s="46" t="s">
        <v>960</v>
      </c>
      <c r="D168" s="46" t="s">
        <v>18</v>
      </c>
      <c r="E168" s="46" t="s">
        <v>15</v>
      </c>
      <c r="F168" s="48">
        <v>107.4</v>
      </c>
    </row>
    <row r="169">
      <c r="A169" s="46" t="s">
        <v>930</v>
      </c>
      <c r="B169" s="46" t="s">
        <v>965</v>
      </c>
      <c r="C169" s="46" t="s">
        <v>966</v>
      </c>
      <c r="D169" s="46" t="s">
        <v>18</v>
      </c>
      <c r="E169" s="46" t="s">
        <v>14</v>
      </c>
      <c r="F169" s="48">
        <v>105.1</v>
      </c>
    </row>
    <row r="170">
      <c r="A170" s="46" t="s">
        <v>354</v>
      </c>
      <c r="B170" s="46" t="s">
        <v>974</v>
      </c>
      <c r="C170" s="46" t="s">
        <v>975</v>
      </c>
      <c r="D170" s="46" t="s">
        <v>18</v>
      </c>
      <c r="E170" s="46" t="s">
        <v>15</v>
      </c>
      <c r="F170" s="48">
        <v>106.5</v>
      </c>
    </row>
    <row r="171">
      <c r="A171" s="46" t="s">
        <v>354</v>
      </c>
      <c r="B171" s="46" t="s">
        <v>977</v>
      </c>
      <c r="C171" s="46" t="s">
        <v>978</v>
      </c>
      <c r="D171" s="46" t="s">
        <v>18</v>
      </c>
      <c r="E171" s="46" t="s">
        <v>15</v>
      </c>
      <c r="F171" s="48">
        <v>120.6</v>
      </c>
    </row>
    <row r="172">
      <c r="A172" s="46" t="s">
        <v>354</v>
      </c>
      <c r="B172" s="46" t="s">
        <v>982</v>
      </c>
      <c r="C172" s="46" t="s">
        <v>978</v>
      </c>
      <c r="D172" s="46" t="s">
        <v>18</v>
      </c>
      <c r="E172" s="46" t="s">
        <v>15</v>
      </c>
      <c r="F172" s="48">
        <v>116.9</v>
      </c>
    </row>
    <row r="173">
      <c r="A173" s="46" t="s">
        <v>930</v>
      </c>
      <c r="B173" s="46" t="s">
        <v>994</v>
      </c>
      <c r="C173" s="46" t="s">
        <v>995</v>
      </c>
      <c r="D173" s="46" t="s">
        <v>18</v>
      </c>
      <c r="E173" s="46" t="s">
        <v>15</v>
      </c>
      <c r="F173" s="48">
        <v>115.6</v>
      </c>
    </row>
    <row r="174">
      <c r="A174" s="46" t="s">
        <v>930</v>
      </c>
      <c r="B174" s="46" t="s">
        <v>1009</v>
      </c>
      <c r="C174" s="46" t="s">
        <v>1010</v>
      </c>
      <c r="D174" s="46" t="s">
        <v>17</v>
      </c>
      <c r="E174" s="46" t="s">
        <v>15</v>
      </c>
      <c r="F174" s="48">
        <v>106.6</v>
      </c>
    </row>
    <row r="175">
      <c r="A175" s="46" t="s">
        <v>46</v>
      </c>
      <c r="B175" s="46" t="s">
        <v>1029</v>
      </c>
      <c r="C175" s="46" t="s">
        <v>1030</v>
      </c>
      <c r="D175" s="46" t="s">
        <v>18</v>
      </c>
      <c r="E175" s="46" t="s">
        <v>15</v>
      </c>
      <c r="F175" s="48">
        <v>108.5</v>
      </c>
    </row>
    <row r="176">
      <c r="A176" s="46" t="s">
        <v>46</v>
      </c>
      <c r="B176" s="46" t="s">
        <v>1032</v>
      </c>
      <c r="C176" s="46" t="s">
        <v>1033</v>
      </c>
      <c r="D176" s="46" t="s">
        <v>18</v>
      </c>
      <c r="E176" s="46" t="s">
        <v>15</v>
      </c>
      <c r="F176" s="48">
        <v>116.0</v>
      </c>
    </row>
    <row r="177">
      <c r="A177" s="46" t="s">
        <v>46</v>
      </c>
      <c r="B177" s="46" t="s">
        <v>1044</v>
      </c>
      <c r="C177" s="46" t="s">
        <v>1045</v>
      </c>
      <c r="D177" s="46" t="s">
        <v>18</v>
      </c>
      <c r="E177" s="46" t="s">
        <v>15</v>
      </c>
      <c r="F177" s="48">
        <v>125.9</v>
      </c>
    </row>
    <row r="178">
      <c r="A178" s="46" t="s">
        <v>46</v>
      </c>
      <c r="B178" s="46" t="s">
        <v>1055</v>
      </c>
      <c r="C178" s="46" t="s">
        <v>1056</v>
      </c>
      <c r="D178" s="46" t="s">
        <v>18</v>
      </c>
      <c r="E178" s="46" t="s">
        <v>14</v>
      </c>
      <c r="F178" s="48">
        <v>112.5</v>
      </c>
    </row>
    <row r="179">
      <c r="A179" s="46" t="s">
        <v>46</v>
      </c>
      <c r="B179" s="46" t="s">
        <v>1063</v>
      </c>
      <c r="C179" s="46" t="s">
        <v>1064</v>
      </c>
      <c r="D179" s="46" t="s">
        <v>18</v>
      </c>
      <c r="E179" s="46" t="s">
        <v>14</v>
      </c>
      <c r="F179" s="48">
        <v>105.3</v>
      </c>
    </row>
    <row r="180">
      <c r="A180" s="46" t="s">
        <v>46</v>
      </c>
      <c r="B180" s="46" t="s">
        <v>1071</v>
      </c>
      <c r="C180" s="46" t="s">
        <v>1072</v>
      </c>
      <c r="D180" s="46" t="s">
        <v>18</v>
      </c>
      <c r="E180" s="46" t="s">
        <v>15</v>
      </c>
      <c r="F180" s="48">
        <v>104.9</v>
      </c>
    </row>
    <row r="181">
      <c r="A181" s="46" t="s">
        <v>46</v>
      </c>
      <c r="B181" s="46" t="s">
        <v>1083</v>
      </c>
      <c r="C181" s="46" t="s">
        <v>1064</v>
      </c>
      <c r="D181" s="46" t="s">
        <v>17</v>
      </c>
      <c r="E181" s="46" t="s">
        <v>15</v>
      </c>
      <c r="F181" s="48">
        <v>129.0</v>
      </c>
    </row>
    <row r="182">
      <c r="A182" s="46" t="s">
        <v>46</v>
      </c>
      <c r="B182" s="46" t="s">
        <v>1085</v>
      </c>
      <c r="C182" s="46" t="s">
        <v>1053</v>
      </c>
      <c r="D182" s="46" t="s">
        <v>17</v>
      </c>
      <c r="E182" s="46" t="s">
        <v>15</v>
      </c>
      <c r="F182" s="48">
        <v>107.4</v>
      </c>
    </row>
    <row r="183">
      <c r="A183" s="46" t="s">
        <v>46</v>
      </c>
      <c r="B183" s="46" t="s">
        <v>1087</v>
      </c>
      <c r="C183" s="46" t="s">
        <v>46</v>
      </c>
      <c r="D183" s="46" t="s">
        <v>17</v>
      </c>
      <c r="E183" s="46" t="s">
        <v>15</v>
      </c>
      <c r="F183" s="48">
        <v>144.5</v>
      </c>
    </row>
    <row r="184">
      <c r="A184" s="46" t="s">
        <v>46</v>
      </c>
      <c r="B184" s="46" t="s">
        <v>1089</v>
      </c>
      <c r="C184" s="46" t="s">
        <v>1090</v>
      </c>
      <c r="D184" s="46" t="s">
        <v>17</v>
      </c>
      <c r="E184" s="46" t="s">
        <v>15</v>
      </c>
      <c r="F184" s="48">
        <v>140.4</v>
      </c>
    </row>
    <row r="185">
      <c r="A185" s="46" t="s">
        <v>46</v>
      </c>
      <c r="B185" s="46" t="s">
        <v>607</v>
      </c>
      <c r="C185" s="46" t="s">
        <v>1092</v>
      </c>
      <c r="D185" s="46" t="s">
        <v>17</v>
      </c>
      <c r="E185" s="46" t="s">
        <v>15</v>
      </c>
      <c r="F185" s="48">
        <v>128.9</v>
      </c>
    </row>
    <row r="186">
      <c r="A186" s="46" t="s">
        <v>46</v>
      </c>
      <c r="B186" s="46" t="s">
        <v>1101</v>
      </c>
      <c r="C186" s="46" t="s">
        <v>1102</v>
      </c>
      <c r="D186" s="46" t="s">
        <v>17</v>
      </c>
      <c r="E186" s="46" t="s">
        <v>14</v>
      </c>
      <c r="F186" s="48">
        <v>121.8</v>
      </c>
    </row>
    <row r="187">
      <c r="A187" s="46" t="s">
        <v>46</v>
      </c>
      <c r="B187" s="46" t="s">
        <v>1104</v>
      </c>
      <c r="C187" s="46" t="s">
        <v>1105</v>
      </c>
      <c r="D187" s="46" t="s">
        <v>17</v>
      </c>
      <c r="E187" s="46" t="s">
        <v>15</v>
      </c>
      <c r="F187" s="48">
        <v>125.7</v>
      </c>
    </row>
    <row r="188">
      <c r="A188" s="46" t="s">
        <v>46</v>
      </c>
      <c r="B188" s="46" t="s">
        <v>1107</v>
      </c>
      <c r="C188" s="46" t="s">
        <v>1039</v>
      </c>
      <c r="D188" s="46" t="s">
        <v>17</v>
      </c>
      <c r="E188" s="46" t="s">
        <v>15</v>
      </c>
      <c r="F188" s="48">
        <v>111.7</v>
      </c>
    </row>
    <row r="189">
      <c r="A189" s="46" t="s">
        <v>46</v>
      </c>
      <c r="B189" s="46" t="s">
        <v>1109</v>
      </c>
      <c r="C189" s="46" t="s">
        <v>1110</v>
      </c>
      <c r="D189" s="46" t="s">
        <v>18</v>
      </c>
      <c r="E189" s="46" t="s">
        <v>15</v>
      </c>
      <c r="F189" s="48">
        <v>106.4</v>
      </c>
    </row>
    <row r="190">
      <c r="A190" s="46" t="s">
        <v>46</v>
      </c>
      <c r="B190" s="46" t="s">
        <v>1115</v>
      </c>
      <c r="C190" s="46" t="s">
        <v>1050</v>
      </c>
      <c r="D190" s="46" t="s">
        <v>17</v>
      </c>
      <c r="E190" s="46" t="s">
        <v>14</v>
      </c>
      <c r="F190" s="48">
        <v>107.7</v>
      </c>
    </row>
    <row r="191">
      <c r="A191" s="46" t="s">
        <v>46</v>
      </c>
      <c r="B191" s="46" t="s">
        <v>1122</v>
      </c>
      <c r="C191" s="46" t="s">
        <v>1123</v>
      </c>
      <c r="D191" s="46" t="s">
        <v>17</v>
      </c>
      <c r="E191" s="46" t="s">
        <v>15</v>
      </c>
      <c r="F191" s="48">
        <v>129.5</v>
      </c>
    </row>
    <row r="192">
      <c r="A192" s="46" t="s">
        <v>88</v>
      </c>
      <c r="B192" s="46" t="s">
        <v>1129</v>
      </c>
      <c r="C192" s="46" t="s">
        <v>1130</v>
      </c>
      <c r="D192" s="46" t="s">
        <v>18</v>
      </c>
      <c r="E192" s="46" t="s">
        <v>15</v>
      </c>
      <c r="F192" s="48">
        <v>114.2</v>
      </c>
    </row>
    <row r="193">
      <c r="A193" s="46" t="s">
        <v>88</v>
      </c>
      <c r="B193" s="46" t="s">
        <v>1132</v>
      </c>
      <c r="C193" s="46" t="s">
        <v>1133</v>
      </c>
      <c r="D193" s="46" t="s">
        <v>18</v>
      </c>
      <c r="E193" s="46" t="s">
        <v>15</v>
      </c>
      <c r="F193" s="48">
        <v>129.2</v>
      </c>
    </row>
    <row r="194">
      <c r="A194" s="46" t="s">
        <v>88</v>
      </c>
      <c r="B194" s="46" t="s">
        <v>1135</v>
      </c>
      <c r="C194" s="46" t="s">
        <v>1136</v>
      </c>
      <c r="D194" s="46" t="s">
        <v>18</v>
      </c>
      <c r="E194" s="46" t="s">
        <v>15</v>
      </c>
      <c r="F194" s="48">
        <v>120.8</v>
      </c>
    </row>
    <row r="195">
      <c r="A195" s="46" t="s">
        <v>88</v>
      </c>
      <c r="B195" s="46" t="s">
        <v>1138</v>
      </c>
      <c r="C195" s="46" t="s">
        <v>1136</v>
      </c>
      <c r="D195" s="46" t="s">
        <v>18</v>
      </c>
      <c r="E195" s="46" t="s">
        <v>15</v>
      </c>
      <c r="F195" s="48">
        <v>106.4</v>
      </c>
    </row>
    <row r="196">
      <c r="A196" s="46" t="s">
        <v>88</v>
      </c>
      <c r="B196" s="46" t="s">
        <v>1151</v>
      </c>
      <c r="C196" s="46" t="s">
        <v>1152</v>
      </c>
      <c r="D196" s="46" t="s">
        <v>17</v>
      </c>
      <c r="E196" s="46" t="s">
        <v>15</v>
      </c>
      <c r="F196" s="48">
        <v>137.7</v>
      </c>
    </row>
    <row r="197">
      <c r="A197" s="46" t="s">
        <v>269</v>
      </c>
      <c r="B197" s="46" t="s">
        <v>1155</v>
      </c>
      <c r="C197" s="46" t="s">
        <v>1156</v>
      </c>
      <c r="D197" s="46" t="s">
        <v>18</v>
      </c>
      <c r="E197" s="46" t="s">
        <v>15</v>
      </c>
      <c r="F197" s="48">
        <v>107.2</v>
      </c>
    </row>
    <row r="198">
      <c r="A198" s="46" t="s">
        <v>269</v>
      </c>
      <c r="B198" s="46" t="s">
        <v>272</v>
      </c>
      <c r="C198" s="46" t="s">
        <v>1161</v>
      </c>
      <c r="D198" s="46" t="s">
        <v>17</v>
      </c>
      <c r="E198" s="46" t="s">
        <v>15</v>
      </c>
      <c r="F198" s="48">
        <v>114.3</v>
      </c>
    </row>
    <row r="199">
      <c r="A199" s="46" t="s">
        <v>269</v>
      </c>
      <c r="B199" s="46" t="s">
        <v>1163</v>
      </c>
      <c r="C199" s="46" t="s">
        <v>1164</v>
      </c>
      <c r="D199" s="46" t="s">
        <v>17</v>
      </c>
      <c r="E199" s="46" t="s">
        <v>14</v>
      </c>
      <c r="F199" s="48">
        <v>108.9</v>
      </c>
    </row>
    <row r="200">
      <c r="A200" s="46" t="s">
        <v>46</v>
      </c>
      <c r="B200" s="46" t="s">
        <v>1176</v>
      </c>
      <c r="C200" s="46" t="s">
        <v>1177</v>
      </c>
      <c r="D200" s="46" t="s">
        <v>18</v>
      </c>
      <c r="E200" s="46" t="s">
        <v>15</v>
      </c>
      <c r="F200" s="48">
        <v>106.1</v>
      </c>
    </row>
    <row r="201">
      <c r="A201" s="46" t="s">
        <v>46</v>
      </c>
      <c r="B201" s="46" t="s">
        <v>181</v>
      </c>
      <c r="C201" s="46" t="s">
        <v>1188</v>
      </c>
      <c r="D201" s="46" t="s">
        <v>17</v>
      </c>
      <c r="E201" s="46" t="s">
        <v>14</v>
      </c>
      <c r="F201" s="48">
        <v>114.7</v>
      </c>
    </row>
    <row r="202">
      <c r="A202" s="46" t="s">
        <v>46</v>
      </c>
      <c r="B202" s="46" t="s">
        <v>1190</v>
      </c>
      <c r="C202" s="46" t="s">
        <v>1186</v>
      </c>
      <c r="D202" s="46" t="s">
        <v>17</v>
      </c>
      <c r="E202" s="46" t="s">
        <v>14</v>
      </c>
      <c r="F202" s="48">
        <v>124.6</v>
      </c>
    </row>
    <row r="203">
      <c r="A203" s="46" t="s">
        <v>116</v>
      </c>
      <c r="B203" s="46" t="s">
        <v>1201</v>
      </c>
      <c r="C203" s="46" t="s">
        <v>1202</v>
      </c>
      <c r="D203" s="46" t="s">
        <v>18</v>
      </c>
      <c r="E203" s="46" t="s">
        <v>15</v>
      </c>
      <c r="F203" s="48">
        <v>120.2</v>
      </c>
    </row>
    <row r="204">
      <c r="A204" s="46" t="s">
        <v>116</v>
      </c>
      <c r="B204" s="46" t="s">
        <v>1204</v>
      </c>
      <c r="C204" s="46" t="s">
        <v>1205</v>
      </c>
      <c r="D204" s="46" t="s">
        <v>18</v>
      </c>
      <c r="E204" s="46" t="s">
        <v>15</v>
      </c>
      <c r="F204" s="48">
        <v>107.6</v>
      </c>
    </row>
    <row r="205">
      <c r="A205" s="46" t="s">
        <v>377</v>
      </c>
      <c r="B205" s="46" t="s">
        <v>1212</v>
      </c>
      <c r="C205" s="46" t="s">
        <v>1213</v>
      </c>
      <c r="D205" s="46" t="s">
        <v>18</v>
      </c>
      <c r="E205" s="46" t="s">
        <v>14</v>
      </c>
      <c r="F205" s="48">
        <v>115.1</v>
      </c>
    </row>
    <row r="206">
      <c r="A206" s="46" t="s">
        <v>377</v>
      </c>
      <c r="B206" s="46" t="s">
        <v>1218</v>
      </c>
      <c r="C206" s="46" t="s">
        <v>1219</v>
      </c>
      <c r="D206" s="46" t="s">
        <v>18</v>
      </c>
      <c r="E206" s="46" t="s">
        <v>15</v>
      </c>
      <c r="F206" s="48">
        <v>117.6</v>
      </c>
    </row>
    <row r="207">
      <c r="A207" s="46" t="s">
        <v>377</v>
      </c>
      <c r="B207" s="46" t="s">
        <v>1224</v>
      </c>
      <c r="C207" s="46" t="s">
        <v>1225</v>
      </c>
      <c r="D207" s="46" t="s">
        <v>18</v>
      </c>
      <c r="E207" s="46" t="s">
        <v>14</v>
      </c>
      <c r="F207" s="48">
        <v>120.1</v>
      </c>
    </row>
    <row r="208">
      <c r="A208" s="46" t="s">
        <v>377</v>
      </c>
      <c r="B208" s="46" t="s">
        <v>1227</v>
      </c>
      <c r="C208" s="46" t="s">
        <v>1228</v>
      </c>
      <c r="D208" s="46" t="s">
        <v>18</v>
      </c>
      <c r="E208" s="46" t="s">
        <v>15</v>
      </c>
      <c r="F208" s="48">
        <v>112.0</v>
      </c>
    </row>
    <row r="209">
      <c r="A209" s="46" t="s">
        <v>377</v>
      </c>
      <c r="B209" s="46" t="s">
        <v>1234</v>
      </c>
      <c r="C209" s="46" t="s">
        <v>1235</v>
      </c>
      <c r="D209" s="46" t="s">
        <v>17</v>
      </c>
      <c r="E209" s="46" t="s">
        <v>15</v>
      </c>
      <c r="F209" s="48">
        <v>128.3</v>
      </c>
    </row>
    <row r="210">
      <c r="A210" s="46" t="s">
        <v>377</v>
      </c>
      <c r="B210" s="46" t="s">
        <v>1237</v>
      </c>
      <c r="C210" s="46" t="s">
        <v>1235</v>
      </c>
      <c r="D210" s="46" t="s">
        <v>17</v>
      </c>
      <c r="E210" s="46" t="s">
        <v>15</v>
      </c>
      <c r="F210" s="48">
        <v>126.4</v>
      </c>
    </row>
    <row r="211">
      <c r="A211" s="46" t="s">
        <v>377</v>
      </c>
      <c r="B211" s="46" t="s">
        <v>272</v>
      </c>
      <c r="C211" s="46" t="s">
        <v>1222</v>
      </c>
      <c r="D211" s="46" t="s">
        <v>17</v>
      </c>
      <c r="E211" s="46" t="s">
        <v>15</v>
      </c>
      <c r="F211" s="48">
        <v>108.3</v>
      </c>
    </row>
    <row r="212">
      <c r="A212" s="46" t="s">
        <v>377</v>
      </c>
      <c r="B212" s="46" t="s">
        <v>1242</v>
      </c>
      <c r="C212" s="46" t="s">
        <v>1243</v>
      </c>
      <c r="D212" s="46" t="s">
        <v>18</v>
      </c>
      <c r="E212" s="46" t="s">
        <v>14</v>
      </c>
      <c r="F212" s="48">
        <v>107.5</v>
      </c>
    </row>
    <row r="213">
      <c r="A213" s="46" t="s">
        <v>377</v>
      </c>
      <c r="B213" s="46" t="s">
        <v>1245</v>
      </c>
      <c r="C213" s="46" t="s">
        <v>1235</v>
      </c>
      <c r="D213" s="46" t="s">
        <v>17</v>
      </c>
      <c r="E213" s="46" t="s">
        <v>14</v>
      </c>
      <c r="F213" s="48">
        <v>125.4</v>
      </c>
    </row>
    <row r="214">
      <c r="A214" s="46" t="s">
        <v>182</v>
      </c>
      <c r="B214" s="46" t="s">
        <v>1251</v>
      </c>
      <c r="C214" s="46" t="s">
        <v>1252</v>
      </c>
      <c r="D214" s="46" t="s">
        <v>18</v>
      </c>
      <c r="E214" s="46" t="s">
        <v>15</v>
      </c>
      <c r="F214" s="48">
        <v>110.9</v>
      </c>
    </row>
    <row r="215">
      <c r="A215" s="46" t="s">
        <v>182</v>
      </c>
      <c r="B215" s="46" t="s">
        <v>1254</v>
      </c>
      <c r="C215" s="46" t="s">
        <v>1249</v>
      </c>
      <c r="D215" s="46" t="s">
        <v>18</v>
      </c>
      <c r="E215" s="46" t="s">
        <v>15</v>
      </c>
      <c r="F215" s="48">
        <v>105.0</v>
      </c>
    </row>
    <row r="216">
      <c r="A216" s="46" t="s">
        <v>1259</v>
      </c>
      <c r="B216" s="46" t="s">
        <v>1262</v>
      </c>
      <c r="C216" s="46" t="s">
        <v>1263</v>
      </c>
      <c r="D216" s="46" t="s">
        <v>18</v>
      </c>
      <c r="E216" s="46" t="s">
        <v>15</v>
      </c>
      <c r="F216" s="48">
        <v>119.5</v>
      </c>
    </row>
    <row r="217">
      <c r="A217" s="46" t="s">
        <v>1259</v>
      </c>
      <c r="B217" s="46" t="s">
        <v>1265</v>
      </c>
      <c r="C217" s="46" t="s">
        <v>1266</v>
      </c>
      <c r="D217" s="46" t="s">
        <v>18</v>
      </c>
      <c r="E217" s="46" t="s">
        <v>15</v>
      </c>
      <c r="F217" s="48">
        <v>132.7</v>
      </c>
    </row>
    <row r="218">
      <c r="A218" s="46" t="s">
        <v>1259</v>
      </c>
      <c r="B218" s="46" t="s">
        <v>1268</v>
      </c>
      <c r="C218" s="46" t="s">
        <v>1259</v>
      </c>
      <c r="D218" s="46" t="s">
        <v>18</v>
      </c>
      <c r="E218" s="46" t="s">
        <v>15</v>
      </c>
      <c r="F218" s="48">
        <v>104.8</v>
      </c>
    </row>
    <row r="219">
      <c r="A219" s="46" t="s">
        <v>1259</v>
      </c>
      <c r="B219" s="46" t="s">
        <v>1272</v>
      </c>
      <c r="C219" s="46" t="s">
        <v>1259</v>
      </c>
      <c r="D219" s="46" t="s">
        <v>17</v>
      </c>
      <c r="E219" s="46" t="s">
        <v>15</v>
      </c>
      <c r="F219" s="48">
        <v>130.3</v>
      </c>
    </row>
    <row r="220">
      <c r="A220" s="46" t="s">
        <v>1259</v>
      </c>
      <c r="B220" s="46" t="s">
        <v>1277</v>
      </c>
      <c r="C220" s="46" t="s">
        <v>1259</v>
      </c>
      <c r="D220" s="46" t="s">
        <v>17</v>
      </c>
      <c r="E220" s="46" t="s">
        <v>13</v>
      </c>
      <c r="F220" s="48">
        <v>104.3</v>
      </c>
    </row>
    <row r="221">
      <c r="A221" s="46" t="s">
        <v>1259</v>
      </c>
      <c r="B221" s="46" t="s">
        <v>1279</v>
      </c>
      <c r="C221" s="46" t="s">
        <v>1280</v>
      </c>
      <c r="D221" s="46" t="s">
        <v>18</v>
      </c>
      <c r="E221" s="46" t="s">
        <v>14</v>
      </c>
      <c r="F221" s="48">
        <v>121.8</v>
      </c>
    </row>
    <row r="222">
      <c r="A222" s="46" t="s">
        <v>1259</v>
      </c>
      <c r="B222" s="46" t="s">
        <v>1283</v>
      </c>
      <c r="C222" s="46" t="s">
        <v>1284</v>
      </c>
      <c r="D222" s="46" t="s">
        <v>18</v>
      </c>
      <c r="E222" s="46" t="s">
        <v>14</v>
      </c>
      <c r="F222" s="48">
        <v>108.0</v>
      </c>
    </row>
    <row r="223">
      <c r="A223" s="46" t="s">
        <v>1259</v>
      </c>
      <c r="B223" s="46" t="s">
        <v>1286</v>
      </c>
      <c r="C223" s="46" t="s">
        <v>1287</v>
      </c>
      <c r="D223" s="46" t="s">
        <v>18</v>
      </c>
      <c r="E223" s="46" t="s">
        <v>15</v>
      </c>
      <c r="F223" s="48">
        <v>127.4</v>
      </c>
    </row>
    <row r="224">
      <c r="A224" s="46" t="s">
        <v>1259</v>
      </c>
      <c r="B224" s="46" t="s">
        <v>1289</v>
      </c>
      <c r="C224" s="46" t="s">
        <v>1287</v>
      </c>
      <c r="D224" s="46" t="s">
        <v>18</v>
      </c>
      <c r="E224" s="46" t="s">
        <v>15</v>
      </c>
      <c r="F224" s="48">
        <v>110.7</v>
      </c>
    </row>
    <row r="225">
      <c r="A225" s="46" t="s">
        <v>1259</v>
      </c>
      <c r="B225" s="46" t="s">
        <v>1294</v>
      </c>
      <c r="C225" s="46" t="s">
        <v>1295</v>
      </c>
      <c r="D225" s="46" t="s">
        <v>18</v>
      </c>
      <c r="E225" s="46" t="s">
        <v>15</v>
      </c>
      <c r="F225" s="48">
        <v>121.5</v>
      </c>
    </row>
    <row r="226">
      <c r="A226" s="46" t="s">
        <v>1259</v>
      </c>
      <c r="B226" s="46" t="s">
        <v>1300</v>
      </c>
      <c r="C226" s="46" t="s">
        <v>1301</v>
      </c>
      <c r="D226" s="46" t="s">
        <v>18</v>
      </c>
      <c r="E226" s="46" t="s">
        <v>15</v>
      </c>
      <c r="F226" s="48">
        <v>116.1</v>
      </c>
    </row>
    <row r="227">
      <c r="A227" s="46" t="s">
        <v>1259</v>
      </c>
      <c r="B227" s="46" t="s">
        <v>1303</v>
      </c>
      <c r="C227" s="46" t="s">
        <v>1287</v>
      </c>
      <c r="D227" s="46" t="s">
        <v>17</v>
      </c>
      <c r="E227" s="46" t="s">
        <v>15</v>
      </c>
      <c r="F227" s="48">
        <v>118.8</v>
      </c>
    </row>
    <row r="228">
      <c r="A228" s="46" t="s">
        <v>1259</v>
      </c>
      <c r="B228" s="46" t="s">
        <v>1305</v>
      </c>
      <c r="C228" s="46" t="s">
        <v>1292</v>
      </c>
      <c r="D228" s="46" t="s">
        <v>17</v>
      </c>
      <c r="E228" s="46" t="s">
        <v>15</v>
      </c>
      <c r="F228" s="48">
        <v>127.0</v>
      </c>
    </row>
    <row r="229">
      <c r="A229" s="46" t="s">
        <v>71</v>
      </c>
      <c r="B229" s="46" t="s">
        <v>1324</v>
      </c>
      <c r="C229" s="46" t="s">
        <v>1325</v>
      </c>
      <c r="D229" s="46" t="s">
        <v>18</v>
      </c>
      <c r="E229" s="46" t="s">
        <v>15</v>
      </c>
      <c r="F229" s="48">
        <v>133.5</v>
      </c>
    </row>
    <row r="230">
      <c r="A230" s="46" t="s">
        <v>71</v>
      </c>
      <c r="B230" s="46" t="s">
        <v>1330</v>
      </c>
      <c r="C230" s="46" t="s">
        <v>1331</v>
      </c>
      <c r="D230" s="46" t="s">
        <v>18</v>
      </c>
      <c r="E230" s="46" t="s">
        <v>15</v>
      </c>
      <c r="F230" s="48">
        <v>104.4</v>
      </c>
    </row>
    <row r="231">
      <c r="A231" s="46" t="s">
        <v>71</v>
      </c>
      <c r="B231" s="46" t="s">
        <v>1339</v>
      </c>
      <c r="C231" s="46" t="s">
        <v>1340</v>
      </c>
      <c r="D231" s="46" t="s">
        <v>18</v>
      </c>
      <c r="E231" s="46" t="s">
        <v>14</v>
      </c>
      <c r="F231" s="48">
        <v>109.7</v>
      </c>
    </row>
    <row r="232">
      <c r="A232" s="46" t="s">
        <v>71</v>
      </c>
      <c r="B232" s="46" t="s">
        <v>1342</v>
      </c>
      <c r="C232" s="46" t="s">
        <v>1340</v>
      </c>
      <c r="D232" s="46" t="s">
        <v>17</v>
      </c>
      <c r="E232" s="46" t="s">
        <v>15</v>
      </c>
      <c r="F232" s="48">
        <v>132.7</v>
      </c>
    </row>
    <row r="233">
      <c r="A233" s="46" t="s">
        <v>71</v>
      </c>
      <c r="B233" s="46" t="s">
        <v>1344</v>
      </c>
      <c r="C233" s="46" t="s">
        <v>1345</v>
      </c>
      <c r="D233" s="46" t="s">
        <v>17</v>
      </c>
      <c r="E233" s="46" t="s">
        <v>15</v>
      </c>
      <c r="F233" s="48">
        <v>138.0</v>
      </c>
    </row>
    <row r="234">
      <c r="A234" s="46" t="s">
        <v>71</v>
      </c>
      <c r="B234" s="46" t="s">
        <v>1347</v>
      </c>
      <c r="C234" s="46" t="s">
        <v>1340</v>
      </c>
      <c r="D234" s="46" t="s">
        <v>17</v>
      </c>
      <c r="E234" s="46" t="s">
        <v>15</v>
      </c>
      <c r="F234" s="48">
        <v>120.9</v>
      </c>
    </row>
    <row r="235">
      <c r="A235" s="46" t="s">
        <v>71</v>
      </c>
      <c r="B235" s="46" t="s">
        <v>1349</v>
      </c>
      <c r="C235" s="46" t="s">
        <v>1350</v>
      </c>
      <c r="D235" s="46" t="s">
        <v>17</v>
      </c>
      <c r="E235" s="46" t="s">
        <v>13</v>
      </c>
      <c r="F235" s="48">
        <v>106.1</v>
      </c>
    </row>
    <row r="236">
      <c r="A236" s="46" t="s">
        <v>71</v>
      </c>
      <c r="B236" s="46" t="s">
        <v>1355</v>
      </c>
      <c r="C236" s="46" t="s">
        <v>1356</v>
      </c>
      <c r="D236" s="46" t="s">
        <v>18</v>
      </c>
      <c r="E236" s="46" t="s">
        <v>14</v>
      </c>
      <c r="F236" s="48">
        <v>119.8</v>
      </c>
    </row>
    <row r="237">
      <c r="A237" s="46" t="s">
        <v>71</v>
      </c>
      <c r="B237" s="46" t="s">
        <v>1364</v>
      </c>
      <c r="C237" s="46" t="s">
        <v>1365</v>
      </c>
      <c r="D237" s="46" t="s">
        <v>18</v>
      </c>
      <c r="E237" s="46" t="s">
        <v>14</v>
      </c>
      <c r="F237" s="48">
        <v>105.5</v>
      </c>
    </row>
    <row r="238">
      <c r="A238" s="46" t="s">
        <v>71</v>
      </c>
      <c r="B238" s="46" t="s">
        <v>1372</v>
      </c>
      <c r="C238" s="46" t="s">
        <v>1373</v>
      </c>
      <c r="D238" s="46" t="s">
        <v>17</v>
      </c>
      <c r="E238" s="46" t="s">
        <v>15</v>
      </c>
      <c r="F238" s="48">
        <v>113.8</v>
      </c>
    </row>
    <row r="239">
      <c r="A239" s="46" t="s">
        <v>71</v>
      </c>
      <c r="B239" s="46" t="s">
        <v>1375</v>
      </c>
      <c r="C239" s="46" t="s">
        <v>1328</v>
      </c>
      <c r="D239" s="46" t="s">
        <v>17</v>
      </c>
      <c r="E239" s="46" t="s">
        <v>13</v>
      </c>
      <c r="F239" s="48">
        <v>120.8</v>
      </c>
    </row>
    <row r="240">
      <c r="A240" s="46" t="s">
        <v>71</v>
      </c>
      <c r="B240" s="46" t="s">
        <v>1377</v>
      </c>
      <c r="C240" s="46" t="s">
        <v>1353</v>
      </c>
      <c r="D240" s="46" t="s">
        <v>18</v>
      </c>
      <c r="E240" s="46" t="s">
        <v>15</v>
      </c>
      <c r="F240" s="48">
        <v>131.3</v>
      </c>
    </row>
    <row r="241">
      <c r="A241" s="46" t="s">
        <v>71</v>
      </c>
      <c r="B241" s="46" t="s">
        <v>1379</v>
      </c>
      <c r="C241" s="46" t="s">
        <v>1380</v>
      </c>
      <c r="D241" s="46" t="s">
        <v>18</v>
      </c>
      <c r="E241" s="46" t="s">
        <v>14</v>
      </c>
      <c r="F241" s="48">
        <v>104.9</v>
      </c>
    </row>
    <row r="242">
      <c r="A242" s="46" t="s">
        <v>393</v>
      </c>
      <c r="B242" s="46" t="s">
        <v>1388</v>
      </c>
      <c r="C242" s="46" t="s">
        <v>1389</v>
      </c>
      <c r="D242" s="46" t="s">
        <v>18</v>
      </c>
      <c r="E242" s="46" t="s">
        <v>14</v>
      </c>
      <c r="F242" s="48">
        <v>112.9</v>
      </c>
    </row>
    <row r="243">
      <c r="A243" s="46" t="s">
        <v>333</v>
      </c>
      <c r="B243" s="46" t="s">
        <v>1392</v>
      </c>
      <c r="C243" s="46" t="s">
        <v>1393</v>
      </c>
      <c r="D243" s="46" t="s">
        <v>18</v>
      </c>
      <c r="E243" s="46" t="s">
        <v>14</v>
      </c>
      <c r="F243" s="48">
        <v>107.3</v>
      </c>
    </row>
    <row r="244">
      <c r="A244" s="46" t="s">
        <v>779</v>
      </c>
      <c r="B244" s="46" t="s">
        <v>1402</v>
      </c>
      <c r="C244" s="46" t="s">
        <v>1403</v>
      </c>
      <c r="D244" s="46" t="s">
        <v>18</v>
      </c>
      <c r="E244" s="46" t="s">
        <v>15</v>
      </c>
      <c r="F244" s="48">
        <v>121.5</v>
      </c>
    </row>
    <row r="245">
      <c r="A245" s="46" t="s">
        <v>161</v>
      </c>
      <c r="B245" s="46" t="s">
        <v>1409</v>
      </c>
      <c r="C245" s="46" t="s">
        <v>1410</v>
      </c>
      <c r="D245" s="46" t="s">
        <v>18</v>
      </c>
      <c r="E245" s="46" t="s">
        <v>14</v>
      </c>
      <c r="F245" s="48">
        <v>114.7</v>
      </c>
    </row>
    <row r="246">
      <c r="A246" s="46" t="s">
        <v>161</v>
      </c>
      <c r="B246" s="46" t="s">
        <v>1412</v>
      </c>
      <c r="C246" s="46" t="s">
        <v>1413</v>
      </c>
      <c r="D246" s="46" t="s">
        <v>17</v>
      </c>
      <c r="E246" s="46" t="s">
        <v>15</v>
      </c>
      <c r="F246" s="48">
        <v>140.6</v>
      </c>
    </row>
    <row r="247">
      <c r="A247" s="46" t="s">
        <v>161</v>
      </c>
      <c r="B247" s="46" t="s">
        <v>1421</v>
      </c>
      <c r="C247" s="46" t="s">
        <v>1422</v>
      </c>
      <c r="D247" s="46" t="s">
        <v>18</v>
      </c>
      <c r="E247" s="46" t="s">
        <v>14</v>
      </c>
      <c r="F247" s="48">
        <v>123.1</v>
      </c>
    </row>
    <row r="248">
      <c r="A248" s="46" t="s">
        <v>161</v>
      </c>
      <c r="B248" s="46" t="s">
        <v>1427</v>
      </c>
      <c r="C248" s="46" t="s">
        <v>1428</v>
      </c>
      <c r="D248" s="46" t="s">
        <v>18</v>
      </c>
      <c r="E248" s="46" t="s">
        <v>15</v>
      </c>
      <c r="F248" s="48">
        <v>113.9</v>
      </c>
    </row>
    <row r="249">
      <c r="A249" s="46" t="s">
        <v>161</v>
      </c>
      <c r="B249" s="46" t="s">
        <v>1430</v>
      </c>
      <c r="C249" s="46" t="s">
        <v>1431</v>
      </c>
      <c r="D249" s="46" t="s">
        <v>17</v>
      </c>
      <c r="E249" s="46" t="s">
        <v>15</v>
      </c>
      <c r="F249" s="48">
        <v>137.0</v>
      </c>
    </row>
    <row r="250">
      <c r="A250" s="46" t="s">
        <v>161</v>
      </c>
      <c r="B250" s="46" t="s">
        <v>1433</v>
      </c>
      <c r="C250" s="46" t="s">
        <v>1434</v>
      </c>
      <c r="D250" s="46" t="s">
        <v>17</v>
      </c>
      <c r="E250" s="46" t="s">
        <v>15</v>
      </c>
      <c r="F250" s="48">
        <v>124.0</v>
      </c>
    </row>
    <row r="251">
      <c r="A251" s="46" t="s">
        <v>1441</v>
      </c>
      <c r="B251" s="46" t="s">
        <v>994</v>
      </c>
      <c r="C251" s="46" t="s">
        <v>1446</v>
      </c>
      <c r="D251" s="46" t="s">
        <v>18</v>
      </c>
      <c r="E251" s="46" t="s">
        <v>15</v>
      </c>
      <c r="F251" s="48">
        <v>134.4</v>
      </c>
    </row>
    <row r="252">
      <c r="A252" s="46" t="s">
        <v>1441</v>
      </c>
      <c r="B252" s="46" t="s">
        <v>1448</v>
      </c>
      <c r="C252" s="46" t="s">
        <v>1449</v>
      </c>
      <c r="D252" s="46" t="s">
        <v>18</v>
      </c>
      <c r="E252" s="46" t="s">
        <v>15</v>
      </c>
      <c r="F252" s="48">
        <v>142.3</v>
      </c>
    </row>
    <row r="253">
      <c r="A253" s="46" t="s">
        <v>1441</v>
      </c>
      <c r="B253" s="46" t="s">
        <v>1451</v>
      </c>
      <c r="C253" s="46" t="s">
        <v>1452</v>
      </c>
      <c r="D253" s="46" t="s">
        <v>18</v>
      </c>
      <c r="E253" s="46" t="s">
        <v>15</v>
      </c>
      <c r="F253" s="48">
        <v>130.5</v>
      </c>
    </row>
    <row r="254">
      <c r="A254" s="46" t="s">
        <v>1441</v>
      </c>
      <c r="B254" s="46" t="s">
        <v>1454</v>
      </c>
      <c r="C254" s="46" t="s">
        <v>1455</v>
      </c>
      <c r="D254" s="46" t="s">
        <v>18</v>
      </c>
      <c r="E254" s="46" t="s">
        <v>15</v>
      </c>
      <c r="F254" s="48">
        <v>136.1</v>
      </c>
    </row>
    <row r="255">
      <c r="A255" s="46" t="s">
        <v>1441</v>
      </c>
      <c r="B255" s="46" t="s">
        <v>1457</v>
      </c>
      <c r="C255" s="46" t="s">
        <v>1455</v>
      </c>
      <c r="D255" s="46" t="s">
        <v>18</v>
      </c>
      <c r="E255" s="46" t="s">
        <v>15</v>
      </c>
      <c r="F255" s="48">
        <v>123.8</v>
      </c>
    </row>
    <row r="256">
      <c r="A256" s="46" t="s">
        <v>1441</v>
      </c>
      <c r="B256" s="46" t="s">
        <v>1459</v>
      </c>
      <c r="C256" s="46" t="s">
        <v>1460</v>
      </c>
      <c r="D256" s="46" t="s">
        <v>18</v>
      </c>
      <c r="E256" s="46" t="s">
        <v>15</v>
      </c>
      <c r="F256" s="48">
        <v>109.8</v>
      </c>
    </row>
    <row r="257">
      <c r="A257" s="46" t="s">
        <v>1441</v>
      </c>
      <c r="B257" s="46" t="s">
        <v>1465</v>
      </c>
      <c r="C257" s="46" t="s">
        <v>1466</v>
      </c>
      <c r="D257" s="46" t="s">
        <v>18</v>
      </c>
      <c r="E257" s="46" t="s">
        <v>15</v>
      </c>
      <c r="F257" s="48">
        <v>121.0</v>
      </c>
    </row>
    <row r="258">
      <c r="A258" s="46" t="s">
        <v>1441</v>
      </c>
      <c r="B258" s="46" t="s">
        <v>1468</v>
      </c>
      <c r="C258" s="46" t="s">
        <v>1469</v>
      </c>
      <c r="D258" s="46" t="s">
        <v>18</v>
      </c>
      <c r="E258" s="46" t="s">
        <v>15</v>
      </c>
      <c r="F258" s="48">
        <v>133.4</v>
      </c>
    </row>
    <row r="259">
      <c r="A259" s="46" t="s">
        <v>1441</v>
      </c>
      <c r="B259" s="46" t="s">
        <v>1479</v>
      </c>
      <c r="C259" s="46" t="s">
        <v>1466</v>
      </c>
      <c r="D259" s="46" t="s">
        <v>18</v>
      </c>
      <c r="E259" s="46" t="s">
        <v>13</v>
      </c>
      <c r="F259" s="48">
        <v>113.3</v>
      </c>
    </row>
    <row r="260">
      <c r="A260" s="46" t="s">
        <v>1441</v>
      </c>
      <c r="B260" s="46" t="s">
        <v>1483</v>
      </c>
      <c r="C260" s="46" t="s">
        <v>1469</v>
      </c>
      <c r="D260" s="46" t="s">
        <v>17</v>
      </c>
      <c r="E260" s="46" t="s">
        <v>15</v>
      </c>
      <c r="F260" s="48">
        <v>149.8</v>
      </c>
    </row>
    <row r="261">
      <c r="A261" s="46" t="s">
        <v>1441</v>
      </c>
      <c r="B261" s="46" t="s">
        <v>1485</v>
      </c>
      <c r="C261" s="46" t="s">
        <v>1463</v>
      </c>
      <c r="D261" s="46" t="s">
        <v>17</v>
      </c>
      <c r="E261" s="46" t="s">
        <v>15</v>
      </c>
      <c r="F261" s="48">
        <v>118.9</v>
      </c>
    </row>
    <row r="262">
      <c r="A262" s="46" t="s">
        <v>1441</v>
      </c>
      <c r="B262" s="46" t="s">
        <v>1490</v>
      </c>
      <c r="C262" s="46" t="s">
        <v>1446</v>
      </c>
      <c r="D262" s="46" t="s">
        <v>17</v>
      </c>
      <c r="E262" s="46" t="s">
        <v>15</v>
      </c>
      <c r="F262" s="48">
        <v>145.8</v>
      </c>
    </row>
    <row r="263">
      <c r="A263" s="46" t="s">
        <v>1441</v>
      </c>
      <c r="B263" s="46" t="s">
        <v>1492</v>
      </c>
      <c r="C263" s="46" t="s">
        <v>1444</v>
      </c>
      <c r="D263" s="46" t="s">
        <v>17</v>
      </c>
      <c r="E263" s="46" t="s">
        <v>15</v>
      </c>
      <c r="F263" s="48">
        <v>134.5</v>
      </c>
    </row>
    <row r="264">
      <c r="A264" s="46" t="s">
        <v>1441</v>
      </c>
      <c r="B264" s="46" t="s">
        <v>1494</v>
      </c>
      <c r="C264" s="46" t="s">
        <v>1495</v>
      </c>
      <c r="D264" s="46" t="s">
        <v>17</v>
      </c>
      <c r="E264" s="46" t="s">
        <v>15</v>
      </c>
      <c r="F264" s="48">
        <v>136.0</v>
      </c>
    </row>
    <row r="265">
      <c r="A265" s="46" t="s">
        <v>1441</v>
      </c>
      <c r="B265" s="46" t="s">
        <v>1497</v>
      </c>
      <c r="C265" s="46" t="s">
        <v>1498</v>
      </c>
      <c r="D265" s="46" t="s">
        <v>17</v>
      </c>
      <c r="E265" s="46" t="s">
        <v>15</v>
      </c>
      <c r="F265" s="48">
        <v>142.9</v>
      </c>
    </row>
    <row r="266">
      <c r="A266" s="46" t="s">
        <v>1441</v>
      </c>
      <c r="B266" s="46" t="s">
        <v>1500</v>
      </c>
      <c r="C266" s="46" t="s">
        <v>1501</v>
      </c>
      <c r="D266" s="46" t="s">
        <v>17</v>
      </c>
      <c r="E266" s="46" t="s">
        <v>15</v>
      </c>
      <c r="F266" s="48">
        <v>146.1</v>
      </c>
    </row>
    <row r="267">
      <c r="A267" s="46" t="s">
        <v>1441</v>
      </c>
      <c r="B267" s="46" t="s">
        <v>1503</v>
      </c>
      <c r="C267" s="46" t="s">
        <v>1466</v>
      </c>
      <c r="D267" s="46" t="s">
        <v>17</v>
      </c>
      <c r="E267" s="46" t="s">
        <v>15</v>
      </c>
      <c r="F267" s="48">
        <v>153.0</v>
      </c>
    </row>
    <row r="268">
      <c r="A268" s="46" t="s">
        <v>1441</v>
      </c>
      <c r="B268" s="46" t="s">
        <v>1505</v>
      </c>
      <c r="C268" s="46" t="s">
        <v>1498</v>
      </c>
      <c r="D268" s="46" t="s">
        <v>17</v>
      </c>
      <c r="E268" s="46" t="s">
        <v>15</v>
      </c>
      <c r="F268" s="48">
        <v>130.2</v>
      </c>
    </row>
    <row r="269">
      <c r="A269" s="46" t="s">
        <v>269</v>
      </c>
      <c r="B269" s="46" t="s">
        <v>1508</v>
      </c>
      <c r="C269" s="46" t="s">
        <v>1509</v>
      </c>
      <c r="D269" s="46" t="s">
        <v>18</v>
      </c>
      <c r="E269" s="46" t="s">
        <v>15</v>
      </c>
      <c r="F269" s="48">
        <v>104.0</v>
      </c>
    </row>
    <row r="270">
      <c r="A270" s="46" t="s">
        <v>269</v>
      </c>
      <c r="B270" s="46" t="s">
        <v>1511</v>
      </c>
      <c r="C270" s="46" t="s">
        <v>1512</v>
      </c>
      <c r="D270" s="46" t="s">
        <v>18</v>
      </c>
      <c r="E270" s="46" t="s">
        <v>15</v>
      </c>
      <c r="F270" s="48">
        <v>109.1</v>
      </c>
    </row>
    <row r="271">
      <c r="A271" s="46" t="s">
        <v>269</v>
      </c>
      <c r="B271" s="46" t="s">
        <v>1517</v>
      </c>
      <c r="C271" s="46" t="s">
        <v>1518</v>
      </c>
      <c r="D271" s="46" t="s">
        <v>18</v>
      </c>
      <c r="E271" s="46" t="s">
        <v>15</v>
      </c>
      <c r="F271" s="48">
        <v>121.6</v>
      </c>
    </row>
    <row r="272">
      <c r="A272" s="46" t="s">
        <v>269</v>
      </c>
      <c r="B272" s="46" t="s">
        <v>1523</v>
      </c>
      <c r="C272" s="46" t="s">
        <v>1524</v>
      </c>
      <c r="D272" s="46" t="s">
        <v>17</v>
      </c>
      <c r="E272" s="46" t="s">
        <v>14</v>
      </c>
      <c r="F272" s="48">
        <v>108.2</v>
      </c>
    </row>
    <row r="273">
      <c r="A273" s="46" t="s">
        <v>269</v>
      </c>
      <c r="B273" s="46" t="s">
        <v>1528</v>
      </c>
      <c r="C273" s="46" t="s">
        <v>1529</v>
      </c>
      <c r="D273" s="46" t="s">
        <v>17</v>
      </c>
      <c r="E273" s="46" t="s">
        <v>15</v>
      </c>
      <c r="F273" s="48">
        <v>124.4</v>
      </c>
    </row>
    <row r="274">
      <c r="A274" s="46" t="s">
        <v>269</v>
      </c>
      <c r="B274" s="46" t="s">
        <v>1531</v>
      </c>
      <c r="C274" s="46" t="s">
        <v>1524</v>
      </c>
      <c r="D274" s="46" t="s">
        <v>17</v>
      </c>
      <c r="E274" s="46" t="s">
        <v>15</v>
      </c>
      <c r="F274" s="48">
        <v>121.3</v>
      </c>
    </row>
    <row r="275">
      <c r="A275" s="46" t="s">
        <v>269</v>
      </c>
      <c r="B275" s="46" t="s">
        <v>1533</v>
      </c>
      <c r="C275" s="46" t="s">
        <v>1534</v>
      </c>
      <c r="D275" s="46" t="s">
        <v>17</v>
      </c>
      <c r="E275" s="46" t="s">
        <v>15</v>
      </c>
      <c r="F275" s="48">
        <v>138.8</v>
      </c>
    </row>
    <row r="276">
      <c r="A276" s="46" t="s">
        <v>269</v>
      </c>
      <c r="B276" s="46" t="s">
        <v>1536</v>
      </c>
      <c r="C276" s="46" t="s">
        <v>1537</v>
      </c>
      <c r="D276" s="46" t="s">
        <v>18</v>
      </c>
      <c r="E276" s="46" t="s">
        <v>14</v>
      </c>
      <c r="F276" s="48">
        <v>106.0</v>
      </c>
    </row>
    <row r="277">
      <c r="A277" s="46" t="s">
        <v>269</v>
      </c>
      <c r="B277" s="46" t="s">
        <v>1542</v>
      </c>
      <c r="C277" s="46" t="s">
        <v>1534</v>
      </c>
      <c r="D277" s="46" t="s">
        <v>17</v>
      </c>
      <c r="E277" s="46" t="s">
        <v>15</v>
      </c>
      <c r="F277" s="48">
        <v>135.5</v>
      </c>
    </row>
    <row r="278">
      <c r="A278" s="46" t="s">
        <v>1545</v>
      </c>
      <c r="B278" s="46" t="s">
        <v>1548</v>
      </c>
      <c r="C278" s="46" t="s">
        <v>1549</v>
      </c>
      <c r="D278" s="46" t="s">
        <v>18</v>
      </c>
      <c r="E278" s="46" t="s">
        <v>15</v>
      </c>
      <c r="F278" s="48">
        <v>111.5</v>
      </c>
    </row>
    <row r="279">
      <c r="A279" s="46" t="s">
        <v>1545</v>
      </c>
      <c r="B279" s="46" t="s">
        <v>1554</v>
      </c>
      <c r="C279" s="46" t="s">
        <v>1555</v>
      </c>
      <c r="D279" s="46" t="s">
        <v>17</v>
      </c>
      <c r="E279" s="46" t="s">
        <v>14</v>
      </c>
      <c r="F279" s="48">
        <v>109.5</v>
      </c>
    </row>
    <row r="280">
      <c r="A280" s="46" t="s">
        <v>1545</v>
      </c>
      <c r="B280" s="46" t="s">
        <v>1557</v>
      </c>
      <c r="C280" s="46" t="s">
        <v>1558</v>
      </c>
      <c r="D280" s="46" t="s">
        <v>18</v>
      </c>
      <c r="E280" s="46" t="s">
        <v>15</v>
      </c>
      <c r="F280" s="48">
        <v>109.5</v>
      </c>
    </row>
    <row r="281">
      <c r="A281" s="46" t="s">
        <v>1545</v>
      </c>
      <c r="B281" s="46" t="s">
        <v>1560</v>
      </c>
      <c r="C281" s="46" t="s">
        <v>1561</v>
      </c>
      <c r="D281" s="46" t="s">
        <v>18</v>
      </c>
      <c r="E281" s="46" t="s">
        <v>15</v>
      </c>
      <c r="F281" s="48">
        <v>106.5</v>
      </c>
    </row>
    <row r="282">
      <c r="A282" s="46" t="s">
        <v>1545</v>
      </c>
      <c r="B282" s="46" t="s">
        <v>1563</v>
      </c>
      <c r="C282" s="46" t="s">
        <v>1564</v>
      </c>
      <c r="D282" s="46" t="s">
        <v>18</v>
      </c>
      <c r="E282" s="46" t="s">
        <v>14</v>
      </c>
      <c r="F282" s="48">
        <v>110.6</v>
      </c>
    </row>
    <row r="283">
      <c r="A283" s="46" t="s">
        <v>1545</v>
      </c>
      <c r="B283" s="46" t="s">
        <v>1566</v>
      </c>
      <c r="C283" s="46" t="s">
        <v>1567</v>
      </c>
      <c r="D283" s="46" t="s">
        <v>18</v>
      </c>
      <c r="E283" s="46" t="s">
        <v>14</v>
      </c>
      <c r="F283" s="48">
        <v>117.5</v>
      </c>
    </row>
    <row r="284">
      <c r="A284" s="46" t="s">
        <v>1545</v>
      </c>
      <c r="B284" s="46" t="s">
        <v>1571</v>
      </c>
      <c r="C284" s="46" t="s">
        <v>1572</v>
      </c>
      <c r="D284" s="46" t="s">
        <v>18</v>
      </c>
      <c r="E284" s="46" t="s">
        <v>15</v>
      </c>
      <c r="F284" s="48">
        <v>126.2</v>
      </c>
    </row>
    <row r="285">
      <c r="A285" s="46" t="s">
        <v>1545</v>
      </c>
      <c r="B285" s="46" t="s">
        <v>1574</v>
      </c>
      <c r="C285" s="46" t="s">
        <v>1575</v>
      </c>
      <c r="D285" s="46" t="s">
        <v>18</v>
      </c>
      <c r="E285" s="46" t="s">
        <v>14</v>
      </c>
      <c r="F285" s="48">
        <v>112.7</v>
      </c>
    </row>
    <row r="286">
      <c r="A286" s="46" t="s">
        <v>1545</v>
      </c>
      <c r="B286" s="46" t="s">
        <v>1577</v>
      </c>
      <c r="C286" s="46" t="s">
        <v>1578</v>
      </c>
      <c r="D286" s="46" t="s">
        <v>18</v>
      </c>
      <c r="E286" s="46" t="s">
        <v>14</v>
      </c>
      <c r="F286" s="48">
        <v>123.0</v>
      </c>
    </row>
    <row r="287">
      <c r="A287" s="46" t="s">
        <v>1579</v>
      </c>
      <c r="B287" s="46" t="s">
        <v>1585</v>
      </c>
      <c r="C287" s="46" t="s">
        <v>1586</v>
      </c>
      <c r="D287" s="46" t="s">
        <v>18</v>
      </c>
      <c r="E287" s="46" t="s">
        <v>15</v>
      </c>
      <c r="F287" s="48">
        <v>126.8</v>
      </c>
    </row>
    <row r="288">
      <c r="A288" s="46" t="s">
        <v>1579</v>
      </c>
      <c r="B288" s="46" t="s">
        <v>1588</v>
      </c>
      <c r="C288" s="46" t="s">
        <v>1589</v>
      </c>
      <c r="D288" s="46" t="s">
        <v>18</v>
      </c>
      <c r="E288" s="46" t="s">
        <v>15</v>
      </c>
      <c r="F288" s="48">
        <v>141.5</v>
      </c>
    </row>
    <row r="289">
      <c r="A289" s="46" t="s">
        <v>1579</v>
      </c>
      <c r="B289" s="46" t="s">
        <v>1591</v>
      </c>
      <c r="C289" s="46" t="s">
        <v>1592</v>
      </c>
      <c r="D289" s="46" t="s">
        <v>17</v>
      </c>
      <c r="E289" s="46" t="s">
        <v>13</v>
      </c>
      <c r="F289" s="48">
        <v>131.3</v>
      </c>
    </row>
    <row r="290">
      <c r="A290" s="46" t="s">
        <v>1579</v>
      </c>
      <c r="B290" s="46" t="s">
        <v>1594</v>
      </c>
      <c r="C290" s="46" t="s">
        <v>1595</v>
      </c>
      <c r="D290" s="46" t="s">
        <v>18</v>
      </c>
      <c r="E290" s="46" t="s">
        <v>15</v>
      </c>
      <c r="F290" s="48">
        <v>122.3</v>
      </c>
    </row>
    <row r="291">
      <c r="A291" s="46" t="s">
        <v>1579</v>
      </c>
      <c r="B291" s="46" t="s">
        <v>1597</v>
      </c>
      <c r="C291" s="46" t="s">
        <v>1589</v>
      </c>
      <c r="D291" s="46" t="s">
        <v>17</v>
      </c>
      <c r="E291" s="46" t="s">
        <v>15</v>
      </c>
      <c r="F291" s="48">
        <v>150.5</v>
      </c>
    </row>
    <row r="292">
      <c r="A292" s="46" t="s">
        <v>1579</v>
      </c>
      <c r="B292" s="46" t="s">
        <v>1602</v>
      </c>
      <c r="C292" s="46" t="s">
        <v>1603</v>
      </c>
      <c r="D292" s="46" t="s">
        <v>18</v>
      </c>
      <c r="E292" s="46" t="s">
        <v>14</v>
      </c>
      <c r="F292" s="48">
        <v>107.6</v>
      </c>
    </row>
    <row r="293">
      <c r="A293" s="46" t="s">
        <v>1579</v>
      </c>
      <c r="B293" s="46" t="s">
        <v>1605</v>
      </c>
      <c r="C293" s="46" t="s">
        <v>1606</v>
      </c>
      <c r="D293" s="46" t="s">
        <v>18</v>
      </c>
      <c r="E293" s="46" t="s">
        <v>15</v>
      </c>
      <c r="F293" s="48">
        <v>120.7</v>
      </c>
    </row>
    <row r="294">
      <c r="A294" s="46" t="s">
        <v>1579</v>
      </c>
      <c r="B294" s="46" t="s">
        <v>1608</v>
      </c>
      <c r="C294" s="46" t="s">
        <v>1579</v>
      </c>
      <c r="D294" s="46" t="s">
        <v>18</v>
      </c>
      <c r="E294" s="46" t="s">
        <v>14</v>
      </c>
      <c r="F294" s="48">
        <v>125.3</v>
      </c>
    </row>
    <row r="295">
      <c r="A295" s="46" t="s">
        <v>1579</v>
      </c>
      <c r="B295" s="46" t="s">
        <v>1251</v>
      </c>
      <c r="C295" s="46" t="s">
        <v>1579</v>
      </c>
      <c r="D295" s="46" t="s">
        <v>18</v>
      </c>
      <c r="E295" s="46" t="s">
        <v>15</v>
      </c>
      <c r="F295" s="48">
        <v>129.6</v>
      </c>
    </row>
    <row r="296">
      <c r="A296" s="46" t="s">
        <v>1579</v>
      </c>
      <c r="B296" s="46" t="s">
        <v>1611</v>
      </c>
      <c r="C296" s="46" t="s">
        <v>1612</v>
      </c>
      <c r="D296" s="46" t="s">
        <v>18</v>
      </c>
      <c r="E296" s="46" t="s">
        <v>14</v>
      </c>
      <c r="F296" s="48">
        <v>124.0</v>
      </c>
    </row>
    <row r="297">
      <c r="A297" s="46" t="s">
        <v>1579</v>
      </c>
      <c r="B297" s="46" t="s">
        <v>1614</v>
      </c>
      <c r="C297" s="46" t="s">
        <v>1615</v>
      </c>
      <c r="D297" s="46" t="s">
        <v>18</v>
      </c>
      <c r="E297" s="46" t="s">
        <v>15</v>
      </c>
      <c r="F297" s="48">
        <v>120.6</v>
      </c>
    </row>
    <row r="298">
      <c r="A298" s="46" t="s">
        <v>1579</v>
      </c>
      <c r="B298" s="46" t="s">
        <v>1617</v>
      </c>
      <c r="C298" s="46" t="s">
        <v>1618</v>
      </c>
      <c r="D298" s="46" t="s">
        <v>17</v>
      </c>
      <c r="E298" s="46" t="s">
        <v>15</v>
      </c>
      <c r="F298" s="48">
        <v>147.3</v>
      </c>
    </row>
    <row r="299">
      <c r="A299" s="46" t="s">
        <v>284</v>
      </c>
      <c r="B299" s="46" t="s">
        <v>1624</v>
      </c>
      <c r="C299" s="46" t="s">
        <v>1625</v>
      </c>
      <c r="D299" s="46" t="s">
        <v>18</v>
      </c>
      <c r="E299" s="46" t="s">
        <v>15</v>
      </c>
      <c r="F299" s="48">
        <v>122.9</v>
      </c>
    </row>
    <row r="300">
      <c r="A300" s="46" t="s">
        <v>284</v>
      </c>
      <c r="B300" s="46" t="s">
        <v>694</v>
      </c>
      <c r="C300" s="46" t="s">
        <v>1627</v>
      </c>
      <c r="D300" s="46" t="s">
        <v>17</v>
      </c>
      <c r="E300" s="46" t="s">
        <v>15</v>
      </c>
      <c r="F300" s="48">
        <v>106.1</v>
      </c>
    </row>
    <row r="301">
      <c r="A301" s="46" t="s">
        <v>284</v>
      </c>
      <c r="B301" s="46" t="s">
        <v>1629</v>
      </c>
      <c r="C301" s="46" t="s">
        <v>1625</v>
      </c>
      <c r="D301" s="46" t="s">
        <v>17</v>
      </c>
      <c r="E301" s="46" t="s">
        <v>14</v>
      </c>
      <c r="F301" s="48">
        <v>119.2</v>
      </c>
    </row>
    <row r="302">
      <c r="A302" s="46" t="s">
        <v>284</v>
      </c>
      <c r="B302" s="46" t="s">
        <v>1634</v>
      </c>
      <c r="C302" s="46" t="s">
        <v>1625</v>
      </c>
      <c r="D302" s="46" t="s">
        <v>18</v>
      </c>
      <c r="E302" s="46" t="s">
        <v>15</v>
      </c>
      <c r="F302" s="48">
        <v>113.2</v>
      </c>
    </row>
    <row r="303">
      <c r="A303" s="46" t="s">
        <v>88</v>
      </c>
      <c r="B303" s="46" t="s">
        <v>1639</v>
      </c>
      <c r="C303" s="46" t="s">
        <v>1640</v>
      </c>
      <c r="D303" s="46" t="s">
        <v>17</v>
      </c>
      <c r="E303" s="46" t="s">
        <v>15</v>
      </c>
      <c r="F303" s="48">
        <v>109.7</v>
      </c>
    </row>
    <row r="304">
      <c r="A304" s="46" t="s">
        <v>88</v>
      </c>
      <c r="B304" s="46" t="s">
        <v>1647</v>
      </c>
      <c r="C304" s="46" t="s">
        <v>88</v>
      </c>
      <c r="D304" s="46" t="s">
        <v>17</v>
      </c>
      <c r="E304" s="46" t="s">
        <v>15</v>
      </c>
      <c r="F304" s="48">
        <v>127.6</v>
      </c>
    </row>
    <row r="305">
      <c r="A305" s="46" t="s">
        <v>88</v>
      </c>
      <c r="B305" s="46" t="s">
        <v>1649</v>
      </c>
      <c r="C305" s="46" t="s">
        <v>88</v>
      </c>
      <c r="D305" s="46" t="s">
        <v>17</v>
      </c>
      <c r="E305" s="46" t="s">
        <v>15</v>
      </c>
      <c r="F305" s="48">
        <v>120.0</v>
      </c>
    </row>
    <row r="306">
      <c r="A306" s="46" t="s">
        <v>182</v>
      </c>
      <c r="B306" s="46" t="s">
        <v>1655</v>
      </c>
      <c r="C306" s="46" t="s">
        <v>1653</v>
      </c>
      <c r="D306" s="46" t="s">
        <v>18</v>
      </c>
      <c r="E306" s="46" t="s">
        <v>14</v>
      </c>
      <c r="F306" s="48">
        <v>105.8</v>
      </c>
    </row>
    <row r="307">
      <c r="A307" s="46" t="s">
        <v>182</v>
      </c>
      <c r="B307" s="46" t="s">
        <v>1657</v>
      </c>
      <c r="C307" s="46" t="s">
        <v>1653</v>
      </c>
      <c r="D307" s="46" t="s">
        <v>17</v>
      </c>
      <c r="E307" s="46" t="s">
        <v>15</v>
      </c>
      <c r="F307" s="48">
        <v>118.1</v>
      </c>
    </row>
    <row r="308">
      <c r="A308" s="46" t="s">
        <v>182</v>
      </c>
      <c r="B308" s="46" t="s">
        <v>1667</v>
      </c>
      <c r="C308" s="46" t="s">
        <v>1668</v>
      </c>
      <c r="D308" s="46" t="s">
        <v>18</v>
      </c>
      <c r="E308" s="46" t="s">
        <v>15</v>
      </c>
      <c r="F308" s="48">
        <v>104.5</v>
      </c>
    </row>
    <row r="309">
      <c r="A309" s="46" t="s">
        <v>182</v>
      </c>
      <c r="B309" s="46" t="s">
        <v>1676</v>
      </c>
      <c r="C309" s="46" t="s">
        <v>1677</v>
      </c>
      <c r="D309" s="46" t="s">
        <v>18</v>
      </c>
      <c r="E309" s="46" t="s">
        <v>14</v>
      </c>
      <c r="F309" s="48">
        <v>111.7</v>
      </c>
    </row>
    <row r="310">
      <c r="A310" s="46" t="s">
        <v>134</v>
      </c>
      <c r="B310" s="46" t="s">
        <v>456</v>
      </c>
      <c r="C310" s="46" t="s">
        <v>1680</v>
      </c>
      <c r="D310" s="46" t="s">
        <v>18</v>
      </c>
      <c r="E310" s="46" t="s">
        <v>15</v>
      </c>
      <c r="F310" s="48">
        <v>107.9</v>
      </c>
    </row>
    <row r="311">
      <c r="A311" s="46" t="s">
        <v>134</v>
      </c>
      <c r="B311" s="46" t="s">
        <v>391</v>
      </c>
      <c r="C311" s="46" t="s">
        <v>1682</v>
      </c>
      <c r="D311" s="46" t="s">
        <v>18</v>
      </c>
      <c r="E311" s="46" t="s">
        <v>14</v>
      </c>
      <c r="F311" s="48">
        <v>109.6</v>
      </c>
    </row>
    <row r="312">
      <c r="A312" s="46" t="s">
        <v>134</v>
      </c>
      <c r="B312" s="46" t="s">
        <v>1684</v>
      </c>
      <c r="C312" s="46" t="s">
        <v>1685</v>
      </c>
      <c r="D312" s="46" t="s">
        <v>18</v>
      </c>
      <c r="E312" s="46" t="s">
        <v>15</v>
      </c>
      <c r="F312" s="48">
        <v>112.0</v>
      </c>
    </row>
    <row r="313">
      <c r="A313" s="46" t="s">
        <v>134</v>
      </c>
      <c r="B313" s="46" t="s">
        <v>1692</v>
      </c>
      <c r="C313" s="46" t="s">
        <v>1685</v>
      </c>
      <c r="D313" s="46" t="s">
        <v>18</v>
      </c>
      <c r="E313" s="46" t="s">
        <v>14</v>
      </c>
      <c r="F313" s="48">
        <v>113.7</v>
      </c>
    </row>
    <row r="314">
      <c r="A314" s="46" t="s">
        <v>134</v>
      </c>
      <c r="B314" s="46" t="s">
        <v>1702</v>
      </c>
      <c r="C314" s="46" t="s">
        <v>1703</v>
      </c>
      <c r="D314" s="46" t="s">
        <v>18</v>
      </c>
      <c r="E314" s="46" t="s">
        <v>14</v>
      </c>
      <c r="F314" s="48">
        <v>117.6</v>
      </c>
    </row>
    <row r="315">
      <c r="A315" s="46" t="s">
        <v>129</v>
      </c>
      <c r="B315" s="46" t="s">
        <v>1706</v>
      </c>
      <c r="C315" s="46" t="s">
        <v>1707</v>
      </c>
      <c r="D315" s="46" t="s">
        <v>17</v>
      </c>
      <c r="E315" s="46" t="s">
        <v>15</v>
      </c>
      <c r="F315" s="48">
        <v>125.4</v>
      </c>
    </row>
    <row r="316">
      <c r="A316" s="46" t="s">
        <v>779</v>
      </c>
      <c r="B316" s="46" t="s">
        <v>1716</v>
      </c>
      <c r="C316" s="46" t="s">
        <v>1717</v>
      </c>
      <c r="D316" s="46" t="s">
        <v>17</v>
      </c>
      <c r="E316" s="46" t="s">
        <v>15</v>
      </c>
      <c r="F316" s="48">
        <v>115.8</v>
      </c>
    </row>
    <row r="317">
      <c r="A317" s="46" t="s">
        <v>779</v>
      </c>
      <c r="B317" s="46" t="s">
        <v>1719</v>
      </c>
      <c r="C317" s="46" t="s">
        <v>1711</v>
      </c>
      <c r="D317" s="46" t="s">
        <v>17</v>
      </c>
      <c r="E317" s="46" t="s">
        <v>14</v>
      </c>
      <c r="F317" s="48">
        <v>109.5</v>
      </c>
    </row>
    <row r="318">
      <c r="A318" s="46" t="s">
        <v>779</v>
      </c>
      <c r="B318" s="46" t="s">
        <v>1724</v>
      </c>
      <c r="C318" s="46" t="s">
        <v>1725</v>
      </c>
      <c r="D318" s="46" t="s">
        <v>17</v>
      </c>
      <c r="E318" s="46" t="s">
        <v>14</v>
      </c>
      <c r="F318" s="48">
        <v>113.9</v>
      </c>
    </row>
    <row r="319">
      <c r="A319" s="46" t="s">
        <v>779</v>
      </c>
      <c r="B319" s="46" t="s">
        <v>1597</v>
      </c>
      <c r="C319" s="46" t="s">
        <v>1725</v>
      </c>
      <c r="D319" s="46" t="s">
        <v>17</v>
      </c>
      <c r="E319" s="46" t="s">
        <v>15</v>
      </c>
      <c r="F319" s="48">
        <v>126.0</v>
      </c>
    </row>
    <row r="320">
      <c r="A320" s="46" t="s">
        <v>284</v>
      </c>
      <c r="B320" s="46" t="s">
        <v>456</v>
      </c>
      <c r="C320" s="46" t="s">
        <v>1731</v>
      </c>
      <c r="D320" s="46" t="s">
        <v>18</v>
      </c>
      <c r="E320" s="46" t="s">
        <v>15</v>
      </c>
      <c r="F320" s="48">
        <v>110.3</v>
      </c>
    </row>
    <row r="321">
      <c r="A321" s="46" t="s">
        <v>284</v>
      </c>
      <c r="B321" s="46" t="s">
        <v>1733</v>
      </c>
      <c r="C321" s="46" t="s">
        <v>284</v>
      </c>
      <c r="D321" s="46" t="s">
        <v>18</v>
      </c>
      <c r="E321" s="46" t="s">
        <v>15</v>
      </c>
      <c r="F321" s="48">
        <v>121.6</v>
      </c>
    </row>
    <row r="322">
      <c r="A322" s="46" t="s">
        <v>322</v>
      </c>
      <c r="B322" s="46" t="s">
        <v>1742</v>
      </c>
      <c r="C322" s="46" t="s">
        <v>322</v>
      </c>
      <c r="D322" s="46" t="s">
        <v>17</v>
      </c>
      <c r="E322" s="46" t="s">
        <v>13</v>
      </c>
      <c r="F322" s="48">
        <v>105.3</v>
      </c>
    </row>
    <row r="323">
      <c r="A323" s="46" t="s">
        <v>930</v>
      </c>
      <c r="B323" s="46" t="s">
        <v>1747</v>
      </c>
      <c r="C323" s="46" t="s">
        <v>1748</v>
      </c>
      <c r="D323" s="46" t="s">
        <v>18</v>
      </c>
      <c r="E323" s="46" t="s">
        <v>14</v>
      </c>
      <c r="F323" s="48">
        <v>107.4</v>
      </c>
    </row>
    <row r="324">
      <c r="A324" s="46" t="s">
        <v>333</v>
      </c>
      <c r="B324" s="46" t="s">
        <v>1768</v>
      </c>
      <c r="C324" s="46" t="s">
        <v>1769</v>
      </c>
      <c r="D324" s="46" t="s">
        <v>18</v>
      </c>
      <c r="E324" s="46" t="s">
        <v>14</v>
      </c>
      <c r="F324" s="48">
        <v>104.0</v>
      </c>
    </row>
    <row r="325">
      <c r="A325" s="46" t="s">
        <v>333</v>
      </c>
      <c r="B325" s="46" t="s">
        <v>350</v>
      </c>
      <c r="C325" s="46" t="s">
        <v>1766</v>
      </c>
      <c r="D325" s="46" t="s">
        <v>17</v>
      </c>
      <c r="E325" s="46" t="s">
        <v>14</v>
      </c>
      <c r="F325" s="48">
        <v>112.1</v>
      </c>
    </row>
    <row r="326">
      <c r="A326" s="46" t="s">
        <v>333</v>
      </c>
      <c r="B326" s="46" t="s">
        <v>1776</v>
      </c>
      <c r="C326" s="46" t="s">
        <v>1777</v>
      </c>
      <c r="D326" s="46" t="s">
        <v>17</v>
      </c>
      <c r="E326" s="46" t="s">
        <v>13</v>
      </c>
      <c r="F326" s="48">
        <v>105.3</v>
      </c>
    </row>
    <row r="327">
      <c r="A327" s="46" t="s">
        <v>393</v>
      </c>
      <c r="B327" s="46" t="s">
        <v>1780</v>
      </c>
      <c r="C327" s="46" t="s">
        <v>1781</v>
      </c>
      <c r="D327" s="46" t="s">
        <v>18</v>
      </c>
      <c r="E327" s="46" t="s">
        <v>15</v>
      </c>
      <c r="F327" s="48">
        <v>116.1</v>
      </c>
    </row>
    <row r="328">
      <c r="A328" s="46" t="s">
        <v>1579</v>
      </c>
      <c r="B328" s="46" t="s">
        <v>1789</v>
      </c>
      <c r="C328" s="46" t="s">
        <v>1787</v>
      </c>
      <c r="D328" s="46" t="s">
        <v>18</v>
      </c>
      <c r="E328" s="46" t="s">
        <v>14</v>
      </c>
      <c r="F328" s="48">
        <v>117.5</v>
      </c>
    </row>
    <row r="329">
      <c r="A329" s="46" t="s">
        <v>1579</v>
      </c>
      <c r="B329" s="46" t="s">
        <v>1791</v>
      </c>
      <c r="C329" s="46" t="s">
        <v>1792</v>
      </c>
      <c r="D329" s="46" t="s">
        <v>17</v>
      </c>
      <c r="E329" s="46" t="s">
        <v>15</v>
      </c>
      <c r="F329" s="48">
        <v>143.0</v>
      </c>
    </row>
    <row r="330">
      <c r="A330" s="46" t="s">
        <v>1579</v>
      </c>
      <c r="B330" s="46" t="s">
        <v>1794</v>
      </c>
      <c r="C330" s="46" t="s">
        <v>1795</v>
      </c>
      <c r="D330" s="46" t="s">
        <v>17</v>
      </c>
      <c r="E330" s="46" t="s">
        <v>14</v>
      </c>
      <c r="F330" s="48">
        <v>130.4</v>
      </c>
    </row>
    <row r="331">
      <c r="A331" s="46" t="s">
        <v>1579</v>
      </c>
      <c r="B331" s="46" t="s">
        <v>1797</v>
      </c>
      <c r="C331" s="46" t="s">
        <v>1798</v>
      </c>
      <c r="D331" s="46" t="s">
        <v>18</v>
      </c>
      <c r="E331" s="46" t="s">
        <v>14</v>
      </c>
      <c r="F331" s="48">
        <v>107.7</v>
      </c>
    </row>
    <row r="332">
      <c r="A332" s="46" t="s">
        <v>1579</v>
      </c>
      <c r="B332" s="46" t="s">
        <v>1808</v>
      </c>
      <c r="C332" s="46" t="s">
        <v>1809</v>
      </c>
      <c r="D332" s="46" t="s">
        <v>18</v>
      </c>
      <c r="E332" s="46" t="s">
        <v>15</v>
      </c>
      <c r="F332" s="48">
        <v>120.8</v>
      </c>
    </row>
    <row r="333">
      <c r="A333" s="46" t="s">
        <v>1579</v>
      </c>
      <c r="B333" s="46" t="s">
        <v>1814</v>
      </c>
      <c r="C333" s="46" t="s">
        <v>1798</v>
      </c>
      <c r="D333" s="46" t="s">
        <v>17</v>
      </c>
      <c r="E333" s="46" t="s">
        <v>15</v>
      </c>
      <c r="F333" s="48">
        <v>134.1</v>
      </c>
    </row>
    <row r="334">
      <c r="A334" s="46" t="s">
        <v>1579</v>
      </c>
      <c r="B334" s="46" t="s">
        <v>1817</v>
      </c>
      <c r="C334" s="46" t="s">
        <v>1818</v>
      </c>
      <c r="D334" s="46" t="s">
        <v>18</v>
      </c>
      <c r="E334" s="46" t="s">
        <v>15</v>
      </c>
      <c r="F334" s="48">
        <v>122.6</v>
      </c>
    </row>
    <row r="335">
      <c r="A335" s="46" t="s">
        <v>1579</v>
      </c>
      <c r="B335" s="46" t="s">
        <v>1820</v>
      </c>
      <c r="C335" s="46" t="s">
        <v>1821</v>
      </c>
      <c r="D335" s="46" t="s">
        <v>18</v>
      </c>
      <c r="E335" s="46" t="s">
        <v>15</v>
      </c>
      <c r="F335" s="48">
        <v>132.8</v>
      </c>
    </row>
    <row r="336">
      <c r="A336" s="46" t="s">
        <v>1579</v>
      </c>
      <c r="B336" s="46" t="s">
        <v>1823</v>
      </c>
      <c r="C336" s="46" t="s">
        <v>1824</v>
      </c>
      <c r="D336" s="46" t="s">
        <v>18</v>
      </c>
      <c r="E336" s="46" t="s">
        <v>15</v>
      </c>
      <c r="F336" s="48">
        <v>116.2</v>
      </c>
    </row>
    <row r="337">
      <c r="A337" s="46" t="s">
        <v>1579</v>
      </c>
      <c r="B337" s="46" t="s">
        <v>1826</v>
      </c>
      <c r="C337" s="46" t="s">
        <v>1827</v>
      </c>
      <c r="D337" s="46" t="s">
        <v>18</v>
      </c>
      <c r="E337" s="46" t="s">
        <v>15</v>
      </c>
      <c r="F337" s="48">
        <v>142.3</v>
      </c>
    </row>
    <row r="338">
      <c r="A338" s="46" t="s">
        <v>1579</v>
      </c>
      <c r="B338" s="46" t="s">
        <v>1829</v>
      </c>
      <c r="C338" s="46" t="s">
        <v>1827</v>
      </c>
      <c r="D338" s="46" t="s">
        <v>18</v>
      </c>
      <c r="E338" s="46" t="s">
        <v>15</v>
      </c>
      <c r="F338" s="48">
        <v>141.5</v>
      </c>
    </row>
    <row r="339">
      <c r="A339" s="46" t="s">
        <v>1579</v>
      </c>
      <c r="B339" s="46" t="s">
        <v>1831</v>
      </c>
      <c r="C339" s="46" t="s">
        <v>1832</v>
      </c>
      <c r="D339" s="46" t="s">
        <v>17</v>
      </c>
      <c r="E339" s="46" t="s">
        <v>15</v>
      </c>
      <c r="F339" s="48">
        <v>148.4</v>
      </c>
    </row>
    <row r="340">
      <c r="A340" s="46" t="s">
        <v>1579</v>
      </c>
      <c r="B340" s="46" t="s">
        <v>1834</v>
      </c>
      <c r="C340" s="46" t="s">
        <v>1821</v>
      </c>
      <c r="D340" s="46" t="s">
        <v>17</v>
      </c>
      <c r="E340" s="46" t="s">
        <v>15</v>
      </c>
      <c r="F340" s="48">
        <v>151.3</v>
      </c>
    </row>
    <row r="341">
      <c r="A341" s="46" t="s">
        <v>1579</v>
      </c>
      <c r="B341" s="46" t="s">
        <v>789</v>
      </c>
      <c r="C341" s="46" t="s">
        <v>1821</v>
      </c>
      <c r="D341" s="46" t="s">
        <v>17</v>
      </c>
      <c r="E341" s="46" t="s">
        <v>15</v>
      </c>
      <c r="F341" s="48">
        <v>152.1</v>
      </c>
    </row>
    <row r="342">
      <c r="A342" s="46" t="s">
        <v>1579</v>
      </c>
      <c r="B342" s="46" t="s">
        <v>1837</v>
      </c>
      <c r="C342" s="46" t="s">
        <v>1821</v>
      </c>
      <c r="D342" s="46" t="s">
        <v>17</v>
      </c>
      <c r="E342" s="46" t="s">
        <v>14</v>
      </c>
      <c r="F342" s="48">
        <v>140.1</v>
      </c>
    </row>
    <row r="343">
      <c r="A343" s="46" t="s">
        <v>1579</v>
      </c>
      <c r="B343" s="46" t="s">
        <v>210</v>
      </c>
      <c r="C343" s="46" t="s">
        <v>1839</v>
      </c>
      <c r="D343" s="46" t="s">
        <v>17</v>
      </c>
      <c r="E343" s="46" t="s">
        <v>15</v>
      </c>
      <c r="F343" s="48">
        <v>138.3</v>
      </c>
    </row>
    <row r="344">
      <c r="A344" s="46" t="s">
        <v>1579</v>
      </c>
      <c r="B344" s="46" t="s">
        <v>1841</v>
      </c>
      <c r="C344" s="46" t="s">
        <v>1842</v>
      </c>
      <c r="D344" s="46" t="s">
        <v>17</v>
      </c>
      <c r="E344" s="46" t="s">
        <v>13</v>
      </c>
      <c r="F344" s="48">
        <v>120.1</v>
      </c>
    </row>
    <row r="345">
      <c r="A345" s="46" t="s">
        <v>1579</v>
      </c>
      <c r="B345" s="46" t="s">
        <v>1847</v>
      </c>
      <c r="C345" s="46" t="s">
        <v>1848</v>
      </c>
      <c r="D345" s="46" t="s">
        <v>17</v>
      </c>
      <c r="E345" s="46" t="s">
        <v>15</v>
      </c>
      <c r="F345" s="48">
        <v>145.4</v>
      </c>
    </row>
    <row r="346">
      <c r="A346" s="46" t="s">
        <v>1579</v>
      </c>
      <c r="B346" s="46" t="s">
        <v>1850</v>
      </c>
      <c r="C346" s="46" t="s">
        <v>1851</v>
      </c>
      <c r="D346" s="46" t="s">
        <v>18</v>
      </c>
      <c r="E346" s="46" t="s">
        <v>15</v>
      </c>
      <c r="F346" s="48">
        <v>138.5</v>
      </c>
    </row>
    <row r="347">
      <c r="A347" s="46" t="s">
        <v>1545</v>
      </c>
      <c r="B347" s="46" t="s">
        <v>1863</v>
      </c>
      <c r="C347" s="46" t="s">
        <v>1855</v>
      </c>
      <c r="D347" s="46" t="s">
        <v>17</v>
      </c>
      <c r="E347" s="46" t="s">
        <v>13</v>
      </c>
      <c r="F347" s="48">
        <v>108.2</v>
      </c>
    </row>
    <row r="348">
      <c r="A348" s="46" t="s">
        <v>1545</v>
      </c>
      <c r="B348" s="46" t="s">
        <v>1868</v>
      </c>
      <c r="C348" s="46" t="s">
        <v>1855</v>
      </c>
      <c r="D348" s="46" t="s">
        <v>17</v>
      </c>
      <c r="E348" s="46" t="s">
        <v>15</v>
      </c>
      <c r="F348" s="48">
        <v>129.9</v>
      </c>
    </row>
    <row r="349">
      <c r="A349" s="46" t="s">
        <v>1545</v>
      </c>
      <c r="B349" s="46" t="s">
        <v>1870</v>
      </c>
      <c r="C349" s="46" t="s">
        <v>1871</v>
      </c>
      <c r="D349" s="46" t="s">
        <v>17</v>
      </c>
      <c r="E349" s="46" t="s">
        <v>15</v>
      </c>
      <c r="F349" s="48">
        <v>135.9</v>
      </c>
    </row>
    <row r="350">
      <c r="A350" s="46" t="s">
        <v>1545</v>
      </c>
      <c r="B350" s="46" t="s">
        <v>1882</v>
      </c>
      <c r="C350" s="46" t="s">
        <v>1877</v>
      </c>
      <c r="D350" s="46" t="s">
        <v>17</v>
      </c>
      <c r="E350" s="46" t="s">
        <v>15</v>
      </c>
      <c r="F350" s="48">
        <v>140.1</v>
      </c>
    </row>
    <row r="351">
      <c r="A351" s="46" t="s">
        <v>1545</v>
      </c>
      <c r="B351" s="46" t="s">
        <v>1884</v>
      </c>
      <c r="C351" s="46" t="s">
        <v>1855</v>
      </c>
      <c r="D351" s="46" t="s">
        <v>17</v>
      </c>
      <c r="E351" s="46" t="s">
        <v>15</v>
      </c>
      <c r="F351" s="48">
        <v>114.0</v>
      </c>
    </row>
    <row r="352">
      <c r="A352" s="46" t="s">
        <v>1545</v>
      </c>
      <c r="B352" s="46" t="s">
        <v>1890</v>
      </c>
      <c r="C352" s="46" t="s">
        <v>1891</v>
      </c>
      <c r="D352" s="46" t="s">
        <v>17</v>
      </c>
      <c r="E352" s="46" t="s">
        <v>15</v>
      </c>
      <c r="F352" s="48">
        <v>113.6</v>
      </c>
    </row>
    <row r="353">
      <c r="A353" s="46" t="s">
        <v>1545</v>
      </c>
      <c r="B353" s="46" t="s">
        <v>1893</v>
      </c>
      <c r="C353" s="46" t="s">
        <v>1894</v>
      </c>
      <c r="D353" s="46" t="s">
        <v>17</v>
      </c>
      <c r="E353" s="46" t="s">
        <v>15</v>
      </c>
      <c r="F353" s="48">
        <v>106.2</v>
      </c>
    </row>
    <row r="354">
      <c r="A354" s="46" t="s">
        <v>1545</v>
      </c>
      <c r="B354" s="46" t="s">
        <v>1903</v>
      </c>
      <c r="C354" s="46" t="s">
        <v>1904</v>
      </c>
      <c r="D354" s="46" t="s">
        <v>18</v>
      </c>
      <c r="E354" s="46" t="s">
        <v>14</v>
      </c>
      <c r="F354" s="48">
        <v>109.5</v>
      </c>
    </row>
    <row r="355">
      <c r="A355" s="46" t="s">
        <v>1545</v>
      </c>
      <c r="B355" s="46" t="s">
        <v>1909</v>
      </c>
      <c r="C355" s="46" t="s">
        <v>1910</v>
      </c>
      <c r="D355" s="46" t="s">
        <v>17</v>
      </c>
      <c r="E355" s="46" t="s">
        <v>13</v>
      </c>
      <c r="F355" s="48">
        <v>106.8</v>
      </c>
    </row>
    <row r="356">
      <c r="A356" s="46" t="s">
        <v>1545</v>
      </c>
      <c r="B356" s="46" t="s">
        <v>1915</v>
      </c>
      <c r="C356" s="46" t="s">
        <v>1904</v>
      </c>
      <c r="D356" s="46" t="s">
        <v>17</v>
      </c>
      <c r="E356" s="46" t="s">
        <v>15</v>
      </c>
      <c r="F356" s="48">
        <v>149.2</v>
      </c>
    </row>
    <row r="357">
      <c r="A357" s="46" t="s">
        <v>1545</v>
      </c>
      <c r="B357" s="46" t="s">
        <v>1917</v>
      </c>
      <c r="C357" s="46" t="s">
        <v>1918</v>
      </c>
      <c r="D357" s="46" t="s">
        <v>17</v>
      </c>
      <c r="E357" s="46" t="s">
        <v>15</v>
      </c>
      <c r="F357" s="48">
        <v>108.8</v>
      </c>
    </row>
    <row r="358">
      <c r="A358" s="46" t="s">
        <v>1545</v>
      </c>
      <c r="B358" s="46" t="s">
        <v>1920</v>
      </c>
      <c r="C358" s="46" t="s">
        <v>1921</v>
      </c>
      <c r="D358" s="46" t="s">
        <v>18</v>
      </c>
      <c r="E358" s="46" t="s">
        <v>14</v>
      </c>
      <c r="F358" s="48">
        <v>108.9</v>
      </c>
    </row>
    <row r="359">
      <c r="A359" s="46" t="s">
        <v>1545</v>
      </c>
      <c r="B359" s="46" t="s">
        <v>1923</v>
      </c>
      <c r="C359" s="46" t="s">
        <v>1924</v>
      </c>
      <c r="D359" s="46" t="s">
        <v>18</v>
      </c>
      <c r="E359" s="46" t="s">
        <v>15</v>
      </c>
      <c r="F359" s="48">
        <v>109.7</v>
      </c>
    </row>
    <row r="360">
      <c r="A360" s="46" t="s">
        <v>1579</v>
      </c>
      <c r="B360" s="46" t="s">
        <v>1938</v>
      </c>
      <c r="C360" s="46" t="s">
        <v>1939</v>
      </c>
      <c r="D360" s="46" t="s">
        <v>17</v>
      </c>
      <c r="E360" s="46" t="s">
        <v>15</v>
      </c>
      <c r="F360" s="48">
        <v>141.0</v>
      </c>
    </row>
    <row r="361">
      <c r="A361" s="46" t="s">
        <v>1579</v>
      </c>
      <c r="B361" s="46" t="s">
        <v>1941</v>
      </c>
      <c r="C361" s="46" t="s">
        <v>1942</v>
      </c>
      <c r="D361" s="46" t="s">
        <v>17</v>
      </c>
      <c r="E361" s="46" t="s">
        <v>14</v>
      </c>
      <c r="F361" s="48">
        <v>138.5</v>
      </c>
    </row>
    <row r="362">
      <c r="A362" s="46" t="s">
        <v>1579</v>
      </c>
      <c r="B362" s="46" t="s">
        <v>1948</v>
      </c>
      <c r="C362" s="46" t="s">
        <v>1942</v>
      </c>
      <c r="D362" s="46" t="s">
        <v>17</v>
      </c>
      <c r="E362" s="46" t="s">
        <v>14</v>
      </c>
      <c r="F362" s="48">
        <v>140.1</v>
      </c>
    </row>
    <row r="363">
      <c r="A363" s="46" t="s">
        <v>1579</v>
      </c>
      <c r="B363" s="46" t="s">
        <v>1950</v>
      </c>
      <c r="C363" s="46" t="s">
        <v>1951</v>
      </c>
      <c r="D363" s="46" t="s">
        <v>18</v>
      </c>
      <c r="E363" s="46" t="s">
        <v>15</v>
      </c>
      <c r="F363" s="48">
        <v>110.7</v>
      </c>
    </row>
    <row r="364">
      <c r="A364" s="46" t="s">
        <v>1579</v>
      </c>
      <c r="B364" s="46" t="s">
        <v>1953</v>
      </c>
      <c r="C364" s="46" t="s">
        <v>1954</v>
      </c>
      <c r="D364" s="46" t="s">
        <v>18</v>
      </c>
      <c r="E364" s="46" t="s">
        <v>14</v>
      </c>
      <c r="F364" s="48">
        <v>123.0</v>
      </c>
    </row>
    <row r="365">
      <c r="A365" s="46" t="s">
        <v>1579</v>
      </c>
      <c r="B365" s="46" t="s">
        <v>1959</v>
      </c>
      <c r="C365" s="46" t="s">
        <v>1960</v>
      </c>
      <c r="D365" s="46" t="s">
        <v>18</v>
      </c>
      <c r="E365" s="46" t="s">
        <v>15</v>
      </c>
      <c r="F365" s="48">
        <v>106.9</v>
      </c>
    </row>
    <row r="366">
      <c r="A366" s="46" t="s">
        <v>1579</v>
      </c>
      <c r="B366" s="46" t="s">
        <v>1962</v>
      </c>
      <c r="C366" s="46" t="s">
        <v>1963</v>
      </c>
      <c r="D366" s="46" t="s">
        <v>17</v>
      </c>
      <c r="E366" s="46" t="s">
        <v>15</v>
      </c>
      <c r="F366" s="48">
        <v>125.3</v>
      </c>
    </row>
    <row r="367">
      <c r="A367" s="46" t="s">
        <v>1964</v>
      </c>
      <c r="B367" s="46" t="s">
        <v>1982</v>
      </c>
      <c r="C367" s="46" t="s">
        <v>1984</v>
      </c>
      <c r="D367" s="46" t="s">
        <v>18</v>
      </c>
      <c r="E367" s="46" t="s">
        <v>15</v>
      </c>
      <c r="F367" s="48">
        <v>117.4</v>
      </c>
    </row>
    <row r="368">
      <c r="A368" s="46" t="s">
        <v>1964</v>
      </c>
      <c r="B368" s="46" t="s">
        <v>1986</v>
      </c>
      <c r="C368" s="46" t="s">
        <v>1988</v>
      </c>
      <c r="D368" s="46" t="s">
        <v>18</v>
      </c>
      <c r="E368" s="46" t="s">
        <v>14</v>
      </c>
      <c r="F368" s="48">
        <v>104.8</v>
      </c>
    </row>
    <row r="369">
      <c r="A369" s="46" t="s">
        <v>1989</v>
      </c>
      <c r="B369" s="46" t="s">
        <v>2003</v>
      </c>
      <c r="C369" s="46" t="s">
        <v>2004</v>
      </c>
      <c r="D369" s="46" t="s">
        <v>18</v>
      </c>
      <c r="E369" s="46" t="s">
        <v>15</v>
      </c>
      <c r="F369" s="48">
        <v>109.7</v>
      </c>
    </row>
    <row r="370">
      <c r="A370" s="46" t="s">
        <v>2035</v>
      </c>
      <c r="B370" s="46" t="s">
        <v>2053</v>
      </c>
      <c r="C370" s="46" t="s">
        <v>2041</v>
      </c>
      <c r="D370" s="46" t="s">
        <v>17</v>
      </c>
      <c r="E370" s="46" t="s">
        <v>15</v>
      </c>
      <c r="F370" s="48">
        <v>130.0</v>
      </c>
    </row>
    <row r="371">
      <c r="A371" s="46" t="s">
        <v>2054</v>
      </c>
      <c r="B371" s="46" t="s">
        <v>2076</v>
      </c>
      <c r="C371" s="46" t="s">
        <v>2077</v>
      </c>
      <c r="D371" s="46" t="s">
        <v>18</v>
      </c>
      <c r="E371" s="46" t="s">
        <v>15</v>
      </c>
      <c r="F371" s="48">
        <v>105.8</v>
      </c>
    </row>
    <row r="372">
      <c r="A372" s="46" t="s">
        <v>71</v>
      </c>
      <c r="B372" s="46" t="s">
        <v>2089</v>
      </c>
      <c r="C372" s="46" t="s">
        <v>84</v>
      </c>
      <c r="D372" s="46" t="s">
        <v>18</v>
      </c>
      <c r="E372" s="46" t="s">
        <v>14</v>
      </c>
      <c r="F372" s="48">
        <v>112.0</v>
      </c>
    </row>
    <row r="373">
      <c r="A373" s="46" t="s">
        <v>71</v>
      </c>
      <c r="B373" s="46" t="s">
        <v>2096</v>
      </c>
      <c r="C373" s="46" t="s">
        <v>2097</v>
      </c>
      <c r="D373" s="46" t="s">
        <v>18</v>
      </c>
      <c r="E373" s="46" t="s">
        <v>15</v>
      </c>
      <c r="F373" s="48">
        <v>125.6</v>
      </c>
    </row>
    <row r="374">
      <c r="A374" s="46" t="s">
        <v>71</v>
      </c>
      <c r="B374" s="46" t="s">
        <v>555</v>
      </c>
      <c r="C374" s="46" t="s">
        <v>2099</v>
      </c>
      <c r="D374" s="46" t="s">
        <v>17</v>
      </c>
      <c r="E374" s="46" t="s">
        <v>15</v>
      </c>
      <c r="F374" s="48">
        <v>117.4</v>
      </c>
    </row>
    <row r="375">
      <c r="A375" s="46" t="s">
        <v>88</v>
      </c>
      <c r="B375" s="46" t="s">
        <v>1531</v>
      </c>
      <c r="C375" s="46" t="s">
        <v>102</v>
      </c>
      <c r="D375" s="46" t="s">
        <v>17</v>
      </c>
      <c r="E375" s="46" t="s">
        <v>15</v>
      </c>
      <c r="F375" s="48">
        <v>110.9</v>
      </c>
    </row>
    <row r="376">
      <c r="A376" s="46" t="s">
        <v>116</v>
      </c>
      <c r="B376" s="46" t="s">
        <v>2111</v>
      </c>
      <c r="C376" s="46" t="s">
        <v>120</v>
      </c>
      <c r="D376" s="46" t="s">
        <v>18</v>
      </c>
      <c r="E376" s="46" t="s">
        <v>15</v>
      </c>
      <c r="F376" s="48">
        <v>113.9</v>
      </c>
    </row>
    <row r="377">
      <c r="A377" s="46" t="s">
        <v>129</v>
      </c>
      <c r="B377" s="46" t="s">
        <v>2126</v>
      </c>
      <c r="C377" s="46" t="s">
        <v>2127</v>
      </c>
      <c r="D377" s="46" t="s">
        <v>18</v>
      </c>
      <c r="E377" s="46" t="s">
        <v>14</v>
      </c>
      <c r="F377" s="48">
        <v>118.0</v>
      </c>
    </row>
    <row r="378">
      <c r="A378" s="46" t="s">
        <v>129</v>
      </c>
      <c r="B378" s="46" t="s">
        <v>2129</v>
      </c>
      <c r="C378" s="46" t="s">
        <v>2130</v>
      </c>
      <c r="D378" s="46" t="s">
        <v>18</v>
      </c>
      <c r="E378" s="46" t="s">
        <v>15</v>
      </c>
      <c r="F378" s="48">
        <v>114.6</v>
      </c>
    </row>
    <row r="379">
      <c r="A379" s="46" t="s">
        <v>134</v>
      </c>
      <c r="B379" s="46" t="s">
        <v>2141</v>
      </c>
      <c r="C379" s="46" t="s">
        <v>134</v>
      </c>
      <c r="D379" s="46" t="s">
        <v>18</v>
      </c>
      <c r="E379" s="46" t="s">
        <v>15</v>
      </c>
      <c r="F379" s="48">
        <v>124.3</v>
      </c>
    </row>
    <row r="380">
      <c r="A380" s="46" t="s">
        <v>134</v>
      </c>
      <c r="B380" s="46" t="s">
        <v>2143</v>
      </c>
      <c r="C380" s="46" t="s">
        <v>134</v>
      </c>
      <c r="D380" s="46" t="s">
        <v>18</v>
      </c>
      <c r="E380" s="46" t="s">
        <v>14</v>
      </c>
      <c r="F380" s="48">
        <v>104.8</v>
      </c>
    </row>
    <row r="381">
      <c r="A381" s="46" t="s">
        <v>134</v>
      </c>
      <c r="B381" s="46" t="s">
        <v>2147</v>
      </c>
      <c r="C381" s="46" t="s">
        <v>158</v>
      </c>
      <c r="D381" s="46" t="s">
        <v>17</v>
      </c>
      <c r="E381" s="46" t="s">
        <v>15</v>
      </c>
      <c r="F381" s="48">
        <v>133.3</v>
      </c>
    </row>
    <row r="382">
      <c r="A382" s="46" t="s">
        <v>134</v>
      </c>
      <c r="B382" s="46" t="s">
        <v>2149</v>
      </c>
      <c r="C382" s="46" t="s">
        <v>134</v>
      </c>
      <c r="D382" s="46" t="s">
        <v>17</v>
      </c>
      <c r="E382" s="46" t="s">
        <v>15</v>
      </c>
      <c r="F382" s="48">
        <v>111.0</v>
      </c>
    </row>
    <row r="383">
      <c r="A383" s="46" t="s">
        <v>134</v>
      </c>
      <c r="B383" s="46" t="s">
        <v>2151</v>
      </c>
      <c r="C383" s="46" t="s">
        <v>138</v>
      </c>
      <c r="D383" s="46" t="s">
        <v>18</v>
      </c>
      <c r="E383" s="46" t="s">
        <v>14</v>
      </c>
      <c r="F383" s="48">
        <v>117.8</v>
      </c>
    </row>
    <row r="384">
      <c r="A384" s="46" t="s">
        <v>134</v>
      </c>
      <c r="B384" s="46" t="s">
        <v>2153</v>
      </c>
      <c r="C384" s="46" t="s">
        <v>134</v>
      </c>
      <c r="D384" s="46" t="s">
        <v>17</v>
      </c>
      <c r="E384" s="46" t="s">
        <v>15</v>
      </c>
      <c r="F384" s="48">
        <v>111.9</v>
      </c>
    </row>
    <row r="385">
      <c r="A385" s="46" t="s">
        <v>134</v>
      </c>
      <c r="B385" s="46" t="s">
        <v>2155</v>
      </c>
      <c r="C385" s="46" t="s">
        <v>2156</v>
      </c>
      <c r="D385" s="46" t="s">
        <v>18</v>
      </c>
      <c r="E385" s="46" t="s">
        <v>14</v>
      </c>
      <c r="F385" s="48">
        <v>110.7</v>
      </c>
    </row>
    <row r="386">
      <c r="A386" s="46" t="s">
        <v>134</v>
      </c>
      <c r="B386" s="46" t="s">
        <v>2158</v>
      </c>
      <c r="C386" s="46" t="s">
        <v>134</v>
      </c>
      <c r="D386" s="46" t="s">
        <v>17</v>
      </c>
      <c r="E386" s="46" t="s">
        <v>15</v>
      </c>
      <c r="F386" s="48">
        <v>126.3</v>
      </c>
    </row>
    <row r="387">
      <c r="A387" s="46" t="s">
        <v>161</v>
      </c>
      <c r="B387" s="46" t="s">
        <v>2163</v>
      </c>
      <c r="C387" s="46" t="s">
        <v>2164</v>
      </c>
      <c r="D387" s="46" t="s">
        <v>18</v>
      </c>
      <c r="E387" s="46" t="s">
        <v>14</v>
      </c>
      <c r="F387" s="48">
        <v>107.8</v>
      </c>
    </row>
    <row r="388">
      <c r="A388" s="46" t="s">
        <v>161</v>
      </c>
      <c r="B388" s="46" t="s">
        <v>2172</v>
      </c>
      <c r="C388" s="46" t="s">
        <v>2173</v>
      </c>
      <c r="D388" s="46" t="s">
        <v>17</v>
      </c>
      <c r="E388" s="46" t="s">
        <v>15</v>
      </c>
      <c r="F388" s="48">
        <v>117.7</v>
      </c>
    </row>
    <row r="389">
      <c r="A389" s="46" t="s">
        <v>161</v>
      </c>
      <c r="B389" s="46" t="s">
        <v>2175</v>
      </c>
      <c r="C389" s="46" t="s">
        <v>2170</v>
      </c>
      <c r="D389" s="46" t="s">
        <v>17</v>
      </c>
      <c r="E389" s="46" t="s">
        <v>14</v>
      </c>
      <c r="F389" s="48">
        <v>114.6</v>
      </c>
    </row>
    <row r="390">
      <c r="A390" s="46" t="s">
        <v>161</v>
      </c>
      <c r="B390" s="46" t="s">
        <v>2180</v>
      </c>
      <c r="C390" s="46" t="s">
        <v>2161</v>
      </c>
      <c r="D390" s="46" t="s">
        <v>17</v>
      </c>
      <c r="E390" s="46" t="s">
        <v>15</v>
      </c>
      <c r="F390" s="48">
        <v>110.1</v>
      </c>
    </row>
    <row r="391">
      <c r="A391" s="46" t="s">
        <v>182</v>
      </c>
      <c r="B391" s="46" t="s">
        <v>2197</v>
      </c>
      <c r="C391" s="46" t="s">
        <v>186</v>
      </c>
      <c r="D391" s="46" t="s">
        <v>17</v>
      </c>
      <c r="E391" s="46" t="s">
        <v>15</v>
      </c>
      <c r="F391" s="48">
        <v>109.5</v>
      </c>
    </row>
    <row r="392">
      <c r="A392" s="46" t="s">
        <v>182</v>
      </c>
      <c r="B392" s="46" t="s">
        <v>218</v>
      </c>
      <c r="C392" s="46" t="s">
        <v>206</v>
      </c>
      <c r="D392" s="46" t="s">
        <v>17</v>
      </c>
      <c r="E392" s="46" t="s">
        <v>13</v>
      </c>
      <c r="F392" s="48">
        <v>109.0</v>
      </c>
    </row>
    <row r="393">
      <c r="A393" s="46" t="s">
        <v>182</v>
      </c>
      <c r="B393" s="46" t="s">
        <v>2211</v>
      </c>
      <c r="C393" s="46" t="s">
        <v>206</v>
      </c>
      <c r="D393" s="46" t="s">
        <v>17</v>
      </c>
      <c r="E393" s="46" t="s">
        <v>15</v>
      </c>
      <c r="F393" s="48">
        <v>117.3</v>
      </c>
    </row>
    <row r="394">
      <c r="A394" s="46" t="s">
        <v>129</v>
      </c>
      <c r="B394" s="46" t="s">
        <v>2213</v>
      </c>
      <c r="C394" s="46" t="s">
        <v>242</v>
      </c>
      <c r="D394" s="46" t="s">
        <v>18</v>
      </c>
      <c r="E394" s="46" t="s">
        <v>14</v>
      </c>
      <c r="F394" s="48">
        <v>124.0</v>
      </c>
    </row>
    <row r="395">
      <c r="A395" s="46" t="s">
        <v>129</v>
      </c>
      <c r="B395" s="46" t="s">
        <v>2215</v>
      </c>
      <c r="C395" s="46" t="s">
        <v>242</v>
      </c>
      <c r="D395" s="46" t="s">
        <v>18</v>
      </c>
      <c r="E395" s="46" t="s">
        <v>15</v>
      </c>
      <c r="F395" s="48">
        <v>123.8</v>
      </c>
    </row>
    <row r="396">
      <c r="A396" s="46" t="s">
        <v>129</v>
      </c>
      <c r="B396" s="46" t="s">
        <v>2236</v>
      </c>
      <c r="C396" s="46" t="s">
        <v>250</v>
      </c>
      <c r="D396" s="46" t="s">
        <v>18</v>
      </c>
      <c r="E396" s="46" t="s">
        <v>14</v>
      </c>
      <c r="F396" s="48">
        <v>116.1</v>
      </c>
    </row>
    <row r="397">
      <c r="A397" s="46" t="s">
        <v>129</v>
      </c>
      <c r="B397" s="46" t="s">
        <v>2238</v>
      </c>
      <c r="C397" s="46" t="s">
        <v>2239</v>
      </c>
      <c r="D397" s="46" t="s">
        <v>18</v>
      </c>
      <c r="E397" s="46" t="s">
        <v>15</v>
      </c>
      <c r="F397" s="48">
        <v>114.6</v>
      </c>
    </row>
    <row r="398">
      <c r="A398" s="46" t="s">
        <v>129</v>
      </c>
      <c r="B398" s="46" t="s">
        <v>2241</v>
      </c>
      <c r="C398" s="46" t="s">
        <v>259</v>
      </c>
      <c r="D398" s="46" t="s">
        <v>17</v>
      </c>
      <c r="E398" s="46" t="s">
        <v>15</v>
      </c>
      <c r="F398" s="48">
        <v>127.5</v>
      </c>
    </row>
    <row r="399">
      <c r="A399" s="46" t="s">
        <v>129</v>
      </c>
      <c r="B399" s="46" t="s">
        <v>2243</v>
      </c>
      <c r="C399" s="46" t="s">
        <v>222</v>
      </c>
      <c r="D399" s="46" t="s">
        <v>17</v>
      </c>
      <c r="E399" s="46" t="s">
        <v>15</v>
      </c>
      <c r="F399" s="48">
        <v>108.4</v>
      </c>
    </row>
    <row r="400">
      <c r="A400" s="46" t="s">
        <v>129</v>
      </c>
      <c r="B400" s="46" t="s">
        <v>2247</v>
      </c>
      <c r="C400" s="46" t="s">
        <v>222</v>
      </c>
      <c r="D400" s="46" t="s">
        <v>17</v>
      </c>
      <c r="E400" s="46" t="s">
        <v>15</v>
      </c>
      <c r="F400" s="48">
        <v>128.2</v>
      </c>
    </row>
    <row r="401">
      <c r="A401" s="46" t="s">
        <v>129</v>
      </c>
      <c r="B401" s="46" t="s">
        <v>2249</v>
      </c>
      <c r="C401" s="46" t="s">
        <v>2250</v>
      </c>
      <c r="D401" s="46" t="s">
        <v>17</v>
      </c>
      <c r="E401" s="46" t="s">
        <v>15</v>
      </c>
      <c r="F401" s="48">
        <v>130.6</v>
      </c>
    </row>
    <row r="402">
      <c r="A402" s="46" t="s">
        <v>129</v>
      </c>
      <c r="B402" s="46" t="s">
        <v>2263</v>
      </c>
      <c r="C402" s="46" t="s">
        <v>2264</v>
      </c>
      <c r="D402" s="46" t="s">
        <v>18</v>
      </c>
      <c r="E402" s="46" t="s">
        <v>15</v>
      </c>
      <c r="F402" s="48">
        <v>108.9</v>
      </c>
    </row>
    <row r="403">
      <c r="A403" s="46" t="s">
        <v>129</v>
      </c>
      <c r="B403" s="46" t="s">
        <v>2280</v>
      </c>
      <c r="C403" s="46" t="s">
        <v>247</v>
      </c>
      <c r="D403" s="46" t="s">
        <v>17</v>
      </c>
      <c r="E403" s="46" t="s">
        <v>15</v>
      </c>
      <c r="F403" s="48">
        <v>111.1</v>
      </c>
    </row>
    <row r="404">
      <c r="A404" s="46" t="s">
        <v>129</v>
      </c>
      <c r="B404" s="46" t="s">
        <v>2282</v>
      </c>
      <c r="C404" s="46" t="s">
        <v>2283</v>
      </c>
      <c r="D404" s="46" t="s">
        <v>18</v>
      </c>
      <c r="E404" s="46" t="s">
        <v>15</v>
      </c>
      <c r="F404" s="48">
        <v>115.9</v>
      </c>
    </row>
    <row r="405">
      <c r="A405" s="46" t="s">
        <v>129</v>
      </c>
      <c r="B405" s="46" t="s">
        <v>2285</v>
      </c>
      <c r="C405" s="46" t="s">
        <v>2286</v>
      </c>
      <c r="D405" s="46" t="s">
        <v>18</v>
      </c>
      <c r="E405" s="46" t="s">
        <v>15</v>
      </c>
      <c r="F405" s="48">
        <v>127.3</v>
      </c>
    </row>
    <row r="406">
      <c r="A406" s="46" t="s">
        <v>269</v>
      </c>
      <c r="B406" s="46" t="s">
        <v>2288</v>
      </c>
      <c r="C406" s="46" t="s">
        <v>2289</v>
      </c>
      <c r="D406" s="46" t="s">
        <v>17</v>
      </c>
      <c r="E406" s="46" t="s">
        <v>15</v>
      </c>
      <c r="F406" s="48">
        <v>108.8</v>
      </c>
    </row>
    <row r="407">
      <c r="A407" s="46" t="s">
        <v>269</v>
      </c>
      <c r="B407" s="46" t="s">
        <v>2291</v>
      </c>
      <c r="C407" s="46" t="s">
        <v>273</v>
      </c>
      <c r="D407" s="46" t="s">
        <v>17</v>
      </c>
      <c r="E407" s="46" t="s">
        <v>15</v>
      </c>
      <c r="F407" s="48">
        <v>106.5</v>
      </c>
    </row>
    <row r="408">
      <c r="A408" s="46" t="s">
        <v>269</v>
      </c>
      <c r="B408" s="46" t="s">
        <v>1251</v>
      </c>
      <c r="C408" s="46" t="s">
        <v>283</v>
      </c>
      <c r="D408" s="46" t="s">
        <v>18</v>
      </c>
      <c r="E408" s="46" t="s">
        <v>15</v>
      </c>
      <c r="F408" s="48">
        <v>108.8</v>
      </c>
    </row>
    <row r="409">
      <c r="A409" s="46" t="s">
        <v>269</v>
      </c>
      <c r="B409" s="46" t="s">
        <v>2303</v>
      </c>
      <c r="C409" s="46" t="s">
        <v>273</v>
      </c>
      <c r="D409" s="46" t="s">
        <v>18</v>
      </c>
      <c r="E409" s="46" t="s">
        <v>14</v>
      </c>
      <c r="F409" s="48">
        <v>105.1</v>
      </c>
    </row>
    <row r="410">
      <c r="A410" s="46" t="s">
        <v>116</v>
      </c>
      <c r="B410" s="46" t="s">
        <v>2309</v>
      </c>
      <c r="C410" s="46" t="s">
        <v>2310</v>
      </c>
      <c r="D410" s="46" t="s">
        <v>18</v>
      </c>
      <c r="E410" s="46" t="s">
        <v>14</v>
      </c>
      <c r="F410" s="48">
        <v>111.1</v>
      </c>
    </row>
    <row r="411">
      <c r="A411" s="46" t="s">
        <v>116</v>
      </c>
      <c r="B411" s="46" t="s">
        <v>2312</v>
      </c>
      <c r="C411" s="46" t="s">
        <v>2307</v>
      </c>
      <c r="D411" s="46" t="s">
        <v>18</v>
      </c>
      <c r="E411" s="46" t="s">
        <v>15</v>
      </c>
      <c r="F411" s="48">
        <v>126.8</v>
      </c>
    </row>
    <row r="412">
      <c r="A412" s="46" t="s">
        <v>284</v>
      </c>
      <c r="B412" s="46" t="s">
        <v>2314</v>
      </c>
      <c r="C412" s="46" t="s">
        <v>288</v>
      </c>
      <c r="D412" s="46" t="s">
        <v>18</v>
      </c>
      <c r="E412" s="46" t="s">
        <v>15</v>
      </c>
      <c r="F412" s="48">
        <v>116.7</v>
      </c>
    </row>
    <row r="413">
      <c r="A413" s="46" t="s">
        <v>284</v>
      </c>
      <c r="B413" s="46" t="s">
        <v>2316</v>
      </c>
      <c r="C413" s="46" t="s">
        <v>2317</v>
      </c>
      <c r="D413" s="46" t="s">
        <v>18</v>
      </c>
      <c r="E413" s="46" t="s">
        <v>14</v>
      </c>
      <c r="F413" s="48">
        <v>110.5</v>
      </c>
    </row>
    <row r="414">
      <c r="A414" s="46" t="s">
        <v>284</v>
      </c>
      <c r="B414" s="46" t="s">
        <v>2324</v>
      </c>
      <c r="C414" s="46" t="s">
        <v>297</v>
      </c>
      <c r="D414" s="46" t="s">
        <v>18</v>
      </c>
      <c r="E414" s="46" t="s">
        <v>15</v>
      </c>
      <c r="F414" s="48">
        <v>118.1</v>
      </c>
    </row>
    <row r="415">
      <c r="A415" s="46" t="s">
        <v>284</v>
      </c>
      <c r="B415" s="46" t="s">
        <v>2331</v>
      </c>
      <c r="C415" s="46" t="s">
        <v>2329</v>
      </c>
      <c r="D415" s="46" t="s">
        <v>17</v>
      </c>
      <c r="E415" s="46" t="s">
        <v>15</v>
      </c>
      <c r="F415" s="48">
        <v>117.0</v>
      </c>
    </row>
    <row r="416">
      <c r="A416" s="46" t="s">
        <v>284</v>
      </c>
      <c r="B416" s="46" t="s">
        <v>2333</v>
      </c>
      <c r="C416" s="46" t="s">
        <v>297</v>
      </c>
      <c r="D416" s="46" t="s">
        <v>18</v>
      </c>
      <c r="E416" s="46" t="s">
        <v>15</v>
      </c>
      <c r="F416" s="48">
        <v>111.6</v>
      </c>
    </row>
    <row r="417">
      <c r="A417" s="46" t="s">
        <v>284</v>
      </c>
      <c r="B417" s="46" t="s">
        <v>2335</v>
      </c>
      <c r="C417" s="46" t="s">
        <v>2322</v>
      </c>
      <c r="D417" s="46" t="s">
        <v>18</v>
      </c>
      <c r="E417" s="46" t="s">
        <v>14</v>
      </c>
      <c r="F417" s="48">
        <v>108.8</v>
      </c>
    </row>
    <row r="418">
      <c r="A418" s="46" t="s">
        <v>313</v>
      </c>
      <c r="B418" s="46" t="s">
        <v>456</v>
      </c>
      <c r="C418" s="46" t="s">
        <v>317</v>
      </c>
      <c r="D418" s="46" t="s">
        <v>18</v>
      </c>
      <c r="E418" s="46" t="s">
        <v>15</v>
      </c>
      <c r="F418" s="48">
        <v>105.2</v>
      </c>
    </row>
    <row r="419">
      <c r="A419" s="46" t="s">
        <v>322</v>
      </c>
      <c r="B419" s="46" t="s">
        <v>2340</v>
      </c>
      <c r="C419" s="46" t="s">
        <v>2341</v>
      </c>
      <c r="D419" s="46" t="s">
        <v>18</v>
      </c>
      <c r="E419" s="46" t="s">
        <v>14</v>
      </c>
      <c r="F419" s="48">
        <v>107.6</v>
      </c>
    </row>
    <row r="420">
      <c r="A420" s="46" t="s">
        <v>333</v>
      </c>
      <c r="B420" s="46" t="s">
        <v>2344</v>
      </c>
      <c r="C420" s="46" t="s">
        <v>333</v>
      </c>
      <c r="D420" s="46" t="s">
        <v>18</v>
      </c>
      <c r="E420" s="46" t="s">
        <v>15</v>
      </c>
      <c r="F420" s="48">
        <v>119.0</v>
      </c>
    </row>
    <row r="421">
      <c r="A421" s="46" t="s">
        <v>333</v>
      </c>
      <c r="B421" s="46" t="s">
        <v>2197</v>
      </c>
      <c r="C421" s="46" t="s">
        <v>333</v>
      </c>
      <c r="D421" s="46" t="s">
        <v>17</v>
      </c>
      <c r="E421" s="46" t="s">
        <v>15</v>
      </c>
      <c r="F421" s="48">
        <v>134.6</v>
      </c>
    </row>
    <row r="422">
      <c r="A422" s="46" t="s">
        <v>354</v>
      </c>
      <c r="B422" s="46" t="s">
        <v>2347</v>
      </c>
      <c r="C422" s="46" t="s">
        <v>2348</v>
      </c>
      <c r="D422" s="46" t="s">
        <v>18</v>
      </c>
      <c r="E422" s="46" t="s">
        <v>14</v>
      </c>
      <c r="F422" s="48">
        <v>113.5</v>
      </c>
    </row>
    <row r="423">
      <c r="A423" s="46" t="s">
        <v>354</v>
      </c>
      <c r="B423" s="46" t="s">
        <v>2350</v>
      </c>
      <c r="C423" s="46" t="s">
        <v>2351</v>
      </c>
      <c r="D423" s="46" t="s">
        <v>18</v>
      </c>
      <c r="E423" s="46" t="s">
        <v>15</v>
      </c>
      <c r="F423" s="48">
        <v>109.6</v>
      </c>
    </row>
    <row r="424">
      <c r="A424" s="46" t="s">
        <v>354</v>
      </c>
      <c r="B424" s="46" t="s">
        <v>2357</v>
      </c>
      <c r="C424" s="46" t="s">
        <v>2358</v>
      </c>
      <c r="D424" s="46" t="s">
        <v>18</v>
      </c>
      <c r="E424" s="46" t="s">
        <v>15</v>
      </c>
      <c r="F424" s="48">
        <v>119.0</v>
      </c>
    </row>
    <row r="425">
      <c r="A425" s="46" t="s">
        <v>354</v>
      </c>
      <c r="B425" s="46" t="s">
        <v>1716</v>
      </c>
      <c r="C425" s="46" t="s">
        <v>2362</v>
      </c>
      <c r="D425" s="46" t="s">
        <v>17</v>
      </c>
      <c r="E425" s="46" t="s">
        <v>15</v>
      </c>
      <c r="F425" s="48">
        <v>104.8</v>
      </c>
    </row>
    <row r="426">
      <c r="A426" s="46" t="s">
        <v>322</v>
      </c>
      <c r="B426" s="46" t="s">
        <v>2369</v>
      </c>
      <c r="C426" s="46" t="s">
        <v>2370</v>
      </c>
      <c r="D426" s="46" t="s">
        <v>18</v>
      </c>
      <c r="E426" s="46" t="s">
        <v>15</v>
      </c>
      <c r="F426" s="48">
        <v>110.4</v>
      </c>
    </row>
    <row r="427">
      <c r="A427" s="46" t="s">
        <v>377</v>
      </c>
      <c r="B427" s="46" t="s">
        <v>2375</v>
      </c>
      <c r="C427" s="46" t="s">
        <v>2376</v>
      </c>
      <c r="D427" s="46" t="s">
        <v>18</v>
      </c>
      <c r="E427" s="46" t="s">
        <v>15</v>
      </c>
      <c r="F427" s="48">
        <v>110.9</v>
      </c>
    </row>
    <row r="428">
      <c r="A428" s="46" t="s">
        <v>377</v>
      </c>
      <c r="B428" s="46" t="s">
        <v>2383</v>
      </c>
      <c r="C428" s="46" t="s">
        <v>2384</v>
      </c>
      <c r="D428" s="46" t="s">
        <v>18</v>
      </c>
      <c r="E428" s="46" t="s">
        <v>15</v>
      </c>
      <c r="F428" s="48">
        <v>111.7</v>
      </c>
    </row>
    <row r="429">
      <c r="A429" s="46" t="s">
        <v>377</v>
      </c>
      <c r="B429" s="46" t="s">
        <v>2386</v>
      </c>
      <c r="C429" s="46" t="s">
        <v>2384</v>
      </c>
      <c r="D429" s="46" t="s">
        <v>18</v>
      </c>
      <c r="E429" s="46" t="s">
        <v>14</v>
      </c>
      <c r="F429" s="48">
        <v>114.4</v>
      </c>
    </row>
    <row r="430">
      <c r="A430" s="46" t="s">
        <v>377</v>
      </c>
      <c r="B430" s="46" t="s">
        <v>80</v>
      </c>
      <c r="C430" s="46" t="s">
        <v>2384</v>
      </c>
      <c r="D430" s="46" t="s">
        <v>17</v>
      </c>
      <c r="E430" s="46" t="s">
        <v>15</v>
      </c>
      <c r="F430" s="48">
        <v>124.0</v>
      </c>
    </row>
    <row r="431">
      <c r="A431" s="46" t="s">
        <v>393</v>
      </c>
      <c r="B431" s="46" t="s">
        <v>1733</v>
      </c>
      <c r="C431" s="46" t="s">
        <v>393</v>
      </c>
      <c r="D431" s="46" t="s">
        <v>18</v>
      </c>
      <c r="E431" s="46" t="s">
        <v>15</v>
      </c>
      <c r="F431" s="48">
        <v>110.6</v>
      </c>
    </row>
    <row r="432">
      <c r="A432" s="46" t="s">
        <v>393</v>
      </c>
      <c r="B432" s="46" t="s">
        <v>2395</v>
      </c>
      <c r="C432" s="46" t="s">
        <v>393</v>
      </c>
      <c r="D432" s="46" t="s">
        <v>18</v>
      </c>
      <c r="E432" s="46" t="s">
        <v>14</v>
      </c>
      <c r="F432" s="48">
        <v>114.6</v>
      </c>
    </row>
    <row r="433">
      <c r="A433" s="46" t="s">
        <v>161</v>
      </c>
      <c r="B433" s="46" t="s">
        <v>2407</v>
      </c>
      <c r="C433" s="46" t="s">
        <v>2408</v>
      </c>
      <c r="D433" s="46" t="s">
        <v>18</v>
      </c>
      <c r="E433" s="46" t="s">
        <v>15</v>
      </c>
      <c r="F433" s="48">
        <v>128.7</v>
      </c>
    </row>
    <row r="434">
      <c r="A434" s="46" t="s">
        <v>161</v>
      </c>
      <c r="B434" s="46" t="s">
        <v>2410</v>
      </c>
      <c r="C434" s="46" t="s">
        <v>2411</v>
      </c>
      <c r="D434" s="46" t="s">
        <v>18</v>
      </c>
      <c r="E434" s="46" t="s">
        <v>15</v>
      </c>
      <c r="F434" s="48">
        <v>107.8</v>
      </c>
    </row>
    <row r="435">
      <c r="A435" s="46" t="s">
        <v>161</v>
      </c>
      <c r="B435" s="46" t="s">
        <v>2416</v>
      </c>
      <c r="C435" s="46" t="s">
        <v>411</v>
      </c>
      <c r="D435" s="46" t="s">
        <v>18</v>
      </c>
      <c r="E435" s="46" t="s">
        <v>15</v>
      </c>
      <c r="F435" s="48">
        <v>122.8</v>
      </c>
    </row>
    <row r="436">
      <c r="A436" s="46" t="s">
        <v>161</v>
      </c>
      <c r="B436" s="46" t="s">
        <v>2418</v>
      </c>
      <c r="C436" s="46" t="s">
        <v>2419</v>
      </c>
      <c r="D436" s="46" t="s">
        <v>17</v>
      </c>
      <c r="E436" s="46" t="s">
        <v>15</v>
      </c>
      <c r="F436" s="48">
        <v>129.9</v>
      </c>
    </row>
    <row r="437">
      <c r="A437" s="46" t="s">
        <v>161</v>
      </c>
      <c r="B437" s="46" t="s">
        <v>2424</v>
      </c>
      <c r="C437" s="46" t="s">
        <v>405</v>
      </c>
      <c r="D437" s="46" t="s">
        <v>17</v>
      </c>
      <c r="E437" s="46" t="s">
        <v>13</v>
      </c>
      <c r="F437" s="48">
        <v>104.6</v>
      </c>
    </row>
    <row r="438">
      <c r="A438" s="46" t="s">
        <v>269</v>
      </c>
      <c r="B438" s="46" t="s">
        <v>2426</v>
      </c>
      <c r="C438" s="46" t="s">
        <v>2427</v>
      </c>
      <c r="D438" s="46" t="s">
        <v>18</v>
      </c>
      <c r="E438" s="46" t="s">
        <v>15</v>
      </c>
      <c r="F438" s="48">
        <v>106.4</v>
      </c>
    </row>
    <row r="439">
      <c r="A439" s="46" t="s">
        <v>269</v>
      </c>
      <c r="B439" s="46" t="s">
        <v>2435</v>
      </c>
      <c r="C439" s="46" t="s">
        <v>2433</v>
      </c>
      <c r="D439" s="46" t="s">
        <v>17</v>
      </c>
      <c r="E439" s="46" t="s">
        <v>15</v>
      </c>
      <c r="F439" s="48">
        <v>128.4</v>
      </c>
    </row>
    <row r="440">
      <c r="A440" s="46" t="s">
        <v>269</v>
      </c>
      <c r="B440" s="46" t="s">
        <v>2441</v>
      </c>
      <c r="C440" s="46" t="s">
        <v>420</v>
      </c>
      <c r="D440" s="46" t="s">
        <v>18</v>
      </c>
      <c r="E440" s="46" t="s">
        <v>15</v>
      </c>
      <c r="F440" s="48">
        <v>116.1</v>
      </c>
    </row>
    <row r="441">
      <c r="A441" s="46" t="s">
        <v>269</v>
      </c>
      <c r="B441" s="46" t="s">
        <v>2443</v>
      </c>
      <c r="C441" s="46" t="s">
        <v>2444</v>
      </c>
      <c r="D441" s="46" t="s">
        <v>18</v>
      </c>
      <c r="E441" s="46" t="s">
        <v>15</v>
      </c>
      <c r="F441" s="48">
        <v>108.7</v>
      </c>
    </row>
    <row r="442">
      <c r="A442" s="46" t="s">
        <v>313</v>
      </c>
      <c r="B442" s="46" t="s">
        <v>2449</v>
      </c>
      <c r="C442" s="46" t="s">
        <v>2450</v>
      </c>
      <c r="D442" s="46" t="s">
        <v>18</v>
      </c>
      <c r="E442" s="46" t="s">
        <v>15</v>
      </c>
      <c r="F442" s="48">
        <v>105.5</v>
      </c>
    </row>
    <row r="443">
      <c r="A443" s="46" t="s">
        <v>313</v>
      </c>
      <c r="B443" s="46" t="s">
        <v>2455</v>
      </c>
      <c r="C443" s="46" t="s">
        <v>2456</v>
      </c>
      <c r="D443" s="46" t="s">
        <v>18</v>
      </c>
      <c r="E443" s="46" t="s">
        <v>14</v>
      </c>
      <c r="F443" s="48">
        <v>107.1</v>
      </c>
    </row>
    <row r="444">
      <c r="A444" s="46" t="s">
        <v>354</v>
      </c>
      <c r="B444" s="46" t="s">
        <v>2458</v>
      </c>
      <c r="C444" s="46" t="s">
        <v>449</v>
      </c>
      <c r="D444" s="46" t="s">
        <v>18</v>
      </c>
      <c r="E444" s="46" t="s">
        <v>15</v>
      </c>
      <c r="F444" s="48">
        <v>123.4</v>
      </c>
    </row>
    <row r="445">
      <c r="A445" s="46" t="s">
        <v>354</v>
      </c>
      <c r="B445" s="46" t="s">
        <v>2460</v>
      </c>
      <c r="C445" s="46" t="s">
        <v>449</v>
      </c>
      <c r="D445" s="46" t="s">
        <v>18</v>
      </c>
      <c r="E445" s="46" t="s">
        <v>15</v>
      </c>
      <c r="F445" s="48">
        <v>118.9</v>
      </c>
    </row>
    <row r="446">
      <c r="A446" s="46" t="s">
        <v>354</v>
      </c>
      <c r="B446" s="46" t="s">
        <v>2462</v>
      </c>
      <c r="C446" s="46" t="s">
        <v>471</v>
      </c>
      <c r="D446" s="46" t="s">
        <v>18</v>
      </c>
      <c r="E446" s="46" t="s">
        <v>15</v>
      </c>
      <c r="F446" s="48">
        <v>114.4</v>
      </c>
    </row>
    <row r="447">
      <c r="A447" s="46" t="s">
        <v>354</v>
      </c>
      <c r="B447" s="46" t="s">
        <v>2470</v>
      </c>
      <c r="C447" s="46" t="s">
        <v>2471</v>
      </c>
      <c r="D447" s="46" t="s">
        <v>17</v>
      </c>
      <c r="E447" s="46" t="s">
        <v>15</v>
      </c>
      <c r="F447" s="48">
        <v>115.6</v>
      </c>
    </row>
    <row r="448">
      <c r="A448" s="46" t="s">
        <v>483</v>
      </c>
      <c r="B448" s="46" t="s">
        <v>2475</v>
      </c>
      <c r="C448" s="46" t="s">
        <v>2476</v>
      </c>
      <c r="D448" s="46" t="s">
        <v>17</v>
      </c>
      <c r="E448" s="46" t="s">
        <v>15</v>
      </c>
      <c r="F448" s="48">
        <v>118.0</v>
      </c>
    </row>
    <row r="449">
      <c r="A449" s="46" t="s">
        <v>483</v>
      </c>
      <c r="B449" s="46" t="s">
        <v>2482</v>
      </c>
      <c r="C449" s="46" t="s">
        <v>2483</v>
      </c>
      <c r="D449" s="46" t="s">
        <v>18</v>
      </c>
      <c r="E449" s="46" t="s">
        <v>14</v>
      </c>
      <c r="F449" s="48">
        <v>117.9</v>
      </c>
    </row>
    <row r="450">
      <c r="A450" s="46" t="s">
        <v>182</v>
      </c>
      <c r="B450" s="46" t="s">
        <v>2485</v>
      </c>
      <c r="C450" s="46" t="s">
        <v>182</v>
      </c>
      <c r="D450" s="46" t="s">
        <v>18</v>
      </c>
      <c r="E450" s="46" t="s">
        <v>15</v>
      </c>
      <c r="F450" s="48">
        <v>118.0</v>
      </c>
    </row>
    <row r="451">
      <c r="A451" s="46" t="s">
        <v>182</v>
      </c>
      <c r="B451" s="46" t="s">
        <v>2491</v>
      </c>
      <c r="C451" s="46" t="s">
        <v>2492</v>
      </c>
      <c r="D451" s="46" t="s">
        <v>17</v>
      </c>
      <c r="E451" s="46" t="s">
        <v>15</v>
      </c>
      <c r="F451" s="48">
        <v>138.6</v>
      </c>
    </row>
    <row r="452">
      <c r="A452" s="46" t="s">
        <v>182</v>
      </c>
      <c r="B452" s="46" t="s">
        <v>2494</v>
      </c>
      <c r="C452" s="46" t="s">
        <v>182</v>
      </c>
      <c r="D452" s="46" t="s">
        <v>17</v>
      </c>
      <c r="E452" s="46" t="s">
        <v>15</v>
      </c>
      <c r="F452" s="48">
        <v>144.8</v>
      </c>
    </row>
    <row r="453">
      <c r="A453" s="46" t="s">
        <v>182</v>
      </c>
      <c r="B453" s="46" t="s">
        <v>2496</v>
      </c>
      <c r="C453" s="46" t="s">
        <v>182</v>
      </c>
      <c r="D453" s="46" t="s">
        <v>17</v>
      </c>
      <c r="E453" s="46" t="s">
        <v>15</v>
      </c>
      <c r="F453" s="48">
        <v>126.8</v>
      </c>
    </row>
    <row r="454">
      <c r="A454" s="46" t="s">
        <v>182</v>
      </c>
      <c r="B454" s="46" t="s">
        <v>2500</v>
      </c>
      <c r="C454" s="46" t="s">
        <v>2501</v>
      </c>
      <c r="D454" s="46" t="s">
        <v>18</v>
      </c>
      <c r="E454" s="46" t="s">
        <v>14</v>
      </c>
      <c r="F454" s="48">
        <v>127.7</v>
      </c>
    </row>
    <row r="455">
      <c r="A455" s="46" t="s">
        <v>182</v>
      </c>
      <c r="B455" s="46" t="s">
        <v>2503</v>
      </c>
      <c r="C455" s="46" t="s">
        <v>2504</v>
      </c>
      <c r="D455" s="46" t="s">
        <v>18</v>
      </c>
      <c r="E455" s="46" t="s">
        <v>15</v>
      </c>
      <c r="F455" s="48">
        <v>130.7</v>
      </c>
    </row>
    <row r="456">
      <c r="A456" s="46" t="s">
        <v>182</v>
      </c>
      <c r="B456" s="46" t="s">
        <v>2506</v>
      </c>
      <c r="C456" s="46" t="s">
        <v>2507</v>
      </c>
      <c r="D456" s="46" t="s">
        <v>18</v>
      </c>
      <c r="E456" s="46" t="s">
        <v>15</v>
      </c>
      <c r="F456" s="48">
        <v>127.9</v>
      </c>
    </row>
    <row r="457">
      <c r="A457" s="46" t="s">
        <v>182</v>
      </c>
      <c r="B457" s="46" t="s">
        <v>2509</v>
      </c>
      <c r="C457" s="46" t="s">
        <v>551</v>
      </c>
      <c r="D457" s="46" t="s">
        <v>17</v>
      </c>
      <c r="E457" s="46" t="s">
        <v>13</v>
      </c>
      <c r="F457" s="48">
        <v>104.3</v>
      </c>
    </row>
    <row r="458">
      <c r="A458" s="46" t="s">
        <v>377</v>
      </c>
      <c r="B458" s="46" t="s">
        <v>2511</v>
      </c>
      <c r="C458" s="46" t="s">
        <v>2512</v>
      </c>
      <c r="D458" s="46" t="s">
        <v>18</v>
      </c>
      <c r="E458" s="46" t="s">
        <v>15</v>
      </c>
      <c r="F458" s="48">
        <v>108.5</v>
      </c>
    </row>
    <row r="459">
      <c r="A459" s="46" t="s">
        <v>377</v>
      </c>
      <c r="B459" s="46" t="s">
        <v>2514</v>
      </c>
      <c r="C459" s="46" t="s">
        <v>377</v>
      </c>
      <c r="D459" s="46" t="s">
        <v>18</v>
      </c>
      <c r="E459" s="46" t="s">
        <v>15</v>
      </c>
      <c r="F459" s="48">
        <v>134.7</v>
      </c>
    </row>
    <row r="460">
      <c r="A460" s="46" t="s">
        <v>377</v>
      </c>
      <c r="B460" s="46" t="s">
        <v>2516</v>
      </c>
      <c r="C460" s="46" t="s">
        <v>377</v>
      </c>
      <c r="D460" s="46" t="s">
        <v>18</v>
      </c>
      <c r="E460" s="46" t="s">
        <v>15</v>
      </c>
      <c r="F460" s="48">
        <v>136.3</v>
      </c>
    </row>
    <row r="461">
      <c r="A461" s="46" t="s">
        <v>377</v>
      </c>
      <c r="B461" s="46" t="s">
        <v>2197</v>
      </c>
      <c r="C461" s="46" t="s">
        <v>377</v>
      </c>
      <c r="D461" s="46" t="s">
        <v>17</v>
      </c>
      <c r="E461" s="46" t="s">
        <v>15</v>
      </c>
      <c r="F461" s="48">
        <v>112.8</v>
      </c>
    </row>
    <row r="462">
      <c r="A462" s="46" t="s">
        <v>377</v>
      </c>
      <c r="B462" s="46" t="s">
        <v>456</v>
      </c>
      <c r="C462" s="46" t="s">
        <v>2527</v>
      </c>
      <c r="D462" s="46" t="s">
        <v>18</v>
      </c>
      <c r="E462" s="46" t="s">
        <v>15</v>
      </c>
      <c r="F462" s="48">
        <v>119.7</v>
      </c>
    </row>
    <row r="463">
      <c r="A463" s="46" t="s">
        <v>377</v>
      </c>
      <c r="B463" s="46" t="s">
        <v>2534</v>
      </c>
      <c r="C463" s="46" t="s">
        <v>2535</v>
      </c>
      <c r="D463" s="46" t="s">
        <v>18</v>
      </c>
      <c r="E463" s="46" t="s">
        <v>15</v>
      </c>
      <c r="F463" s="48">
        <v>135.4</v>
      </c>
    </row>
    <row r="464">
      <c r="A464" s="46" t="s">
        <v>377</v>
      </c>
      <c r="B464" s="46" t="s">
        <v>2537</v>
      </c>
      <c r="C464" s="46" t="s">
        <v>2538</v>
      </c>
      <c r="D464" s="46" t="s">
        <v>18</v>
      </c>
      <c r="E464" s="46" t="s">
        <v>15</v>
      </c>
      <c r="F464" s="48">
        <v>137.2</v>
      </c>
    </row>
    <row r="465">
      <c r="A465" s="46" t="s">
        <v>483</v>
      </c>
      <c r="B465" s="46" t="s">
        <v>2540</v>
      </c>
      <c r="C465" s="46" t="s">
        <v>483</v>
      </c>
      <c r="D465" s="46" t="s">
        <v>18</v>
      </c>
      <c r="E465" s="46" t="s">
        <v>14</v>
      </c>
      <c r="F465" s="48">
        <v>104.6</v>
      </c>
    </row>
    <row r="466">
      <c r="A466" s="46" t="s">
        <v>483</v>
      </c>
      <c r="B466" s="46" t="s">
        <v>2544</v>
      </c>
      <c r="C466" s="46" t="s">
        <v>2545</v>
      </c>
      <c r="D466" s="46" t="s">
        <v>17</v>
      </c>
      <c r="E466" s="46" t="s">
        <v>14</v>
      </c>
      <c r="F466" s="48">
        <v>107.8</v>
      </c>
    </row>
    <row r="467">
      <c r="A467" s="46" t="s">
        <v>483</v>
      </c>
      <c r="B467" s="46" t="s">
        <v>2149</v>
      </c>
      <c r="C467" s="46" t="s">
        <v>615</v>
      </c>
      <c r="D467" s="46" t="s">
        <v>17</v>
      </c>
      <c r="E467" s="46" t="s">
        <v>14</v>
      </c>
      <c r="F467" s="48">
        <v>122.6</v>
      </c>
    </row>
    <row r="468">
      <c r="A468" s="46" t="s">
        <v>354</v>
      </c>
      <c r="B468" s="46" t="s">
        <v>2548</v>
      </c>
      <c r="C468" s="46" t="s">
        <v>2549</v>
      </c>
      <c r="D468" s="46" t="s">
        <v>18</v>
      </c>
      <c r="E468" s="46" t="s">
        <v>14</v>
      </c>
      <c r="F468" s="48">
        <v>111.3</v>
      </c>
    </row>
    <row r="469">
      <c r="A469" s="46" t="s">
        <v>354</v>
      </c>
      <c r="B469" s="46" t="s">
        <v>2551</v>
      </c>
      <c r="C469" s="46" t="s">
        <v>2552</v>
      </c>
      <c r="D469" s="46" t="s">
        <v>18</v>
      </c>
      <c r="E469" s="46" t="s">
        <v>15</v>
      </c>
      <c r="F469" s="48">
        <v>109.3</v>
      </c>
    </row>
    <row r="470">
      <c r="A470" s="46" t="s">
        <v>354</v>
      </c>
      <c r="B470" s="46" t="s">
        <v>2554</v>
      </c>
      <c r="C470" s="46" t="s">
        <v>354</v>
      </c>
      <c r="D470" s="46" t="s">
        <v>18</v>
      </c>
      <c r="E470" s="46" t="s">
        <v>15</v>
      </c>
      <c r="F470" s="48">
        <v>134.4</v>
      </c>
    </row>
    <row r="471">
      <c r="A471" s="46" t="s">
        <v>354</v>
      </c>
      <c r="B471" s="46" t="s">
        <v>2556</v>
      </c>
      <c r="C471" s="46" t="s">
        <v>354</v>
      </c>
      <c r="D471" s="46" t="s">
        <v>18</v>
      </c>
      <c r="E471" s="46" t="s">
        <v>15</v>
      </c>
      <c r="F471" s="48">
        <v>114.7</v>
      </c>
    </row>
    <row r="472">
      <c r="A472" s="46" t="s">
        <v>354</v>
      </c>
      <c r="B472" s="46" t="s">
        <v>2561</v>
      </c>
      <c r="C472" s="46" t="s">
        <v>354</v>
      </c>
      <c r="D472" s="46" t="s">
        <v>17</v>
      </c>
      <c r="E472" s="46" t="s">
        <v>15</v>
      </c>
      <c r="F472" s="48">
        <v>116.7</v>
      </c>
    </row>
    <row r="473">
      <c r="A473" s="46" t="s">
        <v>354</v>
      </c>
      <c r="B473" s="46" t="s">
        <v>2565</v>
      </c>
      <c r="C473" s="46" t="s">
        <v>354</v>
      </c>
      <c r="D473" s="46" t="s">
        <v>17</v>
      </c>
      <c r="E473" s="46" t="s">
        <v>14</v>
      </c>
      <c r="F473" s="48">
        <v>109.9</v>
      </c>
    </row>
    <row r="474">
      <c r="A474" s="46" t="s">
        <v>354</v>
      </c>
      <c r="B474" s="46" t="s">
        <v>2569</v>
      </c>
      <c r="C474" s="46" t="s">
        <v>354</v>
      </c>
      <c r="D474" s="46" t="s">
        <v>18</v>
      </c>
      <c r="E474" s="46" t="s">
        <v>15</v>
      </c>
      <c r="F474" s="48">
        <v>115.7</v>
      </c>
    </row>
    <row r="475">
      <c r="A475" s="46" t="s">
        <v>313</v>
      </c>
      <c r="B475" s="46" t="s">
        <v>2576</v>
      </c>
      <c r="C475" s="46" t="s">
        <v>2577</v>
      </c>
      <c r="D475" s="46" t="s">
        <v>17</v>
      </c>
      <c r="E475" s="46" t="s">
        <v>14</v>
      </c>
      <c r="F475" s="48">
        <v>106.6</v>
      </c>
    </row>
    <row r="476">
      <c r="A476" s="46" t="s">
        <v>313</v>
      </c>
      <c r="B476" s="46" t="s">
        <v>2579</v>
      </c>
      <c r="C476" s="46" t="s">
        <v>634</v>
      </c>
      <c r="D476" s="46" t="s">
        <v>17</v>
      </c>
      <c r="E476" s="46" t="s">
        <v>14</v>
      </c>
      <c r="F476" s="48">
        <v>123.8</v>
      </c>
    </row>
    <row r="477">
      <c r="A477" s="46" t="s">
        <v>313</v>
      </c>
      <c r="B477" s="46" t="s">
        <v>2581</v>
      </c>
      <c r="C477" s="46" t="s">
        <v>659</v>
      </c>
      <c r="D477" s="46" t="s">
        <v>18</v>
      </c>
      <c r="E477" s="46" t="s">
        <v>15</v>
      </c>
      <c r="F477" s="48">
        <v>118.8</v>
      </c>
    </row>
    <row r="478">
      <c r="A478" s="46" t="s">
        <v>313</v>
      </c>
      <c r="B478" s="46" t="s">
        <v>2583</v>
      </c>
      <c r="C478" s="46" t="s">
        <v>640</v>
      </c>
      <c r="D478" s="46" t="s">
        <v>18</v>
      </c>
      <c r="E478" s="46" t="s">
        <v>15</v>
      </c>
      <c r="F478" s="48">
        <v>132.5</v>
      </c>
    </row>
    <row r="479">
      <c r="A479" s="46" t="s">
        <v>313</v>
      </c>
      <c r="B479" s="46" t="s">
        <v>2585</v>
      </c>
      <c r="C479" s="46" t="s">
        <v>640</v>
      </c>
      <c r="D479" s="46" t="s">
        <v>18</v>
      </c>
      <c r="E479" s="46" t="s">
        <v>15</v>
      </c>
      <c r="F479" s="48">
        <v>112.9</v>
      </c>
    </row>
    <row r="480">
      <c r="A480" s="46" t="s">
        <v>313</v>
      </c>
      <c r="B480" s="46" t="s">
        <v>2592</v>
      </c>
      <c r="C480" s="46" t="s">
        <v>640</v>
      </c>
      <c r="D480" s="46" t="s">
        <v>17</v>
      </c>
      <c r="E480" s="46" t="s">
        <v>15</v>
      </c>
      <c r="F480" s="48">
        <v>121.4</v>
      </c>
    </row>
    <row r="481">
      <c r="A481" s="46" t="s">
        <v>313</v>
      </c>
      <c r="B481" s="46" t="s">
        <v>2594</v>
      </c>
      <c r="C481" s="46" t="s">
        <v>640</v>
      </c>
      <c r="D481" s="46" t="s">
        <v>17</v>
      </c>
      <c r="E481" s="46" t="s">
        <v>13</v>
      </c>
      <c r="F481" s="48">
        <v>112.4</v>
      </c>
    </row>
    <row r="482">
      <c r="A482" s="46" t="s">
        <v>161</v>
      </c>
      <c r="B482" s="46" t="s">
        <v>2599</v>
      </c>
      <c r="C482" s="46" t="s">
        <v>161</v>
      </c>
      <c r="D482" s="46" t="s">
        <v>18</v>
      </c>
      <c r="E482" s="46" t="s">
        <v>15</v>
      </c>
      <c r="F482" s="48">
        <v>137.4</v>
      </c>
    </row>
    <row r="483">
      <c r="A483" s="46" t="s">
        <v>161</v>
      </c>
      <c r="B483" s="46" t="s">
        <v>854</v>
      </c>
      <c r="C483" s="46" t="s">
        <v>161</v>
      </c>
      <c r="D483" s="46" t="s">
        <v>18</v>
      </c>
      <c r="E483" s="46" t="s">
        <v>15</v>
      </c>
      <c r="F483" s="48">
        <v>129.1</v>
      </c>
    </row>
    <row r="484">
      <c r="A484" s="46" t="s">
        <v>161</v>
      </c>
      <c r="B484" s="46" t="s">
        <v>2602</v>
      </c>
      <c r="C484" s="46" t="s">
        <v>161</v>
      </c>
      <c r="D484" s="46" t="s">
        <v>18</v>
      </c>
      <c r="E484" s="46" t="s">
        <v>14</v>
      </c>
      <c r="F484" s="48">
        <v>107.7</v>
      </c>
    </row>
    <row r="485">
      <c r="A485" s="46" t="s">
        <v>161</v>
      </c>
      <c r="B485" s="46" t="s">
        <v>2606</v>
      </c>
      <c r="C485" s="46" t="s">
        <v>695</v>
      </c>
      <c r="D485" s="46" t="s">
        <v>18</v>
      </c>
      <c r="E485" s="46" t="s">
        <v>14</v>
      </c>
      <c r="F485" s="48">
        <v>110.3</v>
      </c>
    </row>
    <row r="486">
      <c r="A486" s="46" t="s">
        <v>161</v>
      </c>
      <c r="B486" s="46" t="s">
        <v>2608</v>
      </c>
      <c r="C486" s="46" t="s">
        <v>2609</v>
      </c>
      <c r="D486" s="46" t="s">
        <v>18</v>
      </c>
      <c r="E486" s="46" t="s">
        <v>14</v>
      </c>
      <c r="F486" s="48">
        <v>123.6</v>
      </c>
    </row>
    <row r="487">
      <c r="A487" s="46" t="s">
        <v>161</v>
      </c>
      <c r="B487" s="46" t="s">
        <v>2611</v>
      </c>
      <c r="C487" s="46" t="s">
        <v>161</v>
      </c>
      <c r="D487" s="46" t="s">
        <v>18</v>
      </c>
      <c r="E487" s="46" t="s">
        <v>14</v>
      </c>
      <c r="F487" s="48">
        <v>105.6</v>
      </c>
    </row>
    <row r="488">
      <c r="A488" s="46" t="s">
        <v>161</v>
      </c>
      <c r="B488" s="46" t="s">
        <v>272</v>
      </c>
      <c r="C488" s="46" t="s">
        <v>2613</v>
      </c>
      <c r="D488" s="46" t="s">
        <v>17</v>
      </c>
      <c r="E488" s="46" t="s">
        <v>15</v>
      </c>
      <c r="F488" s="48">
        <v>105.4</v>
      </c>
    </row>
    <row r="489">
      <c r="A489" s="46" t="s">
        <v>161</v>
      </c>
      <c r="B489" s="46" t="s">
        <v>2625</v>
      </c>
      <c r="C489" s="46" t="s">
        <v>2626</v>
      </c>
      <c r="D489" s="46" t="s">
        <v>18</v>
      </c>
      <c r="E489" s="46" t="s">
        <v>14</v>
      </c>
      <c r="F489" s="48">
        <v>108.5</v>
      </c>
    </row>
    <row r="490">
      <c r="A490" s="46" t="s">
        <v>161</v>
      </c>
      <c r="B490" s="46" t="s">
        <v>2628</v>
      </c>
      <c r="C490" s="46" t="s">
        <v>680</v>
      </c>
      <c r="D490" s="46" t="s">
        <v>18</v>
      </c>
      <c r="E490" s="46" t="s">
        <v>15</v>
      </c>
      <c r="F490" s="48">
        <v>115.4</v>
      </c>
    </row>
    <row r="491">
      <c r="A491" s="46" t="s">
        <v>161</v>
      </c>
      <c r="B491" s="46" t="s">
        <v>2630</v>
      </c>
      <c r="C491" s="46" t="s">
        <v>2631</v>
      </c>
      <c r="D491" s="46" t="s">
        <v>18</v>
      </c>
      <c r="E491" s="46" t="s">
        <v>15</v>
      </c>
      <c r="F491" s="48">
        <v>125.7</v>
      </c>
    </row>
    <row r="492">
      <c r="A492" s="46" t="s">
        <v>393</v>
      </c>
      <c r="B492" s="46" t="s">
        <v>2633</v>
      </c>
      <c r="C492" s="46" t="s">
        <v>2634</v>
      </c>
      <c r="D492" s="46" t="s">
        <v>18</v>
      </c>
      <c r="E492" s="46" t="s">
        <v>14</v>
      </c>
      <c r="F492" s="48">
        <v>104.0</v>
      </c>
    </row>
    <row r="493">
      <c r="A493" s="46" t="s">
        <v>393</v>
      </c>
      <c r="B493" s="46" t="s">
        <v>2636</v>
      </c>
      <c r="C493" s="46" t="s">
        <v>2637</v>
      </c>
      <c r="D493" s="46" t="s">
        <v>18</v>
      </c>
      <c r="E493" s="46" t="s">
        <v>15</v>
      </c>
      <c r="F493" s="48">
        <v>117.8</v>
      </c>
    </row>
    <row r="494">
      <c r="A494" s="46" t="s">
        <v>393</v>
      </c>
      <c r="B494" s="46" t="s">
        <v>2644</v>
      </c>
      <c r="C494" s="46" t="s">
        <v>2645</v>
      </c>
      <c r="D494" s="46" t="s">
        <v>18</v>
      </c>
      <c r="E494" s="46" t="s">
        <v>14</v>
      </c>
      <c r="F494" s="48">
        <v>112.8</v>
      </c>
    </row>
    <row r="495">
      <c r="A495" s="46" t="s">
        <v>377</v>
      </c>
      <c r="B495" s="46" t="s">
        <v>2650</v>
      </c>
      <c r="C495" s="46" t="s">
        <v>2651</v>
      </c>
      <c r="D495" s="46" t="s">
        <v>18</v>
      </c>
      <c r="E495" s="46" t="s">
        <v>14</v>
      </c>
      <c r="F495" s="48">
        <v>108.2</v>
      </c>
    </row>
    <row r="496">
      <c r="A496" s="46" t="s">
        <v>313</v>
      </c>
      <c r="B496" s="46" t="s">
        <v>2656</v>
      </c>
      <c r="C496" s="46" t="s">
        <v>741</v>
      </c>
      <c r="D496" s="46" t="s">
        <v>18</v>
      </c>
      <c r="E496" s="46" t="s">
        <v>14</v>
      </c>
      <c r="F496" s="48">
        <v>105.0</v>
      </c>
    </row>
    <row r="497">
      <c r="A497" s="46" t="s">
        <v>313</v>
      </c>
      <c r="B497" s="46" t="s">
        <v>2149</v>
      </c>
      <c r="C497" s="46" t="s">
        <v>738</v>
      </c>
      <c r="D497" s="46" t="s">
        <v>17</v>
      </c>
      <c r="E497" s="46" t="s">
        <v>14</v>
      </c>
      <c r="F497" s="48">
        <v>115.8</v>
      </c>
    </row>
    <row r="498">
      <c r="A498" s="46" t="s">
        <v>71</v>
      </c>
      <c r="B498" s="46" t="s">
        <v>2661</v>
      </c>
      <c r="C498" s="46" t="s">
        <v>2662</v>
      </c>
      <c r="D498" s="46" t="s">
        <v>18</v>
      </c>
      <c r="E498" s="46" t="s">
        <v>14</v>
      </c>
      <c r="F498" s="48">
        <v>109.7</v>
      </c>
    </row>
    <row r="499">
      <c r="A499" s="46" t="s">
        <v>71</v>
      </c>
      <c r="B499" s="46" t="s">
        <v>2670</v>
      </c>
      <c r="C499" s="46" t="s">
        <v>745</v>
      </c>
      <c r="D499" s="46" t="s">
        <v>18</v>
      </c>
      <c r="E499" s="46" t="s">
        <v>15</v>
      </c>
      <c r="F499" s="48">
        <v>117.4</v>
      </c>
    </row>
    <row r="500">
      <c r="A500" s="46" t="s">
        <v>71</v>
      </c>
      <c r="B500" s="46" t="s">
        <v>2682</v>
      </c>
      <c r="C500" s="46" t="s">
        <v>745</v>
      </c>
      <c r="D500" s="46" t="s">
        <v>17</v>
      </c>
      <c r="E500" s="46" t="s">
        <v>15</v>
      </c>
      <c r="F500" s="48">
        <v>105.2</v>
      </c>
    </row>
    <row r="501">
      <c r="A501" s="46" t="s">
        <v>71</v>
      </c>
      <c r="B501" s="46" t="s">
        <v>2684</v>
      </c>
      <c r="C501" s="46" t="s">
        <v>748</v>
      </c>
      <c r="D501" s="46" t="s">
        <v>17</v>
      </c>
      <c r="E501" s="46" t="s">
        <v>15</v>
      </c>
      <c r="F501" s="48">
        <v>104.4</v>
      </c>
    </row>
    <row r="502">
      <c r="A502" s="46" t="s">
        <v>71</v>
      </c>
      <c r="B502" s="46" t="s">
        <v>2694</v>
      </c>
      <c r="C502" s="46" t="s">
        <v>2689</v>
      </c>
      <c r="D502" s="46" t="s">
        <v>18</v>
      </c>
      <c r="E502" s="46" t="s">
        <v>15</v>
      </c>
      <c r="F502" s="48">
        <v>120.6</v>
      </c>
    </row>
    <row r="503">
      <c r="A503" s="46" t="s">
        <v>116</v>
      </c>
      <c r="B503" s="46" t="s">
        <v>2696</v>
      </c>
      <c r="C503" s="46" t="s">
        <v>770</v>
      </c>
      <c r="D503" s="46" t="s">
        <v>18</v>
      </c>
      <c r="E503" s="46" t="s">
        <v>15</v>
      </c>
      <c r="F503" s="48">
        <v>111.6</v>
      </c>
    </row>
    <row r="504">
      <c r="A504" s="46" t="s">
        <v>116</v>
      </c>
      <c r="B504" s="46" t="s">
        <v>2698</v>
      </c>
      <c r="C504" s="46" t="s">
        <v>767</v>
      </c>
      <c r="D504" s="46" t="s">
        <v>18</v>
      </c>
      <c r="E504" s="46" t="s">
        <v>14</v>
      </c>
      <c r="F504" s="48">
        <v>111.1</v>
      </c>
    </row>
    <row r="505">
      <c r="A505" s="46" t="s">
        <v>779</v>
      </c>
      <c r="B505" s="46" t="s">
        <v>2702</v>
      </c>
      <c r="C505" s="46" t="s">
        <v>2703</v>
      </c>
      <c r="D505" s="46" t="s">
        <v>18</v>
      </c>
      <c r="E505" s="46" t="s">
        <v>14</v>
      </c>
      <c r="F505" s="48">
        <v>107.6</v>
      </c>
    </row>
    <row r="506">
      <c r="A506" s="46" t="s">
        <v>779</v>
      </c>
      <c r="B506" s="46" t="s">
        <v>562</v>
      </c>
      <c r="C506" s="46" t="s">
        <v>2705</v>
      </c>
      <c r="D506" s="46" t="s">
        <v>18</v>
      </c>
      <c r="E506" s="46" t="s">
        <v>15</v>
      </c>
      <c r="F506" s="48">
        <v>130.4</v>
      </c>
    </row>
    <row r="507">
      <c r="A507" s="46" t="s">
        <v>779</v>
      </c>
      <c r="B507" s="46" t="s">
        <v>2710</v>
      </c>
      <c r="C507" s="46" t="s">
        <v>2711</v>
      </c>
      <c r="D507" s="46" t="s">
        <v>18</v>
      </c>
      <c r="E507" s="46" t="s">
        <v>15</v>
      </c>
      <c r="F507" s="48">
        <v>122.8</v>
      </c>
    </row>
    <row r="508">
      <c r="A508" s="46" t="s">
        <v>779</v>
      </c>
      <c r="B508" s="46" t="s">
        <v>2713</v>
      </c>
      <c r="C508" s="46" t="s">
        <v>801</v>
      </c>
      <c r="D508" s="46" t="s">
        <v>17</v>
      </c>
      <c r="E508" s="46" t="s">
        <v>14</v>
      </c>
      <c r="F508" s="48">
        <v>112.4</v>
      </c>
    </row>
    <row r="509">
      <c r="A509" s="46" t="s">
        <v>779</v>
      </c>
      <c r="B509" s="46" t="s">
        <v>2717</v>
      </c>
      <c r="C509" s="46" t="s">
        <v>798</v>
      </c>
      <c r="D509" s="46" t="s">
        <v>17</v>
      </c>
      <c r="E509" s="46" t="s">
        <v>14</v>
      </c>
      <c r="F509" s="48">
        <v>113.3</v>
      </c>
    </row>
    <row r="510">
      <c r="A510" s="46" t="s">
        <v>779</v>
      </c>
      <c r="B510" s="46" t="s">
        <v>2721</v>
      </c>
      <c r="C510" s="46" t="s">
        <v>798</v>
      </c>
      <c r="D510" s="46" t="s">
        <v>17</v>
      </c>
      <c r="E510" s="46" t="s">
        <v>14</v>
      </c>
      <c r="F510" s="48">
        <v>110.3</v>
      </c>
    </row>
    <row r="511">
      <c r="A511" s="46" t="s">
        <v>779</v>
      </c>
      <c r="B511" s="46" t="s">
        <v>2726</v>
      </c>
      <c r="C511" s="46" t="s">
        <v>2727</v>
      </c>
      <c r="D511" s="46" t="s">
        <v>17</v>
      </c>
      <c r="E511" s="46" t="s">
        <v>15</v>
      </c>
      <c r="F511" s="48">
        <v>117.2</v>
      </c>
    </row>
    <row r="512">
      <c r="A512" s="46" t="s">
        <v>779</v>
      </c>
      <c r="B512" s="46" t="s">
        <v>2729</v>
      </c>
      <c r="C512" s="46" t="s">
        <v>779</v>
      </c>
      <c r="D512" s="46" t="s">
        <v>18</v>
      </c>
      <c r="E512" s="46" t="s">
        <v>14</v>
      </c>
      <c r="F512" s="48">
        <v>113.0</v>
      </c>
    </row>
    <row r="513">
      <c r="A513" s="46" t="s">
        <v>779</v>
      </c>
      <c r="B513" s="46" t="s">
        <v>2731</v>
      </c>
      <c r="C513" s="46" t="s">
        <v>2732</v>
      </c>
      <c r="D513" s="46" t="s">
        <v>18</v>
      </c>
      <c r="E513" s="46" t="s">
        <v>14</v>
      </c>
      <c r="F513" s="48">
        <v>116.3</v>
      </c>
    </row>
    <row r="514">
      <c r="A514" s="46" t="s">
        <v>313</v>
      </c>
      <c r="B514" s="46" t="s">
        <v>2739</v>
      </c>
      <c r="C514" s="46" t="s">
        <v>830</v>
      </c>
      <c r="D514" s="46" t="s">
        <v>17</v>
      </c>
      <c r="E514" s="46" t="s">
        <v>15</v>
      </c>
      <c r="F514" s="48">
        <v>122.1</v>
      </c>
    </row>
    <row r="515">
      <c r="A515" s="46" t="s">
        <v>313</v>
      </c>
      <c r="B515" s="46" t="s">
        <v>2741</v>
      </c>
      <c r="C515" s="46" t="s">
        <v>2742</v>
      </c>
      <c r="D515" s="46" t="s">
        <v>18</v>
      </c>
      <c r="E515" s="46" t="s">
        <v>15</v>
      </c>
      <c r="F515" s="48">
        <v>117.5</v>
      </c>
    </row>
    <row r="516">
      <c r="A516" s="46" t="s">
        <v>182</v>
      </c>
      <c r="B516" s="46" t="s">
        <v>2744</v>
      </c>
      <c r="C516" s="46" t="s">
        <v>2745</v>
      </c>
      <c r="D516" s="46" t="s">
        <v>18</v>
      </c>
      <c r="E516" s="46" t="s">
        <v>14</v>
      </c>
      <c r="F516" s="48">
        <v>104.4</v>
      </c>
    </row>
    <row r="517">
      <c r="A517" s="46" t="s">
        <v>377</v>
      </c>
      <c r="B517" s="46" t="s">
        <v>823</v>
      </c>
      <c r="C517" s="46" t="s">
        <v>852</v>
      </c>
      <c r="D517" s="46" t="s">
        <v>18</v>
      </c>
      <c r="E517" s="46" t="s">
        <v>15</v>
      </c>
      <c r="F517" s="48">
        <v>117.7</v>
      </c>
    </row>
    <row r="518">
      <c r="A518" s="46" t="s">
        <v>377</v>
      </c>
      <c r="B518" s="46" t="s">
        <v>2754</v>
      </c>
      <c r="C518" s="46" t="s">
        <v>2755</v>
      </c>
      <c r="D518" s="46" t="s">
        <v>18</v>
      </c>
      <c r="E518" s="46" t="s">
        <v>15</v>
      </c>
      <c r="F518" s="48">
        <v>111.7</v>
      </c>
    </row>
    <row r="519">
      <c r="A519" s="46" t="s">
        <v>483</v>
      </c>
      <c r="B519" s="46" t="s">
        <v>2763</v>
      </c>
      <c r="C519" s="46" t="s">
        <v>2764</v>
      </c>
      <c r="D519" s="46" t="s">
        <v>18</v>
      </c>
      <c r="E519" s="46" t="s">
        <v>15</v>
      </c>
      <c r="F519" s="48">
        <v>123.9</v>
      </c>
    </row>
    <row r="520">
      <c r="A520" s="46" t="s">
        <v>779</v>
      </c>
      <c r="B520" s="46" t="s">
        <v>2769</v>
      </c>
      <c r="C520" s="46" t="s">
        <v>859</v>
      </c>
      <c r="D520" s="46" t="s">
        <v>17</v>
      </c>
      <c r="E520" s="46" t="s">
        <v>15</v>
      </c>
      <c r="F520" s="48">
        <v>129.3</v>
      </c>
    </row>
    <row r="521">
      <c r="A521" s="46" t="s">
        <v>779</v>
      </c>
      <c r="B521" s="46" t="s">
        <v>2197</v>
      </c>
      <c r="C521" s="46" t="s">
        <v>2771</v>
      </c>
      <c r="D521" s="46" t="s">
        <v>17</v>
      </c>
      <c r="E521" s="46" t="s">
        <v>15</v>
      </c>
      <c r="F521" s="48">
        <v>111.0</v>
      </c>
    </row>
    <row r="522">
      <c r="A522" s="46" t="s">
        <v>779</v>
      </c>
      <c r="B522" s="46" t="s">
        <v>307</v>
      </c>
      <c r="C522" s="46" t="s">
        <v>870</v>
      </c>
      <c r="D522" s="46" t="s">
        <v>17</v>
      </c>
      <c r="E522" s="46" t="s">
        <v>15</v>
      </c>
      <c r="F522" s="48">
        <v>113.7</v>
      </c>
    </row>
    <row r="523">
      <c r="A523" s="46" t="s">
        <v>779</v>
      </c>
      <c r="B523" s="46" t="s">
        <v>2774</v>
      </c>
      <c r="C523" s="46" t="s">
        <v>859</v>
      </c>
      <c r="D523" s="46" t="s">
        <v>17</v>
      </c>
      <c r="E523" s="46" t="s">
        <v>15</v>
      </c>
      <c r="F523" s="48">
        <v>129.4</v>
      </c>
    </row>
    <row r="524">
      <c r="A524" s="46" t="s">
        <v>779</v>
      </c>
      <c r="B524" s="46" t="s">
        <v>2776</v>
      </c>
      <c r="C524" s="46" t="s">
        <v>870</v>
      </c>
      <c r="D524" s="46" t="s">
        <v>17</v>
      </c>
      <c r="E524" s="46" t="s">
        <v>15</v>
      </c>
      <c r="F524" s="48">
        <v>104.5</v>
      </c>
    </row>
    <row r="525">
      <c r="A525" s="46" t="s">
        <v>779</v>
      </c>
      <c r="B525" s="46" t="s">
        <v>2778</v>
      </c>
      <c r="C525" s="46" t="s">
        <v>867</v>
      </c>
      <c r="D525" s="46" t="s">
        <v>17</v>
      </c>
      <c r="E525" s="46" t="s">
        <v>15</v>
      </c>
      <c r="F525" s="48">
        <v>123.0</v>
      </c>
    </row>
    <row r="526">
      <c r="A526" s="46" t="s">
        <v>269</v>
      </c>
      <c r="B526" s="46" t="s">
        <v>2780</v>
      </c>
      <c r="C526" s="46" t="s">
        <v>898</v>
      </c>
      <c r="D526" s="46" t="s">
        <v>18</v>
      </c>
      <c r="E526" s="46" t="s">
        <v>15</v>
      </c>
      <c r="F526" s="48">
        <v>112.2</v>
      </c>
    </row>
    <row r="527">
      <c r="A527" s="46" t="s">
        <v>269</v>
      </c>
      <c r="B527" s="46" t="s">
        <v>2788</v>
      </c>
      <c r="C527" s="46" t="s">
        <v>884</v>
      </c>
      <c r="D527" s="46" t="s">
        <v>17</v>
      </c>
      <c r="E527" s="46" t="s">
        <v>15</v>
      </c>
      <c r="F527" s="48">
        <v>121.4</v>
      </c>
    </row>
    <row r="528">
      <c r="A528" s="46" t="s">
        <v>169</v>
      </c>
      <c r="B528" s="46" t="s">
        <v>2792</v>
      </c>
      <c r="C528" s="46" t="s">
        <v>2793</v>
      </c>
      <c r="D528" s="46" t="s">
        <v>18</v>
      </c>
      <c r="E528" s="46" t="s">
        <v>15</v>
      </c>
      <c r="F528" s="48">
        <v>118.6</v>
      </c>
    </row>
    <row r="529">
      <c r="A529" s="46" t="s">
        <v>169</v>
      </c>
      <c r="B529" s="46" t="s">
        <v>2802</v>
      </c>
      <c r="C529" s="46" t="s">
        <v>169</v>
      </c>
      <c r="D529" s="46" t="s">
        <v>17</v>
      </c>
      <c r="E529" s="46" t="s">
        <v>15</v>
      </c>
      <c r="F529" s="48">
        <v>129.8</v>
      </c>
    </row>
    <row r="530">
      <c r="A530" s="46" t="s">
        <v>169</v>
      </c>
      <c r="B530" s="46" t="s">
        <v>555</v>
      </c>
      <c r="C530" s="46" t="s">
        <v>169</v>
      </c>
      <c r="D530" s="46" t="s">
        <v>17</v>
      </c>
      <c r="E530" s="46" t="s">
        <v>15</v>
      </c>
      <c r="F530" s="48">
        <v>141.9</v>
      </c>
    </row>
    <row r="531">
      <c r="A531" s="46" t="s">
        <v>169</v>
      </c>
      <c r="B531" s="46" t="s">
        <v>2805</v>
      </c>
      <c r="C531" s="46" t="s">
        <v>169</v>
      </c>
      <c r="D531" s="46" t="s">
        <v>17</v>
      </c>
      <c r="E531" s="46" t="s">
        <v>15</v>
      </c>
      <c r="F531" s="48">
        <v>132.0</v>
      </c>
    </row>
    <row r="532">
      <c r="A532" s="46" t="s">
        <v>779</v>
      </c>
      <c r="B532" s="46" t="s">
        <v>2807</v>
      </c>
      <c r="C532" s="46" t="s">
        <v>2808</v>
      </c>
      <c r="D532" s="46" t="s">
        <v>17</v>
      </c>
      <c r="E532" s="46" t="s">
        <v>15</v>
      </c>
      <c r="F532" s="48">
        <v>120.8</v>
      </c>
    </row>
    <row r="533">
      <c r="A533" s="46" t="s">
        <v>930</v>
      </c>
      <c r="B533" s="46" t="s">
        <v>2817</v>
      </c>
      <c r="C533" s="46" t="s">
        <v>937</v>
      </c>
      <c r="D533" s="46" t="s">
        <v>18</v>
      </c>
      <c r="E533" s="46" t="s">
        <v>15</v>
      </c>
      <c r="F533" s="48">
        <v>126.0</v>
      </c>
    </row>
    <row r="534">
      <c r="A534" s="46" t="s">
        <v>930</v>
      </c>
      <c r="B534" s="46" t="s">
        <v>2819</v>
      </c>
      <c r="C534" s="46" t="s">
        <v>2820</v>
      </c>
      <c r="D534" s="46" t="s">
        <v>18</v>
      </c>
      <c r="E534" s="46" t="s">
        <v>15</v>
      </c>
      <c r="F534" s="48">
        <v>115.5</v>
      </c>
    </row>
    <row r="535">
      <c r="A535" s="46" t="s">
        <v>930</v>
      </c>
      <c r="B535" s="46" t="s">
        <v>2824</v>
      </c>
      <c r="C535" s="46" t="s">
        <v>2825</v>
      </c>
      <c r="D535" s="46" t="s">
        <v>17</v>
      </c>
      <c r="E535" s="46" t="s">
        <v>15</v>
      </c>
      <c r="F535" s="48">
        <v>105.8</v>
      </c>
    </row>
    <row r="536">
      <c r="A536" s="46" t="s">
        <v>930</v>
      </c>
      <c r="B536" s="46" t="s">
        <v>2827</v>
      </c>
      <c r="C536" s="46" t="s">
        <v>937</v>
      </c>
      <c r="D536" s="46" t="s">
        <v>17</v>
      </c>
      <c r="E536" s="46" t="s">
        <v>15</v>
      </c>
      <c r="F536" s="48">
        <v>130.6</v>
      </c>
    </row>
    <row r="537">
      <c r="A537" s="46" t="s">
        <v>930</v>
      </c>
      <c r="B537" s="46" t="s">
        <v>2829</v>
      </c>
      <c r="C537" s="46" t="s">
        <v>937</v>
      </c>
      <c r="D537" s="46" t="s">
        <v>17</v>
      </c>
      <c r="E537" s="46" t="s">
        <v>15</v>
      </c>
      <c r="F537" s="48">
        <v>115.8</v>
      </c>
    </row>
    <row r="538">
      <c r="A538" s="46" t="s">
        <v>930</v>
      </c>
      <c r="B538" s="46" t="s">
        <v>2831</v>
      </c>
      <c r="C538" s="46" t="s">
        <v>2832</v>
      </c>
      <c r="D538" s="46" t="s">
        <v>17</v>
      </c>
      <c r="E538" s="46" t="s">
        <v>15</v>
      </c>
      <c r="F538" s="48">
        <v>138.8</v>
      </c>
    </row>
    <row r="539">
      <c r="A539" s="46" t="s">
        <v>930</v>
      </c>
      <c r="B539" s="46" t="s">
        <v>2834</v>
      </c>
      <c r="C539" s="46" t="s">
        <v>937</v>
      </c>
      <c r="D539" s="46" t="s">
        <v>17</v>
      </c>
      <c r="E539" s="46" t="s">
        <v>15</v>
      </c>
      <c r="F539" s="48">
        <v>108.7</v>
      </c>
    </row>
    <row r="540">
      <c r="A540" s="46" t="s">
        <v>930</v>
      </c>
      <c r="B540" s="46" t="s">
        <v>2839</v>
      </c>
      <c r="C540" s="46" t="s">
        <v>937</v>
      </c>
      <c r="D540" s="46" t="s">
        <v>17</v>
      </c>
      <c r="E540" s="46" t="s">
        <v>15</v>
      </c>
      <c r="F540" s="48">
        <v>117.9</v>
      </c>
    </row>
    <row r="541">
      <c r="A541" s="46" t="s">
        <v>930</v>
      </c>
      <c r="B541" s="46" t="s">
        <v>307</v>
      </c>
      <c r="C541" s="46" t="s">
        <v>960</v>
      </c>
      <c r="D541" s="46" t="s">
        <v>17</v>
      </c>
      <c r="E541" s="46" t="s">
        <v>15</v>
      </c>
      <c r="F541" s="48">
        <v>116.5</v>
      </c>
    </row>
    <row r="542">
      <c r="A542" s="46" t="s">
        <v>930</v>
      </c>
      <c r="B542" s="46" t="s">
        <v>2682</v>
      </c>
      <c r="C542" s="46" t="s">
        <v>966</v>
      </c>
      <c r="D542" s="46" t="s">
        <v>17</v>
      </c>
      <c r="E542" s="46" t="s">
        <v>15</v>
      </c>
      <c r="F542" s="48">
        <v>110.5</v>
      </c>
    </row>
    <row r="543">
      <c r="A543" s="46" t="s">
        <v>354</v>
      </c>
      <c r="B543" s="46" t="s">
        <v>2856</v>
      </c>
      <c r="C543" s="46" t="s">
        <v>2857</v>
      </c>
      <c r="D543" s="46" t="s">
        <v>17</v>
      </c>
      <c r="E543" s="46" t="s">
        <v>15</v>
      </c>
      <c r="F543" s="48">
        <v>111.8</v>
      </c>
    </row>
    <row r="544">
      <c r="A544" s="46" t="s">
        <v>354</v>
      </c>
      <c r="B544" s="46" t="s">
        <v>2862</v>
      </c>
      <c r="C544" s="46" t="s">
        <v>978</v>
      </c>
      <c r="D544" s="46" t="s">
        <v>17</v>
      </c>
      <c r="E544" s="46" t="s">
        <v>15</v>
      </c>
      <c r="F544" s="48">
        <v>131.0</v>
      </c>
    </row>
    <row r="545">
      <c r="A545" s="46" t="s">
        <v>354</v>
      </c>
      <c r="B545" s="46" t="s">
        <v>2864</v>
      </c>
      <c r="C545" s="46" t="s">
        <v>2865</v>
      </c>
      <c r="D545" s="46" t="s">
        <v>17</v>
      </c>
      <c r="E545" s="46" t="s">
        <v>14</v>
      </c>
      <c r="F545" s="48">
        <v>117.9</v>
      </c>
    </row>
    <row r="546">
      <c r="A546" s="46" t="s">
        <v>354</v>
      </c>
      <c r="B546" s="46" t="s">
        <v>2872</v>
      </c>
      <c r="C546" s="46" t="s">
        <v>2873</v>
      </c>
      <c r="D546" s="46" t="s">
        <v>18</v>
      </c>
      <c r="E546" s="46" t="s">
        <v>15</v>
      </c>
      <c r="F546" s="48">
        <v>121.9</v>
      </c>
    </row>
    <row r="547">
      <c r="A547" s="46" t="s">
        <v>354</v>
      </c>
      <c r="B547" s="46" t="s">
        <v>2875</v>
      </c>
      <c r="C547" s="46" t="s">
        <v>2876</v>
      </c>
      <c r="D547" s="46" t="s">
        <v>18</v>
      </c>
      <c r="E547" s="46" t="s">
        <v>14</v>
      </c>
      <c r="F547" s="48">
        <v>104.6</v>
      </c>
    </row>
    <row r="548">
      <c r="A548" s="46" t="s">
        <v>930</v>
      </c>
      <c r="B548" s="46" t="s">
        <v>2878</v>
      </c>
      <c r="C548" s="46" t="s">
        <v>2879</v>
      </c>
      <c r="D548" s="46" t="s">
        <v>18</v>
      </c>
      <c r="E548" s="46" t="s">
        <v>15</v>
      </c>
      <c r="F548" s="48">
        <v>107.1</v>
      </c>
    </row>
    <row r="549">
      <c r="A549" s="46" t="s">
        <v>930</v>
      </c>
      <c r="B549" s="46" t="s">
        <v>2881</v>
      </c>
      <c r="C549" s="46" t="s">
        <v>2882</v>
      </c>
      <c r="D549" s="46" t="s">
        <v>18</v>
      </c>
      <c r="E549" s="46" t="s">
        <v>14</v>
      </c>
      <c r="F549" s="48">
        <v>105.2</v>
      </c>
    </row>
    <row r="550">
      <c r="A550" s="46" t="s">
        <v>930</v>
      </c>
      <c r="B550" s="46" t="s">
        <v>2884</v>
      </c>
      <c r="C550" s="46" t="s">
        <v>2885</v>
      </c>
      <c r="D550" s="46" t="s">
        <v>18</v>
      </c>
      <c r="E550" s="46" t="s">
        <v>15</v>
      </c>
      <c r="F550" s="48">
        <v>112.7</v>
      </c>
    </row>
    <row r="551">
      <c r="A551" s="46" t="s">
        <v>930</v>
      </c>
      <c r="B551" s="46" t="s">
        <v>2802</v>
      </c>
      <c r="C551" s="46" t="s">
        <v>2892</v>
      </c>
      <c r="D551" s="46" t="s">
        <v>17</v>
      </c>
      <c r="E551" s="46" t="s">
        <v>15</v>
      </c>
      <c r="F551" s="48">
        <v>127.3</v>
      </c>
    </row>
    <row r="552">
      <c r="A552" s="46" t="s">
        <v>46</v>
      </c>
      <c r="B552" s="46" t="s">
        <v>2908</v>
      </c>
      <c r="C552" s="46" t="s">
        <v>1036</v>
      </c>
      <c r="D552" s="46" t="s">
        <v>18</v>
      </c>
      <c r="E552" s="46" t="s">
        <v>15</v>
      </c>
      <c r="F552" s="48">
        <v>108.4</v>
      </c>
    </row>
    <row r="553">
      <c r="A553" s="46" t="s">
        <v>46</v>
      </c>
      <c r="B553" s="46" t="s">
        <v>2910</v>
      </c>
      <c r="C553" s="46" t="s">
        <v>1092</v>
      </c>
      <c r="D553" s="46" t="s">
        <v>18</v>
      </c>
      <c r="E553" s="46" t="s">
        <v>15</v>
      </c>
      <c r="F553" s="48">
        <v>119.7</v>
      </c>
    </row>
    <row r="554">
      <c r="A554" s="46" t="s">
        <v>46</v>
      </c>
      <c r="B554" s="46" t="s">
        <v>2915</v>
      </c>
      <c r="C554" s="46" t="s">
        <v>1105</v>
      </c>
      <c r="D554" s="46" t="s">
        <v>18</v>
      </c>
      <c r="E554" s="46" t="s">
        <v>15</v>
      </c>
      <c r="F554" s="48">
        <v>115.2</v>
      </c>
    </row>
    <row r="555">
      <c r="A555" s="46" t="s">
        <v>46</v>
      </c>
      <c r="B555" s="46" t="s">
        <v>2920</v>
      </c>
      <c r="C555" s="46" t="s">
        <v>46</v>
      </c>
      <c r="D555" s="46" t="s">
        <v>18</v>
      </c>
      <c r="E555" s="46" t="s">
        <v>15</v>
      </c>
      <c r="F555" s="48">
        <v>114.3</v>
      </c>
    </row>
    <row r="556">
      <c r="A556" s="46" t="s">
        <v>46</v>
      </c>
      <c r="B556" s="46" t="s">
        <v>2927</v>
      </c>
      <c r="C556" s="46" t="s">
        <v>1072</v>
      </c>
      <c r="D556" s="46" t="s">
        <v>18</v>
      </c>
      <c r="E556" s="46" t="s">
        <v>15</v>
      </c>
      <c r="F556" s="48">
        <v>116.1</v>
      </c>
    </row>
    <row r="557">
      <c r="A557" s="46" t="s">
        <v>46</v>
      </c>
      <c r="B557" s="46" t="s">
        <v>2946</v>
      </c>
      <c r="C557" s="46" t="s">
        <v>46</v>
      </c>
      <c r="D557" s="46" t="s">
        <v>17</v>
      </c>
      <c r="E557" s="46" t="s">
        <v>15</v>
      </c>
      <c r="F557" s="48">
        <v>133.0</v>
      </c>
    </row>
    <row r="558">
      <c r="A558" s="46" t="s">
        <v>46</v>
      </c>
      <c r="B558" s="46" t="s">
        <v>2948</v>
      </c>
      <c r="C558" s="46" t="s">
        <v>46</v>
      </c>
      <c r="D558" s="46" t="s">
        <v>17</v>
      </c>
      <c r="E558" s="46" t="s">
        <v>13</v>
      </c>
      <c r="F558" s="48">
        <v>112.0</v>
      </c>
    </row>
    <row r="559">
      <c r="A559" s="46" t="s">
        <v>46</v>
      </c>
      <c r="B559" s="46" t="s">
        <v>2957</v>
      </c>
      <c r="C559" s="46" t="s">
        <v>1099</v>
      </c>
      <c r="D559" s="46" t="s">
        <v>17</v>
      </c>
      <c r="E559" s="46" t="s">
        <v>15</v>
      </c>
      <c r="F559" s="48">
        <v>126.9</v>
      </c>
    </row>
    <row r="560">
      <c r="A560" s="46" t="s">
        <v>46</v>
      </c>
      <c r="B560" s="46" t="s">
        <v>2959</v>
      </c>
      <c r="C560" s="46" t="s">
        <v>46</v>
      </c>
      <c r="D560" s="46" t="s">
        <v>17</v>
      </c>
      <c r="E560" s="46" t="s">
        <v>15</v>
      </c>
      <c r="F560" s="48">
        <v>136.5</v>
      </c>
    </row>
    <row r="561">
      <c r="A561" s="46" t="s">
        <v>46</v>
      </c>
      <c r="B561" s="46" t="s">
        <v>2961</v>
      </c>
      <c r="C561" s="46" t="s">
        <v>2923</v>
      </c>
      <c r="D561" s="46" t="s">
        <v>17</v>
      </c>
      <c r="E561" s="46" t="s">
        <v>15</v>
      </c>
      <c r="F561" s="48">
        <v>148.8</v>
      </c>
    </row>
    <row r="562">
      <c r="A562" s="46" t="s">
        <v>46</v>
      </c>
      <c r="B562" s="46" t="s">
        <v>2965</v>
      </c>
      <c r="C562" s="46" t="s">
        <v>1059</v>
      </c>
      <c r="D562" s="46" t="s">
        <v>18</v>
      </c>
      <c r="E562" s="46" t="s">
        <v>15</v>
      </c>
      <c r="F562" s="48">
        <v>130.1</v>
      </c>
    </row>
    <row r="563">
      <c r="A563" s="46" t="s">
        <v>46</v>
      </c>
      <c r="B563" s="46" t="s">
        <v>2978</v>
      </c>
      <c r="C563" s="46" t="s">
        <v>2923</v>
      </c>
      <c r="D563" s="46" t="s">
        <v>17</v>
      </c>
      <c r="E563" s="46" t="s">
        <v>15</v>
      </c>
      <c r="F563" s="48">
        <v>155.3</v>
      </c>
    </row>
    <row r="564">
      <c r="A564" s="46" t="s">
        <v>88</v>
      </c>
      <c r="B564" s="46" t="s">
        <v>2993</v>
      </c>
      <c r="C564" s="46" t="s">
        <v>1133</v>
      </c>
      <c r="D564" s="46" t="s">
        <v>17</v>
      </c>
      <c r="E564" s="46" t="s">
        <v>13</v>
      </c>
      <c r="F564" s="48">
        <v>114.5</v>
      </c>
    </row>
    <row r="565">
      <c r="A565" s="46" t="s">
        <v>88</v>
      </c>
      <c r="B565" s="46" t="s">
        <v>2995</v>
      </c>
      <c r="C565" s="46" t="s">
        <v>1130</v>
      </c>
      <c r="D565" s="46" t="s">
        <v>17</v>
      </c>
      <c r="E565" s="46" t="s">
        <v>15</v>
      </c>
      <c r="F565" s="48">
        <v>123.9</v>
      </c>
    </row>
    <row r="566">
      <c r="A566" s="46" t="s">
        <v>88</v>
      </c>
      <c r="B566" s="46" t="s">
        <v>2997</v>
      </c>
      <c r="C566" s="46" t="s">
        <v>1136</v>
      </c>
      <c r="D566" s="46" t="s">
        <v>17</v>
      </c>
      <c r="E566" s="46" t="s">
        <v>15</v>
      </c>
      <c r="F566" s="48">
        <v>136.0</v>
      </c>
    </row>
    <row r="567">
      <c r="A567" s="46" t="s">
        <v>88</v>
      </c>
      <c r="B567" s="46" t="s">
        <v>2999</v>
      </c>
      <c r="C567" s="46" t="s">
        <v>1130</v>
      </c>
      <c r="D567" s="46" t="s">
        <v>18</v>
      </c>
      <c r="E567" s="46" t="s">
        <v>15</v>
      </c>
      <c r="F567" s="48">
        <v>107.2</v>
      </c>
    </row>
    <row r="568">
      <c r="A568" s="46" t="s">
        <v>88</v>
      </c>
      <c r="B568" s="46" t="s">
        <v>3001</v>
      </c>
      <c r="C568" s="46" t="s">
        <v>3002</v>
      </c>
      <c r="D568" s="46" t="s">
        <v>17</v>
      </c>
      <c r="E568" s="46" t="s">
        <v>15</v>
      </c>
      <c r="F568" s="48">
        <v>114.5</v>
      </c>
    </row>
    <row r="569">
      <c r="A569" s="46" t="s">
        <v>88</v>
      </c>
      <c r="B569" s="46" t="s">
        <v>3004</v>
      </c>
      <c r="C569" s="46" t="s">
        <v>1136</v>
      </c>
      <c r="D569" s="46" t="s">
        <v>18</v>
      </c>
      <c r="E569" s="46" t="s">
        <v>14</v>
      </c>
      <c r="F569" s="48">
        <v>106.5</v>
      </c>
    </row>
    <row r="570">
      <c r="A570" s="46" t="s">
        <v>88</v>
      </c>
      <c r="B570" s="46" t="s">
        <v>3009</v>
      </c>
      <c r="C570" s="46" t="s">
        <v>1136</v>
      </c>
      <c r="D570" s="46" t="s">
        <v>17</v>
      </c>
      <c r="E570" s="46" t="s">
        <v>13</v>
      </c>
      <c r="F570" s="48">
        <v>105.7</v>
      </c>
    </row>
    <row r="571">
      <c r="A571" s="46" t="s">
        <v>46</v>
      </c>
      <c r="B571" s="46" t="s">
        <v>3021</v>
      </c>
      <c r="C571" s="46" t="s">
        <v>3022</v>
      </c>
      <c r="D571" s="46" t="s">
        <v>18</v>
      </c>
      <c r="E571" s="46" t="s">
        <v>15</v>
      </c>
      <c r="F571" s="48">
        <v>119.6</v>
      </c>
    </row>
    <row r="572">
      <c r="A572" s="46" t="s">
        <v>46</v>
      </c>
      <c r="B572" s="46" t="s">
        <v>3024</v>
      </c>
      <c r="C572" s="46" t="s">
        <v>3025</v>
      </c>
      <c r="D572" s="46" t="s">
        <v>18</v>
      </c>
      <c r="E572" s="46" t="s">
        <v>15</v>
      </c>
      <c r="F572" s="48">
        <v>104.0</v>
      </c>
    </row>
    <row r="573">
      <c r="A573" s="46" t="s">
        <v>46</v>
      </c>
      <c r="B573" s="46" t="s">
        <v>3050</v>
      </c>
      <c r="C573" s="46" t="s">
        <v>1186</v>
      </c>
      <c r="D573" s="46" t="s">
        <v>18</v>
      </c>
      <c r="E573" s="46" t="s">
        <v>14</v>
      </c>
      <c r="F573" s="48">
        <v>105.3</v>
      </c>
    </row>
    <row r="574">
      <c r="A574" s="46" t="s">
        <v>46</v>
      </c>
      <c r="B574" s="46" t="s">
        <v>3054</v>
      </c>
      <c r="C574" s="46" t="s">
        <v>3055</v>
      </c>
      <c r="D574" s="46" t="s">
        <v>17</v>
      </c>
      <c r="E574" s="46" t="s">
        <v>15</v>
      </c>
      <c r="F574" s="48">
        <v>125.7</v>
      </c>
    </row>
    <row r="575">
      <c r="A575" s="46" t="s">
        <v>46</v>
      </c>
      <c r="B575" s="46" t="s">
        <v>3057</v>
      </c>
      <c r="C575" s="46" t="s">
        <v>1177</v>
      </c>
      <c r="D575" s="46" t="s">
        <v>17</v>
      </c>
      <c r="E575" s="46" t="s">
        <v>15</v>
      </c>
      <c r="F575" s="48">
        <v>123.1</v>
      </c>
    </row>
    <row r="576">
      <c r="A576" s="46" t="s">
        <v>46</v>
      </c>
      <c r="B576" s="46" t="s">
        <v>3066</v>
      </c>
      <c r="C576" s="46" t="s">
        <v>3067</v>
      </c>
      <c r="D576" s="46" t="s">
        <v>18</v>
      </c>
      <c r="E576" s="46" t="s">
        <v>15</v>
      </c>
      <c r="F576" s="48">
        <v>107.9</v>
      </c>
    </row>
    <row r="577">
      <c r="A577" s="46" t="s">
        <v>116</v>
      </c>
      <c r="B577" s="46" t="s">
        <v>3073</v>
      </c>
      <c r="C577" s="46" t="s">
        <v>1199</v>
      </c>
      <c r="D577" s="46" t="s">
        <v>18</v>
      </c>
      <c r="E577" s="46" t="s">
        <v>15</v>
      </c>
      <c r="F577" s="48">
        <v>122.4</v>
      </c>
    </row>
    <row r="578">
      <c r="A578" s="46" t="s">
        <v>116</v>
      </c>
      <c r="B578" s="46" t="s">
        <v>3075</v>
      </c>
      <c r="C578" s="46" t="s">
        <v>1199</v>
      </c>
      <c r="D578" s="46" t="s">
        <v>18</v>
      </c>
      <c r="E578" s="46" t="s">
        <v>14</v>
      </c>
      <c r="F578" s="48">
        <v>108.4</v>
      </c>
    </row>
    <row r="579">
      <c r="A579" s="46" t="s">
        <v>116</v>
      </c>
      <c r="B579" s="46" t="s">
        <v>3083</v>
      </c>
      <c r="C579" s="46" t="s">
        <v>3084</v>
      </c>
      <c r="D579" s="46" t="s">
        <v>17</v>
      </c>
      <c r="E579" s="46" t="s">
        <v>15</v>
      </c>
      <c r="F579" s="48">
        <v>106.7</v>
      </c>
    </row>
    <row r="580">
      <c r="A580" s="46" t="s">
        <v>116</v>
      </c>
      <c r="B580" s="46" t="s">
        <v>3088</v>
      </c>
      <c r="C580" s="46" t="s">
        <v>3089</v>
      </c>
      <c r="D580" s="46" t="s">
        <v>17</v>
      </c>
      <c r="E580" s="46" t="s">
        <v>15</v>
      </c>
      <c r="F580" s="48">
        <v>123.8</v>
      </c>
    </row>
    <row r="581">
      <c r="A581" s="46" t="s">
        <v>116</v>
      </c>
      <c r="B581" s="46" t="s">
        <v>3091</v>
      </c>
      <c r="C581" s="46" t="s">
        <v>1199</v>
      </c>
      <c r="D581" s="46" t="s">
        <v>17</v>
      </c>
      <c r="E581" s="46" t="s">
        <v>15</v>
      </c>
      <c r="F581" s="48">
        <v>127.4</v>
      </c>
    </row>
    <row r="582">
      <c r="A582" s="46" t="s">
        <v>116</v>
      </c>
      <c r="B582" s="46" t="s">
        <v>3095</v>
      </c>
      <c r="C582" s="46" t="s">
        <v>3089</v>
      </c>
      <c r="D582" s="46" t="s">
        <v>18</v>
      </c>
      <c r="E582" s="46" t="s">
        <v>14</v>
      </c>
      <c r="F582" s="48">
        <v>120.9</v>
      </c>
    </row>
    <row r="583">
      <c r="A583" s="46" t="s">
        <v>116</v>
      </c>
      <c r="B583" s="46" t="s">
        <v>1490</v>
      </c>
      <c r="C583" s="46" t="s">
        <v>1199</v>
      </c>
      <c r="D583" s="46" t="s">
        <v>17</v>
      </c>
      <c r="E583" s="46" t="s">
        <v>15</v>
      </c>
      <c r="F583" s="48">
        <v>144.7</v>
      </c>
    </row>
    <row r="584">
      <c r="A584" s="46" t="s">
        <v>377</v>
      </c>
      <c r="B584" s="46" t="s">
        <v>3100</v>
      </c>
      <c r="C584" s="46" t="s">
        <v>1243</v>
      </c>
      <c r="D584" s="46" t="s">
        <v>18</v>
      </c>
      <c r="E584" s="46" t="s">
        <v>15</v>
      </c>
      <c r="F584" s="48">
        <v>126.4</v>
      </c>
    </row>
    <row r="585">
      <c r="A585" s="46" t="s">
        <v>377</v>
      </c>
      <c r="B585" s="46" t="s">
        <v>3105</v>
      </c>
      <c r="C585" s="46" t="s">
        <v>3106</v>
      </c>
      <c r="D585" s="46" t="s">
        <v>18</v>
      </c>
      <c r="E585" s="46" t="s">
        <v>15</v>
      </c>
      <c r="F585" s="48">
        <v>125.4</v>
      </c>
    </row>
    <row r="586">
      <c r="A586" s="46" t="s">
        <v>377</v>
      </c>
      <c r="B586" s="46" t="s">
        <v>3112</v>
      </c>
      <c r="C586" s="46" t="s">
        <v>3113</v>
      </c>
      <c r="D586" s="46" t="s">
        <v>17</v>
      </c>
      <c r="E586" s="46" t="s">
        <v>15</v>
      </c>
      <c r="F586" s="48">
        <v>112.0</v>
      </c>
    </row>
    <row r="587">
      <c r="A587" s="46" t="s">
        <v>377</v>
      </c>
      <c r="B587" s="46" t="s">
        <v>555</v>
      </c>
      <c r="C587" s="46" t="s">
        <v>3106</v>
      </c>
      <c r="D587" s="46" t="s">
        <v>17</v>
      </c>
      <c r="E587" s="46" t="s">
        <v>15</v>
      </c>
      <c r="F587" s="48">
        <v>117.9</v>
      </c>
    </row>
    <row r="588">
      <c r="A588" s="46" t="s">
        <v>377</v>
      </c>
      <c r="B588" s="46" t="s">
        <v>789</v>
      </c>
      <c r="C588" s="46" t="s">
        <v>1225</v>
      </c>
      <c r="D588" s="46" t="s">
        <v>17</v>
      </c>
      <c r="E588" s="46" t="s">
        <v>15</v>
      </c>
      <c r="F588" s="48">
        <v>126.6</v>
      </c>
    </row>
    <row r="589">
      <c r="A589" s="46" t="s">
        <v>377</v>
      </c>
      <c r="B589" s="46" t="s">
        <v>3121</v>
      </c>
      <c r="C589" s="46" t="s">
        <v>1213</v>
      </c>
      <c r="D589" s="46" t="s">
        <v>17</v>
      </c>
      <c r="E589" s="46" t="s">
        <v>15</v>
      </c>
      <c r="F589" s="48">
        <v>113.5</v>
      </c>
    </row>
    <row r="590">
      <c r="A590" s="46" t="s">
        <v>377</v>
      </c>
      <c r="B590" s="46" t="s">
        <v>3125</v>
      </c>
      <c r="C590" s="46" t="s">
        <v>1225</v>
      </c>
      <c r="D590" s="46" t="s">
        <v>18</v>
      </c>
      <c r="E590" s="46" t="s">
        <v>15</v>
      </c>
      <c r="F590" s="48">
        <v>116.9</v>
      </c>
    </row>
    <row r="591">
      <c r="A591" s="46" t="s">
        <v>182</v>
      </c>
      <c r="B591" s="46" t="s">
        <v>272</v>
      </c>
      <c r="C591" s="46" t="s">
        <v>1252</v>
      </c>
      <c r="D591" s="46" t="s">
        <v>17</v>
      </c>
      <c r="E591" s="46" t="s">
        <v>15</v>
      </c>
      <c r="F591" s="48">
        <v>119.1</v>
      </c>
    </row>
    <row r="592">
      <c r="A592" s="46" t="s">
        <v>483</v>
      </c>
      <c r="B592" s="46" t="s">
        <v>3137</v>
      </c>
      <c r="C592" s="46" t="s">
        <v>1258</v>
      </c>
      <c r="D592" s="46" t="s">
        <v>17</v>
      </c>
      <c r="E592" s="46" t="s">
        <v>15</v>
      </c>
      <c r="F592" s="48">
        <v>127.5</v>
      </c>
    </row>
    <row r="593">
      <c r="A593" s="46" t="s">
        <v>483</v>
      </c>
      <c r="B593" s="46" t="s">
        <v>3139</v>
      </c>
      <c r="C593" s="46" t="s">
        <v>3140</v>
      </c>
      <c r="D593" s="46" t="s">
        <v>18</v>
      </c>
      <c r="E593" s="46" t="s">
        <v>14</v>
      </c>
      <c r="F593" s="48">
        <v>105.4</v>
      </c>
    </row>
    <row r="594">
      <c r="A594" s="46" t="s">
        <v>483</v>
      </c>
      <c r="B594" s="46" t="s">
        <v>3142</v>
      </c>
      <c r="C594" s="46" t="s">
        <v>3143</v>
      </c>
      <c r="D594" s="46" t="s">
        <v>17</v>
      </c>
      <c r="E594" s="46" t="s">
        <v>15</v>
      </c>
      <c r="F594" s="48">
        <v>123.6</v>
      </c>
    </row>
    <row r="595">
      <c r="A595" s="46" t="s">
        <v>1259</v>
      </c>
      <c r="B595" s="46" t="s">
        <v>3147</v>
      </c>
      <c r="C595" s="46" t="s">
        <v>3148</v>
      </c>
      <c r="D595" s="46" t="s">
        <v>18</v>
      </c>
      <c r="E595" s="46" t="s">
        <v>14</v>
      </c>
      <c r="F595" s="48">
        <v>105.8</v>
      </c>
    </row>
    <row r="596">
      <c r="A596" s="46" t="s">
        <v>1259</v>
      </c>
      <c r="B596" s="46" t="s">
        <v>3150</v>
      </c>
      <c r="C596" s="46" t="s">
        <v>1259</v>
      </c>
      <c r="D596" s="46" t="s">
        <v>17</v>
      </c>
      <c r="E596" s="46" t="s">
        <v>15</v>
      </c>
      <c r="F596" s="48">
        <v>124.3</v>
      </c>
    </row>
    <row r="597">
      <c r="A597" s="46" t="s">
        <v>1259</v>
      </c>
      <c r="B597" s="46" t="s">
        <v>3152</v>
      </c>
      <c r="C597" s="46" t="s">
        <v>1259</v>
      </c>
      <c r="D597" s="46" t="s">
        <v>17</v>
      </c>
      <c r="E597" s="46" t="s">
        <v>15</v>
      </c>
      <c r="F597" s="48">
        <v>116.8</v>
      </c>
    </row>
    <row r="598">
      <c r="A598" s="46" t="s">
        <v>1259</v>
      </c>
      <c r="B598" s="46" t="s">
        <v>3154</v>
      </c>
      <c r="C598" s="46" t="s">
        <v>3148</v>
      </c>
      <c r="D598" s="46" t="s">
        <v>17</v>
      </c>
      <c r="E598" s="46" t="s">
        <v>13</v>
      </c>
      <c r="F598" s="48">
        <v>111.4</v>
      </c>
    </row>
    <row r="599">
      <c r="A599" s="46" t="s">
        <v>1259</v>
      </c>
      <c r="B599" s="46" t="s">
        <v>3156</v>
      </c>
      <c r="C599" s="46" t="s">
        <v>3157</v>
      </c>
      <c r="D599" s="46" t="s">
        <v>18</v>
      </c>
      <c r="E599" s="46" t="s">
        <v>14</v>
      </c>
      <c r="F599" s="48">
        <v>118.1</v>
      </c>
    </row>
    <row r="600">
      <c r="A600" s="46" t="s">
        <v>1259</v>
      </c>
      <c r="B600" s="46" t="s">
        <v>3162</v>
      </c>
      <c r="C600" s="46" t="s">
        <v>3163</v>
      </c>
      <c r="D600" s="46" t="s">
        <v>18</v>
      </c>
      <c r="E600" s="46" t="s">
        <v>14</v>
      </c>
      <c r="F600" s="48">
        <v>109.6</v>
      </c>
    </row>
    <row r="601">
      <c r="A601" s="46" t="s">
        <v>1259</v>
      </c>
      <c r="B601" s="46" t="s">
        <v>2540</v>
      </c>
      <c r="C601" s="46" t="s">
        <v>2060</v>
      </c>
      <c r="D601" s="46" t="s">
        <v>18</v>
      </c>
      <c r="E601" s="46" t="s">
        <v>14</v>
      </c>
      <c r="F601" s="48">
        <v>105.0</v>
      </c>
    </row>
    <row r="602">
      <c r="A602" s="46" t="s">
        <v>1259</v>
      </c>
      <c r="B602" s="46" t="s">
        <v>3175</v>
      </c>
      <c r="C602" s="46" t="s">
        <v>1292</v>
      </c>
      <c r="D602" s="46" t="s">
        <v>17</v>
      </c>
      <c r="E602" s="46" t="s">
        <v>15</v>
      </c>
      <c r="F602" s="48">
        <v>111.3</v>
      </c>
    </row>
    <row r="603">
      <c r="A603" s="46" t="s">
        <v>71</v>
      </c>
      <c r="B603" s="46" t="s">
        <v>3180</v>
      </c>
      <c r="C603" s="46" t="s">
        <v>3181</v>
      </c>
      <c r="D603" s="46" t="s">
        <v>18</v>
      </c>
      <c r="E603" s="46" t="s">
        <v>15</v>
      </c>
      <c r="F603" s="48">
        <v>129.1</v>
      </c>
    </row>
    <row r="604">
      <c r="A604" s="46" t="s">
        <v>71</v>
      </c>
      <c r="B604" s="46" t="s">
        <v>3183</v>
      </c>
      <c r="C604" s="46" t="s">
        <v>1340</v>
      </c>
      <c r="D604" s="46" t="s">
        <v>18</v>
      </c>
      <c r="E604" s="46" t="s">
        <v>15</v>
      </c>
      <c r="F604" s="48">
        <v>131.8</v>
      </c>
    </row>
    <row r="605">
      <c r="A605" s="46" t="s">
        <v>71</v>
      </c>
      <c r="B605" s="46" t="s">
        <v>3185</v>
      </c>
      <c r="C605" s="46" t="s">
        <v>1350</v>
      </c>
      <c r="D605" s="46" t="s">
        <v>18</v>
      </c>
      <c r="E605" s="46" t="s">
        <v>15</v>
      </c>
      <c r="F605" s="48">
        <v>105.6</v>
      </c>
    </row>
    <row r="606">
      <c r="A606" s="46" t="s">
        <v>71</v>
      </c>
      <c r="B606" s="46" t="s">
        <v>3191</v>
      </c>
      <c r="C606" s="46" t="s">
        <v>1373</v>
      </c>
      <c r="D606" s="46" t="s">
        <v>18</v>
      </c>
      <c r="E606" s="46" t="s">
        <v>14</v>
      </c>
      <c r="F606" s="48">
        <v>109.4</v>
      </c>
    </row>
    <row r="607">
      <c r="A607" s="46" t="s">
        <v>71</v>
      </c>
      <c r="B607" s="46" t="s">
        <v>3202</v>
      </c>
      <c r="C607" s="46" t="s">
        <v>1328</v>
      </c>
      <c r="D607" s="46" t="s">
        <v>17</v>
      </c>
      <c r="E607" s="46" t="s">
        <v>15</v>
      </c>
      <c r="F607" s="48">
        <v>117.5</v>
      </c>
    </row>
    <row r="608">
      <c r="A608" s="46" t="s">
        <v>71</v>
      </c>
      <c r="B608" s="46" t="s">
        <v>3204</v>
      </c>
      <c r="C608" s="46" t="s">
        <v>3205</v>
      </c>
      <c r="D608" s="46" t="s">
        <v>17</v>
      </c>
      <c r="E608" s="46" t="s">
        <v>15</v>
      </c>
      <c r="F608" s="48">
        <v>145.2</v>
      </c>
    </row>
    <row r="609">
      <c r="A609" s="46" t="s">
        <v>71</v>
      </c>
      <c r="B609" s="46" t="s">
        <v>3207</v>
      </c>
      <c r="C609" s="46" t="s">
        <v>1356</v>
      </c>
      <c r="D609" s="46" t="s">
        <v>17</v>
      </c>
      <c r="E609" s="46" t="s">
        <v>15</v>
      </c>
      <c r="F609" s="48">
        <v>130.0</v>
      </c>
    </row>
    <row r="610">
      <c r="A610" s="46" t="s">
        <v>71</v>
      </c>
      <c r="B610" s="46" t="s">
        <v>3209</v>
      </c>
      <c r="C610" s="46" t="s">
        <v>1337</v>
      </c>
      <c r="D610" s="46" t="s">
        <v>17</v>
      </c>
      <c r="E610" s="46" t="s">
        <v>15</v>
      </c>
      <c r="F610" s="48">
        <v>128.7</v>
      </c>
    </row>
    <row r="611">
      <c r="A611" s="46" t="s">
        <v>71</v>
      </c>
      <c r="B611" s="46" t="s">
        <v>3224</v>
      </c>
      <c r="C611" s="46" t="s">
        <v>3181</v>
      </c>
      <c r="D611" s="46" t="s">
        <v>17</v>
      </c>
      <c r="E611" s="46" t="s">
        <v>13</v>
      </c>
      <c r="F611" s="48">
        <v>107.3</v>
      </c>
    </row>
    <row r="612">
      <c r="A612" s="46" t="s">
        <v>71</v>
      </c>
      <c r="B612" s="46" t="s">
        <v>3066</v>
      </c>
      <c r="C612" s="46" t="s">
        <v>3226</v>
      </c>
      <c r="D612" s="46" t="s">
        <v>18</v>
      </c>
      <c r="E612" s="46" t="s">
        <v>15</v>
      </c>
      <c r="F612" s="48">
        <v>134.6</v>
      </c>
    </row>
    <row r="613">
      <c r="A613" s="46" t="s">
        <v>71</v>
      </c>
      <c r="B613" s="46" t="s">
        <v>3228</v>
      </c>
      <c r="C613" s="46" t="s">
        <v>1328</v>
      </c>
      <c r="D613" s="46" t="s">
        <v>17</v>
      </c>
      <c r="E613" s="46" t="s">
        <v>15</v>
      </c>
      <c r="F613" s="48">
        <v>124.3</v>
      </c>
    </row>
    <row r="614">
      <c r="A614" s="46" t="s">
        <v>71</v>
      </c>
      <c r="B614" s="46" t="s">
        <v>3230</v>
      </c>
      <c r="C614" s="46" t="s">
        <v>1331</v>
      </c>
      <c r="D614" s="46" t="s">
        <v>17</v>
      </c>
      <c r="E614" s="46" t="s">
        <v>14</v>
      </c>
      <c r="F614" s="48">
        <v>121.2</v>
      </c>
    </row>
    <row r="615">
      <c r="A615" s="46" t="s">
        <v>71</v>
      </c>
      <c r="B615" s="46" t="s">
        <v>3232</v>
      </c>
      <c r="C615" s="46" t="s">
        <v>1337</v>
      </c>
      <c r="D615" s="46" t="s">
        <v>17</v>
      </c>
      <c r="E615" s="46" t="s">
        <v>15</v>
      </c>
      <c r="F615" s="48">
        <v>119.8</v>
      </c>
    </row>
    <row r="616">
      <c r="A616" s="46" t="s">
        <v>71</v>
      </c>
      <c r="B616" s="46" t="s">
        <v>694</v>
      </c>
      <c r="C616" s="46" t="s">
        <v>3214</v>
      </c>
      <c r="D616" s="46" t="s">
        <v>17</v>
      </c>
      <c r="E616" s="46" t="s">
        <v>15</v>
      </c>
      <c r="F616" s="48">
        <v>114.0</v>
      </c>
    </row>
    <row r="617">
      <c r="A617" s="46" t="s">
        <v>71</v>
      </c>
      <c r="B617" s="46" t="s">
        <v>3235</v>
      </c>
      <c r="C617" s="46" t="s">
        <v>1353</v>
      </c>
      <c r="D617" s="46" t="s">
        <v>18</v>
      </c>
      <c r="E617" s="46" t="s">
        <v>15</v>
      </c>
      <c r="F617" s="48">
        <v>113.2</v>
      </c>
    </row>
    <row r="618">
      <c r="A618" s="46" t="s">
        <v>333</v>
      </c>
      <c r="B618" s="46" t="s">
        <v>3240</v>
      </c>
      <c r="C618" s="46" t="s">
        <v>3241</v>
      </c>
      <c r="D618" s="46" t="s">
        <v>18</v>
      </c>
      <c r="E618" s="46" t="s">
        <v>14</v>
      </c>
      <c r="F618" s="48">
        <v>106.9</v>
      </c>
    </row>
    <row r="619">
      <c r="A619" s="46" t="s">
        <v>333</v>
      </c>
      <c r="B619" s="46" t="s">
        <v>210</v>
      </c>
      <c r="C619" s="46" t="s">
        <v>3247</v>
      </c>
      <c r="D619" s="46" t="s">
        <v>17</v>
      </c>
      <c r="E619" s="46" t="s">
        <v>15</v>
      </c>
      <c r="F619" s="48">
        <v>116.3</v>
      </c>
    </row>
    <row r="620">
      <c r="A620" s="46" t="s">
        <v>333</v>
      </c>
      <c r="B620" s="46" t="s">
        <v>3250</v>
      </c>
      <c r="C620" s="46" t="s">
        <v>3251</v>
      </c>
      <c r="D620" s="46" t="s">
        <v>17</v>
      </c>
      <c r="E620" s="46" t="s">
        <v>14</v>
      </c>
      <c r="F620" s="48">
        <v>119.7</v>
      </c>
    </row>
    <row r="621">
      <c r="A621" s="46" t="s">
        <v>779</v>
      </c>
      <c r="B621" s="46" t="s">
        <v>3261</v>
      </c>
      <c r="C621" s="46" t="s">
        <v>3262</v>
      </c>
      <c r="D621" s="46" t="s">
        <v>18</v>
      </c>
      <c r="E621" s="46" t="s">
        <v>14</v>
      </c>
      <c r="F621" s="48">
        <v>104.3</v>
      </c>
    </row>
    <row r="622">
      <c r="A622" s="46" t="s">
        <v>779</v>
      </c>
      <c r="B622" s="46" t="s">
        <v>568</v>
      </c>
      <c r="C622" s="46" t="s">
        <v>1403</v>
      </c>
      <c r="D622" s="46" t="s">
        <v>18</v>
      </c>
      <c r="E622" s="46" t="s">
        <v>15</v>
      </c>
      <c r="F622" s="48">
        <v>129.0</v>
      </c>
    </row>
    <row r="623">
      <c r="A623" s="46" t="s">
        <v>779</v>
      </c>
      <c r="B623" s="46" t="s">
        <v>3271</v>
      </c>
      <c r="C623" s="46" t="s">
        <v>3272</v>
      </c>
      <c r="D623" s="46" t="s">
        <v>18</v>
      </c>
      <c r="E623" s="46" t="s">
        <v>15</v>
      </c>
      <c r="F623" s="48">
        <v>112.3</v>
      </c>
    </row>
    <row r="624">
      <c r="A624" s="46" t="s">
        <v>779</v>
      </c>
      <c r="B624" s="46" t="s">
        <v>1617</v>
      </c>
      <c r="C624" s="46" t="s">
        <v>1403</v>
      </c>
      <c r="D624" s="46" t="s">
        <v>17</v>
      </c>
      <c r="E624" s="46" t="s">
        <v>15</v>
      </c>
      <c r="F624" s="48">
        <v>123.9</v>
      </c>
    </row>
    <row r="625">
      <c r="A625" s="46" t="s">
        <v>779</v>
      </c>
      <c r="B625" s="46" t="s">
        <v>3275</v>
      </c>
      <c r="C625" s="46" t="s">
        <v>3269</v>
      </c>
      <c r="D625" s="46" t="s">
        <v>17</v>
      </c>
      <c r="E625" s="46" t="s">
        <v>14</v>
      </c>
      <c r="F625" s="48">
        <v>105.7</v>
      </c>
    </row>
    <row r="626">
      <c r="A626" s="46" t="s">
        <v>779</v>
      </c>
      <c r="B626" s="46" t="s">
        <v>3280</v>
      </c>
      <c r="C626" s="46" t="s">
        <v>1403</v>
      </c>
      <c r="D626" s="46" t="s">
        <v>17</v>
      </c>
      <c r="E626" s="46" t="s">
        <v>14</v>
      </c>
      <c r="F626" s="48">
        <v>106.9</v>
      </c>
    </row>
    <row r="627">
      <c r="A627" s="46" t="s">
        <v>161</v>
      </c>
      <c r="B627" s="46" t="s">
        <v>3282</v>
      </c>
      <c r="C627" s="46" t="s">
        <v>1413</v>
      </c>
      <c r="D627" s="46" t="s">
        <v>18</v>
      </c>
      <c r="E627" s="46" t="s">
        <v>14</v>
      </c>
      <c r="F627" s="48">
        <v>117.0</v>
      </c>
    </row>
    <row r="628">
      <c r="A628" s="46" t="s">
        <v>161</v>
      </c>
      <c r="B628" s="46" t="s">
        <v>3287</v>
      </c>
      <c r="C628" s="46" t="s">
        <v>3288</v>
      </c>
      <c r="D628" s="46" t="s">
        <v>18</v>
      </c>
      <c r="E628" s="46" t="s">
        <v>14</v>
      </c>
      <c r="F628" s="48">
        <v>113.0</v>
      </c>
    </row>
    <row r="629">
      <c r="A629" s="46" t="s">
        <v>161</v>
      </c>
      <c r="B629" s="46" t="s">
        <v>3293</v>
      </c>
      <c r="C629" s="46" t="s">
        <v>3291</v>
      </c>
      <c r="D629" s="46" t="s">
        <v>18</v>
      </c>
      <c r="E629" s="46" t="s">
        <v>15</v>
      </c>
      <c r="F629" s="48">
        <v>123.8</v>
      </c>
    </row>
    <row r="630">
      <c r="A630" s="46" t="s">
        <v>161</v>
      </c>
      <c r="B630" s="46" t="s">
        <v>3308</v>
      </c>
      <c r="C630" s="46" t="s">
        <v>3309</v>
      </c>
      <c r="D630" s="46" t="s">
        <v>17</v>
      </c>
      <c r="E630" s="46" t="s">
        <v>15</v>
      </c>
      <c r="F630" s="48">
        <v>137.0</v>
      </c>
    </row>
    <row r="631">
      <c r="A631" s="46" t="s">
        <v>161</v>
      </c>
      <c r="B631" s="46" t="s">
        <v>3312</v>
      </c>
      <c r="C631" s="46" t="s">
        <v>3301</v>
      </c>
      <c r="D631" s="46" t="s">
        <v>18</v>
      </c>
      <c r="E631" s="46" t="s">
        <v>15</v>
      </c>
      <c r="F631" s="48">
        <v>120.3</v>
      </c>
    </row>
    <row r="632">
      <c r="A632" s="46" t="s">
        <v>1441</v>
      </c>
      <c r="B632" s="46" t="s">
        <v>3314</v>
      </c>
      <c r="C632" s="46" t="s">
        <v>1474</v>
      </c>
      <c r="D632" s="46" t="s">
        <v>18</v>
      </c>
      <c r="E632" s="46" t="s">
        <v>15</v>
      </c>
      <c r="F632" s="48">
        <v>125.6</v>
      </c>
    </row>
    <row r="633">
      <c r="A633" s="46" t="s">
        <v>1441</v>
      </c>
      <c r="B633" s="46" t="s">
        <v>3318</v>
      </c>
      <c r="C633" s="46" t="s">
        <v>1446</v>
      </c>
      <c r="D633" s="46" t="s">
        <v>18</v>
      </c>
      <c r="E633" s="46" t="s">
        <v>15</v>
      </c>
      <c r="F633" s="48">
        <v>132.7</v>
      </c>
    </row>
    <row r="634">
      <c r="A634" s="46" t="s">
        <v>1441</v>
      </c>
      <c r="B634" s="46" t="s">
        <v>3320</v>
      </c>
      <c r="C634" s="46" t="s">
        <v>1444</v>
      </c>
      <c r="D634" s="46" t="s">
        <v>18</v>
      </c>
      <c r="E634" s="46" t="s">
        <v>15</v>
      </c>
      <c r="F634" s="48">
        <v>145.9</v>
      </c>
    </row>
    <row r="635">
      <c r="A635" s="46" t="s">
        <v>1441</v>
      </c>
      <c r="B635" s="46" t="s">
        <v>3324</v>
      </c>
      <c r="C635" s="46" t="s">
        <v>1498</v>
      </c>
      <c r="D635" s="46" t="s">
        <v>18</v>
      </c>
      <c r="E635" s="46" t="s">
        <v>15</v>
      </c>
      <c r="F635" s="48">
        <v>105.6</v>
      </c>
    </row>
    <row r="636">
      <c r="A636" s="46" t="s">
        <v>1441</v>
      </c>
      <c r="B636" s="46" t="s">
        <v>3326</v>
      </c>
      <c r="C636" s="46" t="s">
        <v>1498</v>
      </c>
      <c r="D636" s="46" t="s">
        <v>18</v>
      </c>
      <c r="E636" s="46" t="s">
        <v>14</v>
      </c>
      <c r="F636" s="48">
        <v>138.5</v>
      </c>
    </row>
    <row r="637">
      <c r="A637" s="46" t="s">
        <v>1441</v>
      </c>
      <c r="B637" s="46" t="s">
        <v>3328</v>
      </c>
      <c r="C637" s="46" t="s">
        <v>1477</v>
      </c>
      <c r="D637" s="46" t="s">
        <v>18</v>
      </c>
      <c r="E637" s="46" t="s">
        <v>15</v>
      </c>
      <c r="F637" s="48">
        <v>120.2</v>
      </c>
    </row>
    <row r="638">
      <c r="A638" s="46" t="s">
        <v>1441</v>
      </c>
      <c r="B638" s="46" t="s">
        <v>3330</v>
      </c>
      <c r="C638" s="46" t="s">
        <v>3331</v>
      </c>
      <c r="D638" s="46" t="s">
        <v>18</v>
      </c>
      <c r="E638" s="46" t="s">
        <v>15</v>
      </c>
      <c r="F638" s="48">
        <v>118.8</v>
      </c>
    </row>
    <row r="639">
      <c r="A639" s="46" t="s">
        <v>1441</v>
      </c>
      <c r="B639" s="46" t="s">
        <v>3335</v>
      </c>
      <c r="C639" s="46" t="s">
        <v>1501</v>
      </c>
      <c r="D639" s="46" t="s">
        <v>18</v>
      </c>
      <c r="E639" s="46" t="s">
        <v>15</v>
      </c>
      <c r="F639" s="48">
        <v>129.8</v>
      </c>
    </row>
    <row r="640">
      <c r="A640" s="46" t="s">
        <v>1441</v>
      </c>
      <c r="B640" s="46" t="s">
        <v>3343</v>
      </c>
      <c r="C640" s="46" t="s">
        <v>1466</v>
      </c>
      <c r="D640" s="46" t="s">
        <v>18</v>
      </c>
      <c r="E640" s="46" t="s">
        <v>15</v>
      </c>
      <c r="F640" s="48">
        <v>129.8</v>
      </c>
    </row>
    <row r="641">
      <c r="A641" s="46" t="s">
        <v>1441</v>
      </c>
      <c r="B641" s="46" t="s">
        <v>3345</v>
      </c>
      <c r="C641" s="46" t="s">
        <v>1488</v>
      </c>
      <c r="D641" s="46" t="s">
        <v>18</v>
      </c>
      <c r="E641" s="46" t="s">
        <v>15</v>
      </c>
      <c r="F641" s="48">
        <v>129.9</v>
      </c>
    </row>
    <row r="642">
      <c r="A642" s="46" t="s">
        <v>1441</v>
      </c>
      <c r="B642" s="46" t="s">
        <v>3354</v>
      </c>
      <c r="C642" s="46" t="s">
        <v>1495</v>
      </c>
      <c r="D642" s="46" t="s">
        <v>17</v>
      </c>
      <c r="E642" s="46" t="s">
        <v>15</v>
      </c>
      <c r="F642" s="48">
        <v>145.8</v>
      </c>
    </row>
    <row r="643">
      <c r="A643" s="46" t="s">
        <v>1441</v>
      </c>
      <c r="B643" s="46" t="s">
        <v>3356</v>
      </c>
      <c r="C643" s="46" t="s">
        <v>1446</v>
      </c>
      <c r="D643" s="46" t="s">
        <v>17</v>
      </c>
      <c r="E643" s="46" t="s">
        <v>15</v>
      </c>
      <c r="F643" s="48">
        <v>140.4</v>
      </c>
    </row>
    <row r="644">
      <c r="A644" s="46" t="s">
        <v>1441</v>
      </c>
      <c r="B644" s="46" t="s">
        <v>3358</v>
      </c>
      <c r="C644" s="46" t="s">
        <v>1449</v>
      </c>
      <c r="D644" s="46" t="s">
        <v>17</v>
      </c>
      <c r="E644" s="46" t="s">
        <v>15</v>
      </c>
      <c r="F644" s="48">
        <v>153.2</v>
      </c>
    </row>
    <row r="645">
      <c r="A645" s="46" t="s">
        <v>1441</v>
      </c>
      <c r="B645" s="46" t="s">
        <v>3360</v>
      </c>
      <c r="C645" s="46" t="s">
        <v>1449</v>
      </c>
      <c r="D645" s="46" t="s">
        <v>17</v>
      </c>
      <c r="E645" s="46" t="s">
        <v>15</v>
      </c>
      <c r="F645" s="48">
        <v>147.8</v>
      </c>
    </row>
    <row r="646">
      <c r="A646" s="46" t="s">
        <v>1441</v>
      </c>
      <c r="B646" s="46" t="s">
        <v>2726</v>
      </c>
      <c r="C646" s="46" t="s">
        <v>3362</v>
      </c>
      <c r="D646" s="46" t="s">
        <v>17</v>
      </c>
      <c r="E646" s="46" t="s">
        <v>15</v>
      </c>
      <c r="F646" s="48">
        <v>138.7</v>
      </c>
    </row>
    <row r="647">
      <c r="A647" s="46" t="s">
        <v>1441</v>
      </c>
      <c r="B647" s="46" t="s">
        <v>3364</v>
      </c>
      <c r="C647" s="46" t="s">
        <v>1501</v>
      </c>
      <c r="D647" s="46" t="s">
        <v>17</v>
      </c>
      <c r="E647" s="46" t="s">
        <v>15</v>
      </c>
      <c r="F647" s="48">
        <v>138.4</v>
      </c>
    </row>
    <row r="648">
      <c r="A648" s="46" t="s">
        <v>1441</v>
      </c>
      <c r="B648" s="46" t="s">
        <v>3366</v>
      </c>
      <c r="C648" s="46" t="s">
        <v>1466</v>
      </c>
      <c r="D648" s="46" t="s">
        <v>17</v>
      </c>
      <c r="E648" s="46" t="s">
        <v>15</v>
      </c>
      <c r="F648" s="48">
        <v>149.5</v>
      </c>
    </row>
    <row r="649">
      <c r="A649" s="46" t="s">
        <v>1441</v>
      </c>
      <c r="B649" s="46" t="s">
        <v>3368</v>
      </c>
      <c r="C649" s="46" t="s">
        <v>1466</v>
      </c>
      <c r="D649" s="46" t="s">
        <v>17</v>
      </c>
      <c r="E649" s="46" t="s">
        <v>15</v>
      </c>
      <c r="F649" s="48">
        <v>145.9</v>
      </c>
    </row>
    <row r="650">
      <c r="A650" s="46" t="s">
        <v>1441</v>
      </c>
      <c r="B650" s="46" t="s">
        <v>3370</v>
      </c>
      <c r="C650" s="46" t="s">
        <v>1495</v>
      </c>
      <c r="D650" s="46" t="s">
        <v>17</v>
      </c>
      <c r="E650" s="46" t="s">
        <v>14</v>
      </c>
      <c r="F650" s="48">
        <v>123.0</v>
      </c>
    </row>
    <row r="651">
      <c r="A651" s="46" t="s">
        <v>1441</v>
      </c>
      <c r="B651" s="46" t="s">
        <v>3372</v>
      </c>
      <c r="C651" s="46" t="s">
        <v>1449</v>
      </c>
      <c r="D651" s="46" t="s">
        <v>17</v>
      </c>
      <c r="E651" s="46" t="s">
        <v>14</v>
      </c>
      <c r="F651" s="48">
        <v>120.0</v>
      </c>
    </row>
    <row r="652">
      <c r="A652" s="46" t="s">
        <v>1441</v>
      </c>
      <c r="B652" s="46" t="s">
        <v>3376</v>
      </c>
      <c r="C652" s="46" t="s">
        <v>1471</v>
      </c>
      <c r="D652" s="46" t="s">
        <v>18</v>
      </c>
      <c r="E652" s="46" t="s">
        <v>15</v>
      </c>
      <c r="F652" s="48">
        <v>146.0</v>
      </c>
    </row>
    <row r="653">
      <c r="A653" s="46" t="s">
        <v>1441</v>
      </c>
      <c r="B653" s="46" t="s">
        <v>3378</v>
      </c>
      <c r="C653" s="46" t="s">
        <v>1477</v>
      </c>
      <c r="D653" s="46" t="s">
        <v>17</v>
      </c>
      <c r="E653" s="46" t="s">
        <v>14</v>
      </c>
      <c r="F653" s="48">
        <v>122.5</v>
      </c>
    </row>
    <row r="654">
      <c r="A654" s="46" t="s">
        <v>1441</v>
      </c>
      <c r="B654" s="46" t="s">
        <v>3380</v>
      </c>
      <c r="C654" s="46" t="s">
        <v>1471</v>
      </c>
      <c r="D654" s="46" t="s">
        <v>17</v>
      </c>
      <c r="E654" s="46" t="s">
        <v>15</v>
      </c>
      <c r="F654" s="48">
        <v>130.0</v>
      </c>
    </row>
    <row r="655">
      <c r="A655" s="46" t="s">
        <v>269</v>
      </c>
      <c r="B655" s="46" t="s">
        <v>3386</v>
      </c>
      <c r="C655" s="46" t="s">
        <v>1515</v>
      </c>
      <c r="D655" s="46" t="s">
        <v>18</v>
      </c>
      <c r="E655" s="46" t="s">
        <v>15</v>
      </c>
      <c r="F655" s="48">
        <v>117.7</v>
      </c>
    </row>
    <row r="656">
      <c r="A656" s="46" t="s">
        <v>269</v>
      </c>
      <c r="B656" s="46" t="s">
        <v>3390</v>
      </c>
      <c r="C656" s="46" t="s">
        <v>1534</v>
      </c>
      <c r="D656" s="46" t="s">
        <v>18</v>
      </c>
      <c r="E656" s="46" t="s">
        <v>15</v>
      </c>
      <c r="F656" s="48">
        <v>119.2</v>
      </c>
    </row>
    <row r="657">
      <c r="A657" s="46" t="s">
        <v>269</v>
      </c>
      <c r="B657" s="46" t="s">
        <v>3392</v>
      </c>
      <c r="C657" s="46" t="s">
        <v>3393</v>
      </c>
      <c r="D657" s="46" t="s">
        <v>18</v>
      </c>
      <c r="E657" s="46" t="s">
        <v>15</v>
      </c>
      <c r="F657" s="48">
        <v>106.5</v>
      </c>
    </row>
    <row r="658">
      <c r="A658" s="46" t="s">
        <v>269</v>
      </c>
      <c r="B658" s="46" t="s">
        <v>3401</v>
      </c>
      <c r="C658" s="46" t="s">
        <v>1509</v>
      </c>
      <c r="D658" s="46" t="s">
        <v>17</v>
      </c>
      <c r="E658" s="46" t="s">
        <v>15</v>
      </c>
      <c r="F658" s="48">
        <v>122.5</v>
      </c>
    </row>
    <row r="659">
      <c r="A659" s="46" t="s">
        <v>269</v>
      </c>
      <c r="B659" s="46" t="s">
        <v>3405</v>
      </c>
      <c r="C659" s="46" t="s">
        <v>3406</v>
      </c>
      <c r="D659" s="46" t="s">
        <v>18</v>
      </c>
      <c r="E659" s="46" t="s">
        <v>14</v>
      </c>
      <c r="F659" s="48">
        <v>106.6</v>
      </c>
    </row>
    <row r="660">
      <c r="A660" s="46" t="s">
        <v>269</v>
      </c>
      <c r="B660" s="46" t="s">
        <v>3410</v>
      </c>
      <c r="C660" s="46" t="s">
        <v>3411</v>
      </c>
      <c r="D660" s="46" t="s">
        <v>18</v>
      </c>
      <c r="E660" s="46" t="s">
        <v>15</v>
      </c>
      <c r="F660" s="48">
        <v>109.7</v>
      </c>
    </row>
    <row r="661">
      <c r="A661" s="46" t="s">
        <v>1545</v>
      </c>
      <c r="B661" s="46" t="s">
        <v>3416</v>
      </c>
      <c r="C661" s="46" t="s">
        <v>1555</v>
      </c>
      <c r="D661" s="46" t="s">
        <v>18</v>
      </c>
      <c r="E661" s="46" t="s">
        <v>15</v>
      </c>
      <c r="F661" s="48">
        <v>129.8</v>
      </c>
    </row>
    <row r="662">
      <c r="A662" s="46" t="s">
        <v>1545</v>
      </c>
      <c r="B662" s="46" t="s">
        <v>3418</v>
      </c>
      <c r="C662" s="46" t="s">
        <v>1555</v>
      </c>
      <c r="D662" s="46" t="s">
        <v>18</v>
      </c>
      <c r="E662" s="46" t="s">
        <v>15</v>
      </c>
      <c r="F662" s="48">
        <v>137.8</v>
      </c>
    </row>
    <row r="663">
      <c r="A663" s="46" t="s">
        <v>1545</v>
      </c>
      <c r="B663" s="46" t="s">
        <v>3429</v>
      </c>
      <c r="C663" s="46" t="s">
        <v>1558</v>
      </c>
      <c r="D663" s="46" t="s">
        <v>17</v>
      </c>
      <c r="E663" s="46" t="s">
        <v>13</v>
      </c>
      <c r="F663" s="48">
        <v>104.0</v>
      </c>
    </row>
    <row r="664">
      <c r="A664" s="46" t="s">
        <v>1545</v>
      </c>
      <c r="B664" s="46" t="s">
        <v>3431</v>
      </c>
      <c r="C664" s="46" t="s">
        <v>3432</v>
      </c>
      <c r="D664" s="46" t="s">
        <v>18</v>
      </c>
      <c r="E664" s="46" t="s">
        <v>14</v>
      </c>
      <c r="F664" s="48">
        <v>107.8</v>
      </c>
    </row>
    <row r="665">
      <c r="A665" s="46" t="s">
        <v>1545</v>
      </c>
      <c r="B665" s="46" t="s">
        <v>814</v>
      </c>
      <c r="C665" s="46" t="s">
        <v>3434</v>
      </c>
      <c r="D665" s="46" t="s">
        <v>18</v>
      </c>
      <c r="E665" s="46" t="s">
        <v>15</v>
      </c>
      <c r="F665" s="48">
        <v>114.1</v>
      </c>
    </row>
    <row r="666">
      <c r="A666" s="46" t="s">
        <v>1545</v>
      </c>
      <c r="B666" s="46" t="s">
        <v>3442</v>
      </c>
      <c r="C666" s="46" t="s">
        <v>3443</v>
      </c>
      <c r="D666" s="46" t="s">
        <v>18</v>
      </c>
      <c r="E666" s="46" t="s">
        <v>14</v>
      </c>
      <c r="F666" s="48">
        <v>109.4</v>
      </c>
    </row>
    <row r="667">
      <c r="A667" s="46" t="s">
        <v>1545</v>
      </c>
      <c r="B667" s="46" t="s">
        <v>3445</v>
      </c>
      <c r="C667" s="46" t="s">
        <v>3446</v>
      </c>
      <c r="D667" s="46" t="s">
        <v>17</v>
      </c>
      <c r="E667" s="46" t="s">
        <v>15</v>
      </c>
      <c r="F667" s="48">
        <v>125.5</v>
      </c>
    </row>
    <row r="668">
      <c r="A668" s="46" t="s">
        <v>1545</v>
      </c>
      <c r="B668" s="46" t="s">
        <v>3448</v>
      </c>
      <c r="C668" s="46" t="s">
        <v>3449</v>
      </c>
      <c r="D668" s="46" t="s">
        <v>17</v>
      </c>
      <c r="E668" s="46" t="s">
        <v>15</v>
      </c>
      <c r="F668" s="48">
        <v>118.4</v>
      </c>
    </row>
    <row r="669">
      <c r="A669" s="46" t="s">
        <v>1579</v>
      </c>
      <c r="B669" s="46" t="s">
        <v>3454</v>
      </c>
      <c r="C669" s="46" t="s">
        <v>3455</v>
      </c>
      <c r="D669" s="46" t="s">
        <v>18</v>
      </c>
      <c r="E669" s="46" t="s">
        <v>15</v>
      </c>
      <c r="F669" s="48">
        <v>121.0</v>
      </c>
    </row>
    <row r="670">
      <c r="A670" s="46" t="s">
        <v>1579</v>
      </c>
      <c r="B670" s="46" t="s">
        <v>473</v>
      </c>
      <c r="C670" s="46" t="s">
        <v>3457</v>
      </c>
      <c r="D670" s="46" t="s">
        <v>17</v>
      </c>
      <c r="E670" s="46" t="s">
        <v>15</v>
      </c>
      <c r="F670" s="48">
        <v>142.1</v>
      </c>
    </row>
    <row r="671">
      <c r="A671" s="46" t="s">
        <v>1579</v>
      </c>
      <c r="B671" s="46" t="s">
        <v>3459</v>
      </c>
      <c r="C671" s="46" t="s">
        <v>3460</v>
      </c>
      <c r="D671" s="46" t="s">
        <v>18</v>
      </c>
      <c r="E671" s="46" t="s">
        <v>15</v>
      </c>
      <c r="F671" s="48">
        <v>138.3</v>
      </c>
    </row>
    <row r="672">
      <c r="A672" s="46" t="s">
        <v>1579</v>
      </c>
      <c r="B672" s="46" t="s">
        <v>3462</v>
      </c>
      <c r="C672" s="46" t="s">
        <v>1579</v>
      </c>
      <c r="D672" s="46" t="s">
        <v>18</v>
      </c>
      <c r="E672" s="46" t="s">
        <v>15</v>
      </c>
      <c r="F672" s="48">
        <v>143.1</v>
      </c>
    </row>
    <row r="673">
      <c r="A673" s="46" t="s">
        <v>1579</v>
      </c>
      <c r="B673" s="46" t="s">
        <v>3466</v>
      </c>
      <c r="C673" s="46" t="s">
        <v>3467</v>
      </c>
      <c r="D673" s="46" t="s">
        <v>18</v>
      </c>
      <c r="E673" s="46" t="s">
        <v>15</v>
      </c>
      <c r="F673" s="48">
        <v>120.2</v>
      </c>
    </row>
    <row r="674">
      <c r="A674" s="46" t="s">
        <v>1579</v>
      </c>
      <c r="B674" s="46" t="s">
        <v>3469</v>
      </c>
      <c r="C674" s="46" t="s">
        <v>3470</v>
      </c>
      <c r="D674" s="46" t="s">
        <v>17</v>
      </c>
      <c r="E674" s="46" t="s">
        <v>15</v>
      </c>
      <c r="F674" s="48">
        <v>145.7</v>
      </c>
    </row>
    <row r="675">
      <c r="A675" s="46" t="s">
        <v>1579</v>
      </c>
      <c r="B675" s="46" t="s">
        <v>3472</v>
      </c>
      <c r="C675" s="46" t="s">
        <v>1592</v>
      </c>
      <c r="D675" s="46" t="s">
        <v>17</v>
      </c>
      <c r="E675" s="46" t="s">
        <v>15</v>
      </c>
      <c r="F675" s="48">
        <v>141.2</v>
      </c>
    </row>
    <row r="676">
      <c r="A676" s="46" t="s">
        <v>1579</v>
      </c>
      <c r="B676" s="46" t="s">
        <v>3474</v>
      </c>
      <c r="C676" s="46" t="s">
        <v>1579</v>
      </c>
      <c r="D676" s="46" t="s">
        <v>17</v>
      </c>
      <c r="E676" s="46" t="s">
        <v>15</v>
      </c>
      <c r="F676" s="48">
        <v>146.3</v>
      </c>
    </row>
    <row r="677">
      <c r="A677" s="46" t="s">
        <v>1579</v>
      </c>
      <c r="B677" s="46" t="s">
        <v>1526</v>
      </c>
      <c r="C677" s="46" t="s">
        <v>3478</v>
      </c>
      <c r="D677" s="46" t="s">
        <v>17</v>
      </c>
      <c r="E677" s="46" t="s">
        <v>13</v>
      </c>
      <c r="F677" s="48">
        <v>108.0</v>
      </c>
    </row>
    <row r="678">
      <c r="A678" s="46" t="s">
        <v>1579</v>
      </c>
      <c r="B678" s="46" t="s">
        <v>3480</v>
      </c>
      <c r="C678" s="46" t="s">
        <v>1592</v>
      </c>
      <c r="D678" s="46" t="s">
        <v>17</v>
      </c>
      <c r="E678" s="46" t="s">
        <v>15</v>
      </c>
      <c r="F678" s="48">
        <v>149.3</v>
      </c>
    </row>
    <row r="679">
      <c r="A679" s="46" t="s">
        <v>284</v>
      </c>
      <c r="B679" s="46" t="s">
        <v>3482</v>
      </c>
      <c r="C679" s="46" t="s">
        <v>1627</v>
      </c>
      <c r="D679" s="46" t="s">
        <v>18</v>
      </c>
      <c r="E679" s="46" t="s">
        <v>15</v>
      </c>
      <c r="F679" s="48">
        <v>107.3</v>
      </c>
    </row>
    <row r="680">
      <c r="A680" s="46" t="s">
        <v>88</v>
      </c>
      <c r="B680" s="46" t="s">
        <v>3501</v>
      </c>
      <c r="C680" s="46" t="s">
        <v>88</v>
      </c>
      <c r="D680" s="46" t="s">
        <v>18</v>
      </c>
      <c r="E680" s="46" t="s">
        <v>15</v>
      </c>
      <c r="F680" s="48">
        <v>118.1</v>
      </c>
    </row>
    <row r="681">
      <c r="A681" s="46" t="s">
        <v>88</v>
      </c>
      <c r="B681" s="46" t="s">
        <v>3503</v>
      </c>
      <c r="C681" s="46" t="s">
        <v>88</v>
      </c>
      <c r="D681" s="46" t="s">
        <v>17</v>
      </c>
      <c r="E681" s="46" t="s">
        <v>15</v>
      </c>
      <c r="F681" s="48">
        <v>108.1</v>
      </c>
    </row>
    <row r="682">
      <c r="A682" s="46" t="s">
        <v>182</v>
      </c>
      <c r="B682" s="46" t="s">
        <v>3511</v>
      </c>
      <c r="C682" s="46" t="s">
        <v>3512</v>
      </c>
      <c r="D682" s="46" t="s">
        <v>18</v>
      </c>
      <c r="E682" s="46" t="s">
        <v>15</v>
      </c>
      <c r="F682" s="48">
        <v>128.3</v>
      </c>
    </row>
    <row r="683">
      <c r="A683" s="46" t="s">
        <v>182</v>
      </c>
      <c r="B683" s="46" t="s">
        <v>3514</v>
      </c>
      <c r="C683" s="46" t="s">
        <v>1659</v>
      </c>
      <c r="D683" s="46" t="s">
        <v>17</v>
      </c>
      <c r="E683" s="46" t="s">
        <v>15</v>
      </c>
      <c r="F683" s="48">
        <v>123.0</v>
      </c>
    </row>
    <row r="684">
      <c r="A684" s="46" t="s">
        <v>134</v>
      </c>
      <c r="B684" s="46" t="s">
        <v>3521</v>
      </c>
      <c r="C684" s="46" t="s">
        <v>3522</v>
      </c>
      <c r="D684" s="46" t="s">
        <v>18</v>
      </c>
      <c r="E684" s="46" t="s">
        <v>14</v>
      </c>
      <c r="F684" s="48">
        <v>110.3</v>
      </c>
    </row>
    <row r="685">
      <c r="A685" s="46" t="s">
        <v>134</v>
      </c>
      <c r="B685" s="46" t="s">
        <v>3524</v>
      </c>
      <c r="C685" s="46" t="s">
        <v>1688</v>
      </c>
      <c r="D685" s="46" t="s">
        <v>18</v>
      </c>
      <c r="E685" s="46" t="s">
        <v>15</v>
      </c>
      <c r="F685" s="48">
        <v>109.1</v>
      </c>
    </row>
    <row r="686">
      <c r="A686" s="46" t="s">
        <v>134</v>
      </c>
      <c r="B686" s="46" t="s">
        <v>3529</v>
      </c>
      <c r="C686" s="46" t="s">
        <v>1688</v>
      </c>
      <c r="D686" s="46" t="s">
        <v>17</v>
      </c>
      <c r="E686" s="46" t="s">
        <v>13</v>
      </c>
      <c r="F686" s="48">
        <v>106.2</v>
      </c>
    </row>
    <row r="687">
      <c r="A687" s="46" t="s">
        <v>134</v>
      </c>
      <c r="B687" s="46" t="s">
        <v>3536</v>
      </c>
      <c r="C687" s="46" t="s">
        <v>3537</v>
      </c>
      <c r="D687" s="46" t="s">
        <v>18</v>
      </c>
      <c r="E687" s="46" t="s">
        <v>15</v>
      </c>
      <c r="F687" s="48">
        <v>115.9</v>
      </c>
    </row>
    <row r="688">
      <c r="A688" s="46" t="s">
        <v>134</v>
      </c>
      <c r="B688" s="46" t="s">
        <v>3539</v>
      </c>
      <c r="C688" s="46" t="s">
        <v>3540</v>
      </c>
      <c r="D688" s="46" t="s">
        <v>18</v>
      </c>
      <c r="E688" s="46" t="s">
        <v>14</v>
      </c>
      <c r="F688" s="48">
        <v>110.5</v>
      </c>
    </row>
    <row r="689">
      <c r="A689" s="46" t="s">
        <v>129</v>
      </c>
      <c r="B689" s="46" t="s">
        <v>3542</v>
      </c>
      <c r="C689" s="46" t="s">
        <v>3543</v>
      </c>
      <c r="D689" s="46" t="s">
        <v>18</v>
      </c>
      <c r="E689" s="46" t="s">
        <v>15</v>
      </c>
      <c r="F689" s="48">
        <v>107.6</v>
      </c>
    </row>
    <row r="690">
      <c r="A690" s="46" t="s">
        <v>129</v>
      </c>
      <c r="B690" s="46" t="s">
        <v>3545</v>
      </c>
      <c r="C690" s="46" t="s">
        <v>3546</v>
      </c>
      <c r="D690" s="46" t="s">
        <v>18</v>
      </c>
      <c r="E690" s="46" t="s">
        <v>15</v>
      </c>
      <c r="F690" s="48">
        <v>104.8</v>
      </c>
    </row>
    <row r="691">
      <c r="A691" s="46" t="s">
        <v>129</v>
      </c>
      <c r="B691" s="46" t="s">
        <v>3550</v>
      </c>
      <c r="C691" s="46" t="s">
        <v>3546</v>
      </c>
      <c r="D691" s="46" t="s">
        <v>17</v>
      </c>
      <c r="E691" s="46" t="s">
        <v>15</v>
      </c>
      <c r="F691" s="48">
        <v>120.4</v>
      </c>
    </row>
    <row r="692">
      <c r="A692" s="46" t="s">
        <v>129</v>
      </c>
      <c r="B692" s="46" t="s">
        <v>3552</v>
      </c>
      <c r="C692" s="46" t="s">
        <v>3553</v>
      </c>
      <c r="D692" s="46" t="s">
        <v>18</v>
      </c>
      <c r="E692" s="46" t="s">
        <v>14</v>
      </c>
      <c r="F692" s="48">
        <v>121.1</v>
      </c>
    </row>
    <row r="693">
      <c r="A693" s="46" t="s">
        <v>129</v>
      </c>
      <c r="B693" s="46" t="s">
        <v>3555</v>
      </c>
      <c r="C693" s="46" t="s">
        <v>3556</v>
      </c>
      <c r="D693" s="46" t="s">
        <v>18</v>
      </c>
      <c r="E693" s="46" t="s">
        <v>15</v>
      </c>
      <c r="F693" s="48">
        <v>113.9</v>
      </c>
    </row>
    <row r="694">
      <c r="A694" s="46" t="s">
        <v>779</v>
      </c>
      <c r="B694" s="46" t="s">
        <v>3561</v>
      </c>
      <c r="C694" s="46" t="s">
        <v>1714</v>
      </c>
      <c r="D694" s="46" t="s">
        <v>18</v>
      </c>
      <c r="E694" s="46" t="s">
        <v>15</v>
      </c>
      <c r="F694" s="48">
        <v>113.1</v>
      </c>
    </row>
    <row r="695">
      <c r="A695" s="46" t="s">
        <v>779</v>
      </c>
      <c r="B695" s="46" t="s">
        <v>3563</v>
      </c>
      <c r="C695" s="46" t="s">
        <v>3564</v>
      </c>
      <c r="D695" s="46" t="s">
        <v>17</v>
      </c>
      <c r="E695" s="46" t="s">
        <v>15</v>
      </c>
      <c r="F695" s="48">
        <v>125.1</v>
      </c>
    </row>
    <row r="696">
      <c r="A696" s="46" t="s">
        <v>779</v>
      </c>
      <c r="B696" s="46" t="s">
        <v>3566</v>
      </c>
      <c r="C696" s="46" t="s">
        <v>3567</v>
      </c>
      <c r="D696" s="46" t="s">
        <v>17</v>
      </c>
      <c r="E696" s="46" t="s">
        <v>14</v>
      </c>
      <c r="F696" s="48">
        <v>108.6</v>
      </c>
    </row>
    <row r="697">
      <c r="A697" s="46" t="s">
        <v>779</v>
      </c>
      <c r="B697" s="46" t="s">
        <v>3569</v>
      </c>
      <c r="C697" s="46" t="s">
        <v>3570</v>
      </c>
      <c r="D697" s="46" t="s">
        <v>18</v>
      </c>
      <c r="E697" s="46" t="s">
        <v>14</v>
      </c>
      <c r="F697" s="48">
        <v>119.2</v>
      </c>
    </row>
    <row r="698">
      <c r="A698" s="46" t="s">
        <v>779</v>
      </c>
      <c r="B698" s="46" t="s">
        <v>3572</v>
      </c>
      <c r="C698" s="46" t="s">
        <v>1725</v>
      </c>
      <c r="D698" s="46" t="s">
        <v>18</v>
      </c>
      <c r="E698" s="46" t="s">
        <v>15</v>
      </c>
      <c r="F698" s="48">
        <v>117.1</v>
      </c>
    </row>
    <row r="699">
      <c r="A699" s="46" t="s">
        <v>284</v>
      </c>
      <c r="B699" s="46" t="s">
        <v>3574</v>
      </c>
      <c r="C699" s="46" t="s">
        <v>3575</v>
      </c>
      <c r="D699" s="46" t="s">
        <v>18</v>
      </c>
      <c r="E699" s="46" t="s">
        <v>15</v>
      </c>
      <c r="F699" s="48">
        <v>109.3</v>
      </c>
    </row>
    <row r="700">
      <c r="A700" s="46" t="s">
        <v>284</v>
      </c>
      <c r="B700" s="46" t="s">
        <v>2729</v>
      </c>
      <c r="C700" s="46" t="s">
        <v>284</v>
      </c>
      <c r="D700" s="46" t="s">
        <v>18</v>
      </c>
      <c r="E700" s="46" t="s">
        <v>14</v>
      </c>
      <c r="F700" s="48">
        <v>105.9</v>
      </c>
    </row>
    <row r="701">
      <c r="A701" s="46" t="s">
        <v>322</v>
      </c>
      <c r="B701" s="46" t="s">
        <v>3585</v>
      </c>
      <c r="C701" s="46" t="s">
        <v>322</v>
      </c>
      <c r="D701" s="46" t="s">
        <v>18</v>
      </c>
      <c r="E701" s="46" t="s">
        <v>15</v>
      </c>
      <c r="F701" s="48">
        <v>117.4</v>
      </c>
    </row>
    <row r="702">
      <c r="A702" s="46" t="s">
        <v>930</v>
      </c>
      <c r="B702" s="46" t="s">
        <v>3593</v>
      </c>
      <c r="C702" s="46" t="s">
        <v>3594</v>
      </c>
      <c r="D702" s="46" t="s">
        <v>17</v>
      </c>
      <c r="E702" s="46" t="s">
        <v>15</v>
      </c>
      <c r="F702" s="48">
        <v>115.3</v>
      </c>
    </row>
    <row r="703">
      <c r="A703" s="46" t="s">
        <v>930</v>
      </c>
      <c r="B703" s="46" t="s">
        <v>3596</v>
      </c>
      <c r="C703" s="46" t="s">
        <v>1748</v>
      </c>
      <c r="D703" s="46" t="s">
        <v>17</v>
      </c>
      <c r="E703" s="46" t="s">
        <v>15</v>
      </c>
      <c r="F703" s="48">
        <v>124.3</v>
      </c>
    </row>
    <row r="704">
      <c r="A704" s="46" t="s">
        <v>930</v>
      </c>
      <c r="B704" s="46" t="s">
        <v>3598</v>
      </c>
      <c r="C704" s="46" t="s">
        <v>3594</v>
      </c>
      <c r="D704" s="46" t="s">
        <v>18</v>
      </c>
      <c r="E704" s="46" t="s">
        <v>14</v>
      </c>
      <c r="F704" s="48">
        <v>104.3</v>
      </c>
    </row>
    <row r="705">
      <c r="A705" s="46" t="s">
        <v>930</v>
      </c>
      <c r="B705" s="46" t="s">
        <v>3600</v>
      </c>
      <c r="C705" s="46" t="s">
        <v>3601</v>
      </c>
      <c r="D705" s="46" t="s">
        <v>18</v>
      </c>
      <c r="E705" s="46" t="s">
        <v>14</v>
      </c>
      <c r="F705" s="48">
        <v>111.2</v>
      </c>
    </row>
    <row r="706">
      <c r="A706" s="46" t="s">
        <v>333</v>
      </c>
      <c r="B706" s="46" t="s">
        <v>3604</v>
      </c>
      <c r="C706" s="46" t="s">
        <v>3605</v>
      </c>
      <c r="D706" s="46" t="s">
        <v>17</v>
      </c>
      <c r="E706" s="46" t="s">
        <v>14</v>
      </c>
      <c r="F706" s="48">
        <v>115.0</v>
      </c>
    </row>
    <row r="707">
      <c r="A707" s="46" t="s">
        <v>1579</v>
      </c>
      <c r="B707" s="46" t="s">
        <v>3614</v>
      </c>
      <c r="C707" s="46" t="s">
        <v>3615</v>
      </c>
      <c r="D707" s="46" t="s">
        <v>18</v>
      </c>
      <c r="E707" s="46" t="s">
        <v>14</v>
      </c>
      <c r="F707" s="48">
        <v>112.4</v>
      </c>
    </row>
    <row r="708">
      <c r="A708" s="46" t="s">
        <v>1579</v>
      </c>
      <c r="B708" s="46" t="s">
        <v>3617</v>
      </c>
      <c r="C708" s="46" t="s">
        <v>1812</v>
      </c>
      <c r="D708" s="46" t="s">
        <v>18</v>
      </c>
      <c r="E708" s="46" t="s">
        <v>15</v>
      </c>
      <c r="F708" s="48">
        <v>115.6</v>
      </c>
    </row>
    <row r="709">
      <c r="A709" s="46" t="s">
        <v>1579</v>
      </c>
      <c r="B709" s="46" t="s">
        <v>3619</v>
      </c>
      <c r="C709" s="46" t="s">
        <v>3620</v>
      </c>
      <c r="D709" s="46" t="s">
        <v>17</v>
      </c>
      <c r="E709" s="46" t="s">
        <v>15</v>
      </c>
      <c r="F709" s="48">
        <v>133.2</v>
      </c>
    </row>
    <row r="710">
      <c r="A710" s="46" t="s">
        <v>1579</v>
      </c>
      <c r="B710" s="46" t="s">
        <v>3622</v>
      </c>
      <c r="C710" s="46" t="s">
        <v>3623</v>
      </c>
      <c r="D710" s="46" t="s">
        <v>17</v>
      </c>
      <c r="E710" s="46" t="s">
        <v>14</v>
      </c>
      <c r="F710" s="48">
        <v>127.1</v>
      </c>
    </row>
    <row r="711">
      <c r="A711" s="46" t="s">
        <v>1579</v>
      </c>
      <c r="B711" s="46" t="s">
        <v>3625</v>
      </c>
      <c r="C711" s="46" t="s">
        <v>3626</v>
      </c>
      <c r="D711" s="46" t="s">
        <v>17</v>
      </c>
      <c r="E711" s="46" t="s">
        <v>15</v>
      </c>
      <c r="F711" s="48">
        <v>146.2</v>
      </c>
    </row>
    <row r="712">
      <c r="A712" s="46" t="s">
        <v>1579</v>
      </c>
      <c r="B712" s="46" t="s">
        <v>3628</v>
      </c>
      <c r="C712" s="46" t="s">
        <v>3629</v>
      </c>
      <c r="D712" s="46" t="s">
        <v>18</v>
      </c>
      <c r="E712" s="46" t="s">
        <v>14</v>
      </c>
      <c r="F712" s="48">
        <v>113.9</v>
      </c>
    </row>
    <row r="713">
      <c r="A713" s="46" t="s">
        <v>1579</v>
      </c>
      <c r="B713" s="46" t="s">
        <v>3631</v>
      </c>
      <c r="C713" s="46" t="s">
        <v>1804</v>
      </c>
      <c r="D713" s="46" t="s">
        <v>17</v>
      </c>
      <c r="E713" s="46" t="s">
        <v>15</v>
      </c>
      <c r="F713" s="48">
        <v>134.1</v>
      </c>
    </row>
    <row r="714">
      <c r="A714" s="46" t="s">
        <v>1579</v>
      </c>
      <c r="B714" s="46" t="s">
        <v>3633</v>
      </c>
      <c r="C714" s="46" t="s">
        <v>3612</v>
      </c>
      <c r="D714" s="46" t="s">
        <v>17</v>
      </c>
      <c r="E714" s="46" t="s">
        <v>14</v>
      </c>
      <c r="F714" s="48">
        <v>122.6</v>
      </c>
    </row>
    <row r="715">
      <c r="A715" s="46" t="s">
        <v>1579</v>
      </c>
      <c r="B715" s="46" t="s">
        <v>3635</v>
      </c>
      <c r="C715" s="46" t="s">
        <v>3636</v>
      </c>
      <c r="D715" s="46" t="s">
        <v>18</v>
      </c>
      <c r="E715" s="46" t="s">
        <v>14</v>
      </c>
      <c r="F715" s="48">
        <v>106.2</v>
      </c>
    </row>
    <row r="716">
      <c r="A716" s="46" t="s">
        <v>1579</v>
      </c>
      <c r="B716" s="46" t="s">
        <v>1588</v>
      </c>
      <c r="C716" s="46" t="s">
        <v>3638</v>
      </c>
      <c r="D716" s="46" t="s">
        <v>18</v>
      </c>
      <c r="E716" s="46" t="s">
        <v>15</v>
      </c>
      <c r="F716" s="48">
        <v>129.9</v>
      </c>
    </row>
    <row r="717">
      <c r="A717" s="46" t="s">
        <v>1579</v>
      </c>
      <c r="B717" s="46" t="s">
        <v>3645</v>
      </c>
      <c r="C717" s="46" t="s">
        <v>3646</v>
      </c>
      <c r="D717" s="46" t="s">
        <v>18</v>
      </c>
      <c r="E717" s="46" t="s">
        <v>15</v>
      </c>
      <c r="F717" s="48">
        <v>137.4</v>
      </c>
    </row>
    <row r="718">
      <c r="A718" s="46" t="s">
        <v>1579</v>
      </c>
      <c r="B718" s="46" t="s">
        <v>212</v>
      </c>
      <c r="C718" s="46" t="s">
        <v>3648</v>
      </c>
      <c r="D718" s="46" t="s">
        <v>17</v>
      </c>
      <c r="E718" s="46" t="s">
        <v>15</v>
      </c>
      <c r="F718" s="48">
        <v>108.2</v>
      </c>
    </row>
    <row r="719">
      <c r="A719" s="46" t="s">
        <v>1579</v>
      </c>
      <c r="B719" s="46" t="s">
        <v>3650</v>
      </c>
      <c r="C719" s="46" t="s">
        <v>3651</v>
      </c>
      <c r="D719" s="46" t="s">
        <v>17</v>
      </c>
      <c r="E719" s="46" t="s">
        <v>15</v>
      </c>
      <c r="F719" s="48">
        <v>145.2</v>
      </c>
    </row>
    <row r="720">
      <c r="A720" s="46" t="s">
        <v>1579</v>
      </c>
      <c r="B720" s="46" t="s">
        <v>3653</v>
      </c>
      <c r="C720" s="46" t="s">
        <v>1842</v>
      </c>
      <c r="D720" s="46" t="s">
        <v>17</v>
      </c>
      <c r="E720" s="46" t="s">
        <v>15</v>
      </c>
      <c r="F720" s="48">
        <v>154.0</v>
      </c>
    </row>
    <row r="721">
      <c r="A721" s="46" t="s">
        <v>1579</v>
      </c>
      <c r="B721" s="46" t="s">
        <v>3655</v>
      </c>
      <c r="C721" s="46" t="s">
        <v>3641</v>
      </c>
      <c r="D721" s="46" t="s">
        <v>18</v>
      </c>
      <c r="E721" s="46" t="s">
        <v>15</v>
      </c>
      <c r="F721" s="48">
        <v>108.4</v>
      </c>
    </row>
    <row r="722">
      <c r="A722" s="46" t="s">
        <v>1579</v>
      </c>
      <c r="B722" s="46" t="s">
        <v>3660</v>
      </c>
      <c r="C722" s="46" t="s">
        <v>1842</v>
      </c>
      <c r="D722" s="46" t="s">
        <v>18</v>
      </c>
      <c r="E722" s="46" t="s">
        <v>14</v>
      </c>
      <c r="F722" s="48">
        <v>112.1</v>
      </c>
    </row>
    <row r="723">
      <c r="A723" s="46" t="s">
        <v>1579</v>
      </c>
      <c r="B723" s="46" t="s">
        <v>3662</v>
      </c>
      <c r="C723" s="46" t="s">
        <v>1839</v>
      </c>
      <c r="D723" s="46" t="s">
        <v>18</v>
      </c>
      <c r="E723" s="46" t="s">
        <v>13</v>
      </c>
      <c r="F723" s="48">
        <v>108.9</v>
      </c>
    </row>
    <row r="724">
      <c r="A724" s="46" t="s">
        <v>1579</v>
      </c>
      <c r="B724" s="46" t="s">
        <v>3666</v>
      </c>
      <c r="C724" s="46" t="s">
        <v>3667</v>
      </c>
      <c r="D724" s="46" t="s">
        <v>17</v>
      </c>
      <c r="E724" s="46" t="s">
        <v>14</v>
      </c>
      <c r="F724" s="48">
        <v>117.3</v>
      </c>
    </row>
    <row r="725">
      <c r="A725" s="46" t="s">
        <v>1545</v>
      </c>
      <c r="B725" s="46" t="s">
        <v>3166</v>
      </c>
      <c r="C725" s="46" t="s">
        <v>3678</v>
      </c>
      <c r="D725" s="46" t="s">
        <v>18</v>
      </c>
      <c r="E725" s="46" t="s">
        <v>15</v>
      </c>
      <c r="F725" s="48">
        <v>113.1</v>
      </c>
    </row>
    <row r="726">
      <c r="A726" s="46" t="s">
        <v>1545</v>
      </c>
      <c r="B726" s="46" t="s">
        <v>3682</v>
      </c>
      <c r="C726" s="46" t="s">
        <v>1861</v>
      </c>
      <c r="D726" s="46" t="s">
        <v>17</v>
      </c>
      <c r="E726" s="46" t="s">
        <v>14</v>
      </c>
      <c r="F726" s="48">
        <v>112.0</v>
      </c>
    </row>
    <row r="727">
      <c r="A727" s="46" t="s">
        <v>1545</v>
      </c>
      <c r="B727" s="46" t="s">
        <v>3686</v>
      </c>
      <c r="C727" s="46" t="s">
        <v>3687</v>
      </c>
      <c r="D727" s="46" t="s">
        <v>17</v>
      </c>
      <c r="E727" s="46" t="s">
        <v>13</v>
      </c>
      <c r="F727" s="48">
        <v>108.6</v>
      </c>
    </row>
    <row r="728">
      <c r="A728" s="46" t="s">
        <v>1545</v>
      </c>
      <c r="B728" s="46" t="s">
        <v>3697</v>
      </c>
      <c r="C728" s="46" t="s">
        <v>3698</v>
      </c>
      <c r="D728" s="46" t="s">
        <v>18</v>
      </c>
      <c r="E728" s="46" t="s">
        <v>14</v>
      </c>
      <c r="F728" s="48">
        <v>109.5</v>
      </c>
    </row>
    <row r="729">
      <c r="A729" s="46" t="s">
        <v>1545</v>
      </c>
      <c r="B729" s="46" t="s">
        <v>3709</v>
      </c>
      <c r="C729" s="46" t="s">
        <v>3678</v>
      </c>
      <c r="D729" s="46" t="s">
        <v>17</v>
      </c>
      <c r="E729" s="46" t="s">
        <v>15</v>
      </c>
      <c r="F729" s="48">
        <v>143.6</v>
      </c>
    </row>
    <row r="730">
      <c r="A730" s="46" t="s">
        <v>1545</v>
      </c>
      <c r="B730" s="46" t="s">
        <v>3711</v>
      </c>
      <c r="C730" s="46" t="s">
        <v>3687</v>
      </c>
      <c r="D730" s="46" t="s">
        <v>17</v>
      </c>
      <c r="E730" s="46" t="s">
        <v>15</v>
      </c>
      <c r="F730" s="48">
        <v>115.7</v>
      </c>
    </row>
    <row r="731">
      <c r="A731" s="46" t="s">
        <v>1545</v>
      </c>
      <c r="B731" s="46" t="s">
        <v>3716</v>
      </c>
      <c r="C731" s="46" t="s">
        <v>3717</v>
      </c>
      <c r="D731" s="46" t="s">
        <v>18</v>
      </c>
      <c r="E731" s="46" t="s">
        <v>15</v>
      </c>
      <c r="F731" s="48">
        <v>120.6</v>
      </c>
    </row>
    <row r="732">
      <c r="A732" s="46" t="s">
        <v>1545</v>
      </c>
      <c r="B732" s="46" t="s">
        <v>3719</v>
      </c>
      <c r="C732" s="46" t="s">
        <v>1904</v>
      </c>
      <c r="D732" s="46" t="s">
        <v>18</v>
      </c>
      <c r="E732" s="46" t="s">
        <v>15</v>
      </c>
      <c r="F732" s="48">
        <v>136.6</v>
      </c>
    </row>
    <row r="733">
      <c r="A733" s="46" t="s">
        <v>1545</v>
      </c>
      <c r="B733" s="46" t="s">
        <v>3731</v>
      </c>
      <c r="C733" s="46" t="s">
        <v>3732</v>
      </c>
      <c r="D733" s="46" t="s">
        <v>17</v>
      </c>
      <c r="E733" s="46" t="s">
        <v>15</v>
      </c>
      <c r="F733" s="48">
        <v>148.2</v>
      </c>
    </row>
    <row r="734">
      <c r="A734" s="46" t="s">
        <v>1545</v>
      </c>
      <c r="B734" s="46" t="s">
        <v>3734</v>
      </c>
      <c r="C734" s="46" t="s">
        <v>3735</v>
      </c>
      <c r="D734" s="46" t="s">
        <v>17</v>
      </c>
      <c r="E734" s="46" t="s">
        <v>15</v>
      </c>
      <c r="F734" s="48">
        <v>132.1</v>
      </c>
    </row>
    <row r="735">
      <c r="A735" s="46" t="s">
        <v>1545</v>
      </c>
      <c r="B735" s="46" t="s">
        <v>3737</v>
      </c>
      <c r="C735" s="46" t="s">
        <v>1904</v>
      </c>
      <c r="D735" s="46" t="s">
        <v>17</v>
      </c>
      <c r="E735" s="46" t="s">
        <v>15</v>
      </c>
      <c r="F735" s="48">
        <v>143.5</v>
      </c>
    </row>
    <row r="736">
      <c r="A736" s="46" t="s">
        <v>1545</v>
      </c>
      <c r="B736" s="46" t="s">
        <v>3742</v>
      </c>
      <c r="C736" s="46" t="s">
        <v>3732</v>
      </c>
      <c r="D736" s="46" t="s">
        <v>17</v>
      </c>
      <c r="E736" s="46" t="s">
        <v>13</v>
      </c>
      <c r="F736" s="48">
        <v>113.1</v>
      </c>
    </row>
    <row r="737">
      <c r="A737" s="46" t="s">
        <v>1545</v>
      </c>
      <c r="B737" s="46" t="s">
        <v>3744</v>
      </c>
      <c r="C737" s="46" t="s">
        <v>3745</v>
      </c>
      <c r="D737" s="46" t="s">
        <v>17</v>
      </c>
      <c r="E737" s="46" t="s">
        <v>15</v>
      </c>
      <c r="F737" s="48">
        <v>139.7</v>
      </c>
    </row>
    <row r="738">
      <c r="A738" s="46" t="s">
        <v>1545</v>
      </c>
      <c r="B738" s="46" t="s">
        <v>3756</v>
      </c>
      <c r="C738" s="46" t="s">
        <v>3757</v>
      </c>
      <c r="D738" s="46" t="s">
        <v>17</v>
      </c>
      <c r="E738" s="46" t="s">
        <v>15</v>
      </c>
      <c r="F738" s="48">
        <v>123.6</v>
      </c>
    </row>
    <row r="739">
      <c r="A739" s="46" t="s">
        <v>1579</v>
      </c>
      <c r="B739" s="46" t="s">
        <v>3759</v>
      </c>
      <c r="C739" s="46" t="s">
        <v>3760</v>
      </c>
      <c r="D739" s="46" t="s">
        <v>18</v>
      </c>
      <c r="E739" s="46" t="s">
        <v>15</v>
      </c>
      <c r="F739" s="48">
        <v>123.5</v>
      </c>
    </row>
    <row r="740">
      <c r="A740" s="46" t="s">
        <v>1579</v>
      </c>
      <c r="B740" s="46" t="s">
        <v>1617</v>
      </c>
      <c r="C740" s="46" t="s">
        <v>3762</v>
      </c>
      <c r="D740" s="46" t="s">
        <v>17</v>
      </c>
      <c r="E740" s="46" t="s">
        <v>15</v>
      </c>
      <c r="F740" s="48">
        <v>134.9</v>
      </c>
    </row>
    <row r="741">
      <c r="A741" s="46" t="s">
        <v>1579</v>
      </c>
      <c r="B741" s="46" t="s">
        <v>3770</v>
      </c>
      <c r="C741" s="46" t="s">
        <v>3771</v>
      </c>
      <c r="D741" s="46" t="s">
        <v>18</v>
      </c>
      <c r="E741" s="46" t="s">
        <v>15</v>
      </c>
      <c r="F741" s="48">
        <v>124.5</v>
      </c>
    </row>
    <row r="742">
      <c r="A742" s="46" t="s">
        <v>1579</v>
      </c>
      <c r="B742" s="46" t="s">
        <v>3779</v>
      </c>
      <c r="C742" s="46" t="s">
        <v>3780</v>
      </c>
      <c r="D742" s="46" t="s">
        <v>18</v>
      </c>
      <c r="E742" s="46" t="s">
        <v>14</v>
      </c>
      <c r="F742" s="48">
        <v>115.1</v>
      </c>
    </row>
    <row r="743">
      <c r="A743" s="46" t="s">
        <v>1579</v>
      </c>
      <c r="B743" s="46" t="s">
        <v>3782</v>
      </c>
      <c r="C743" s="46" t="s">
        <v>1933</v>
      </c>
      <c r="D743" s="46" t="s">
        <v>17</v>
      </c>
      <c r="E743" s="46" t="s">
        <v>15</v>
      </c>
      <c r="F743" s="48">
        <v>112.0</v>
      </c>
    </row>
    <row r="744">
      <c r="A744" s="46" t="s">
        <v>1964</v>
      </c>
      <c r="B744" s="46" t="s">
        <v>3787</v>
      </c>
      <c r="C744" s="46" t="s">
        <v>1970</v>
      </c>
      <c r="D744" s="46" t="s">
        <v>18</v>
      </c>
      <c r="E744" s="46" t="s">
        <v>15</v>
      </c>
      <c r="F744" s="48">
        <v>111.8</v>
      </c>
    </row>
    <row r="745">
      <c r="A745" s="46" t="s">
        <v>1989</v>
      </c>
      <c r="B745" s="46" t="s">
        <v>3808</v>
      </c>
      <c r="C745" s="46" t="s">
        <v>3792</v>
      </c>
      <c r="D745" s="46" t="s">
        <v>18</v>
      </c>
      <c r="E745" s="46" t="s">
        <v>15</v>
      </c>
      <c r="F745" s="48">
        <v>105.7</v>
      </c>
    </row>
    <row r="746">
      <c r="A746" s="46" t="s">
        <v>1989</v>
      </c>
      <c r="B746" s="46" t="s">
        <v>3810</v>
      </c>
      <c r="C746" s="46" t="s">
        <v>3798</v>
      </c>
      <c r="D746" s="46" t="s">
        <v>18</v>
      </c>
      <c r="E746" s="46" t="s">
        <v>14</v>
      </c>
      <c r="F746" s="48">
        <v>113.6</v>
      </c>
    </row>
    <row r="747">
      <c r="A747" s="46" t="s">
        <v>2013</v>
      </c>
      <c r="B747" s="46" t="s">
        <v>3820</v>
      </c>
      <c r="C747" s="46" t="s">
        <v>2016</v>
      </c>
      <c r="D747" s="46" t="s">
        <v>17</v>
      </c>
      <c r="E747" s="46" t="s">
        <v>15</v>
      </c>
      <c r="F747" s="48">
        <v>123.5</v>
      </c>
    </row>
    <row r="748">
      <c r="A748" s="46" t="s">
        <v>2035</v>
      </c>
      <c r="B748" s="46" t="s">
        <v>3835</v>
      </c>
      <c r="C748" s="46" t="s">
        <v>2046</v>
      </c>
      <c r="D748" s="46" t="s">
        <v>17</v>
      </c>
      <c r="E748" s="46" t="s">
        <v>15</v>
      </c>
      <c r="F748" s="48">
        <v>125.9</v>
      </c>
    </row>
    <row r="749">
      <c r="A749" s="46" t="s">
        <v>2054</v>
      </c>
      <c r="B749" s="46" t="s">
        <v>3850</v>
      </c>
      <c r="C749" s="46" t="s">
        <v>2034</v>
      </c>
      <c r="D749" s="46" t="s">
        <v>17</v>
      </c>
      <c r="E749" s="46" t="s">
        <v>14</v>
      </c>
      <c r="F749" s="48">
        <v>114.9</v>
      </c>
    </row>
    <row r="750">
      <c r="A750" s="46" t="s">
        <v>2054</v>
      </c>
      <c r="B750" s="46" t="s">
        <v>3852</v>
      </c>
      <c r="C750" s="46" t="s">
        <v>1858</v>
      </c>
      <c r="D750" s="46" t="s">
        <v>17</v>
      </c>
      <c r="E750" s="46" t="s">
        <v>15</v>
      </c>
      <c r="F750" s="48">
        <v>136.9</v>
      </c>
    </row>
    <row r="751">
      <c r="A751" s="46" t="s">
        <v>71</v>
      </c>
      <c r="B751" s="46" t="s">
        <v>3869</v>
      </c>
      <c r="C751" s="46" t="s">
        <v>3870</v>
      </c>
      <c r="D751" s="46" t="s">
        <v>18</v>
      </c>
      <c r="E751" s="46" t="s">
        <v>15</v>
      </c>
      <c r="F751" s="48">
        <v>110.2</v>
      </c>
    </row>
    <row r="752">
      <c r="A752" s="46" t="s">
        <v>71</v>
      </c>
      <c r="B752" s="46" t="s">
        <v>3872</v>
      </c>
      <c r="C752" s="46" t="s">
        <v>84</v>
      </c>
      <c r="D752" s="46" t="s">
        <v>18</v>
      </c>
      <c r="E752" s="46" t="s">
        <v>15</v>
      </c>
      <c r="F752" s="48">
        <v>121.7</v>
      </c>
    </row>
    <row r="753">
      <c r="A753" s="46" t="s">
        <v>71</v>
      </c>
      <c r="B753" s="46" t="s">
        <v>3874</v>
      </c>
      <c r="C753" s="46" t="s">
        <v>84</v>
      </c>
      <c r="D753" s="46" t="s">
        <v>18</v>
      </c>
      <c r="E753" s="46" t="s">
        <v>15</v>
      </c>
      <c r="F753" s="48">
        <v>112.2</v>
      </c>
    </row>
    <row r="754">
      <c r="A754" s="46" t="s">
        <v>71</v>
      </c>
      <c r="B754" s="46" t="s">
        <v>3881</v>
      </c>
      <c r="C754" s="46" t="s">
        <v>3882</v>
      </c>
      <c r="D754" s="46" t="s">
        <v>18</v>
      </c>
      <c r="E754" s="46" t="s">
        <v>15</v>
      </c>
      <c r="F754" s="48">
        <v>126.7</v>
      </c>
    </row>
    <row r="755">
      <c r="A755" s="46" t="s">
        <v>88</v>
      </c>
      <c r="B755" s="46" t="s">
        <v>3898</v>
      </c>
      <c r="C755" s="46" t="s">
        <v>113</v>
      </c>
      <c r="D755" s="46" t="s">
        <v>17</v>
      </c>
      <c r="E755" s="46" t="s">
        <v>15</v>
      </c>
      <c r="F755" s="48">
        <v>106.2</v>
      </c>
    </row>
    <row r="756">
      <c r="A756" s="46" t="s">
        <v>116</v>
      </c>
      <c r="B756" s="46" t="s">
        <v>3903</v>
      </c>
      <c r="C756" s="46" t="s">
        <v>126</v>
      </c>
      <c r="D756" s="46" t="s">
        <v>18</v>
      </c>
      <c r="E756" s="46" t="s">
        <v>15</v>
      </c>
      <c r="F756" s="48">
        <v>114.0</v>
      </c>
    </row>
    <row r="757">
      <c r="A757" s="46" t="s">
        <v>116</v>
      </c>
      <c r="B757" s="46" t="s">
        <v>3083</v>
      </c>
      <c r="C757" s="46" t="s">
        <v>123</v>
      </c>
      <c r="D757" s="46" t="s">
        <v>17</v>
      </c>
      <c r="E757" s="46" t="s">
        <v>15</v>
      </c>
      <c r="F757" s="48">
        <v>119.8</v>
      </c>
    </row>
    <row r="758">
      <c r="A758" s="46" t="s">
        <v>116</v>
      </c>
      <c r="B758" s="46" t="s">
        <v>3909</v>
      </c>
      <c r="C758" s="46" t="s">
        <v>120</v>
      </c>
      <c r="D758" s="46" t="s">
        <v>17</v>
      </c>
      <c r="E758" s="46" t="s">
        <v>15</v>
      </c>
      <c r="F758" s="48">
        <v>107.2</v>
      </c>
    </row>
    <row r="759">
      <c r="A759" s="46" t="s">
        <v>129</v>
      </c>
      <c r="B759" s="46" t="s">
        <v>3920</v>
      </c>
      <c r="C759" s="46" t="s">
        <v>2123</v>
      </c>
      <c r="D759" s="46" t="s">
        <v>18</v>
      </c>
      <c r="E759" s="46" t="s">
        <v>15</v>
      </c>
      <c r="F759" s="48">
        <v>117.3</v>
      </c>
    </row>
    <row r="760">
      <c r="A760" s="46" t="s">
        <v>134</v>
      </c>
      <c r="B760" s="46" t="s">
        <v>1594</v>
      </c>
      <c r="C760" s="46" t="s">
        <v>158</v>
      </c>
      <c r="D760" s="46" t="s">
        <v>18</v>
      </c>
      <c r="E760" s="46" t="s">
        <v>15</v>
      </c>
      <c r="F760" s="48">
        <v>115.5</v>
      </c>
    </row>
    <row r="761">
      <c r="A761" s="46" t="s">
        <v>134</v>
      </c>
      <c r="B761" s="46" t="s">
        <v>3925</v>
      </c>
      <c r="C761" s="46" t="s">
        <v>134</v>
      </c>
      <c r="D761" s="46" t="s">
        <v>18</v>
      </c>
      <c r="E761" s="46" t="s">
        <v>15</v>
      </c>
      <c r="F761" s="48">
        <v>106.8</v>
      </c>
    </row>
    <row r="762">
      <c r="A762" s="46" t="s">
        <v>134</v>
      </c>
      <c r="B762" s="46" t="s">
        <v>3927</v>
      </c>
      <c r="C762" s="46" t="s">
        <v>134</v>
      </c>
      <c r="D762" s="46" t="s">
        <v>18</v>
      </c>
      <c r="E762" s="46" t="s">
        <v>15</v>
      </c>
      <c r="F762" s="48">
        <v>117.4</v>
      </c>
    </row>
    <row r="763">
      <c r="A763" s="46" t="s">
        <v>134</v>
      </c>
      <c r="B763" s="46" t="s">
        <v>2778</v>
      </c>
      <c r="C763" s="46" t="s">
        <v>158</v>
      </c>
      <c r="D763" s="46" t="s">
        <v>17</v>
      </c>
      <c r="E763" s="46" t="s">
        <v>15</v>
      </c>
      <c r="F763" s="48">
        <v>131.2</v>
      </c>
    </row>
    <row r="764">
      <c r="A764" s="46" t="s">
        <v>134</v>
      </c>
      <c r="B764" s="46" t="s">
        <v>3931</v>
      </c>
      <c r="C764" s="46" t="s">
        <v>134</v>
      </c>
      <c r="D764" s="46" t="s">
        <v>17</v>
      </c>
      <c r="E764" s="46" t="s">
        <v>15</v>
      </c>
      <c r="F764" s="48">
        <v>143.8</v>
      </c>
    </row>
    <row r="765">
      <c r="A765" s="46" t="s">
        <v>134</v>
      </c>
      <c r="B765" s="46" t="s">
        <v>3933</v>
      </c>
      <c r="C765" s="46" t="s">
        <v>3934</v>
      </c>
      <c r="D765" s="46" t="s">
        <v>18</v>
      </c>
      <c r="E765" s="46" t="s">
        <v>15</v>
      </c>
      <c r="F765" s="48">
        <v>145.6</v>
      </c>
    </row>
    <row r="766">
      <c r="A766" s="46" t="s">
        <v>134</v>
      </c>
      <c r="B766" s="46" t="s">
        <v>3938</v>
      </c>
      <c r="C766" s="46" t="s">
        <v>144</v>
      </c>
      <c r="D766" s="46" t="s">
        <v>18</v>
      </c>
      <c r="E766" s="46" t="s">
        <v>15</v>
      </c>
      <c r="F766" s="48">
        <v>119.8</v>
      </c>
    </row>
    <row r="767">
      <c r="A767" s="46" t="s">
        <v>161</v>
      </c>
      <c r="B767" s="46" t="s">
        <v>3945</v>
      </c>
      <c r="C767" s="46" t="s">
        <v>2178</v>
      </c>
      <c r="D767" s="46" t="s">
        <v>17</v>
      </c>
      <c r="E767" s="46" t="s">
        <v>15</v>
      </c>
      <c r="F767" s="48">
        <v>104.8</v>
      </c>
    </row>
    <row r="768">
      <c r="A768" s="46" t="s">
        <v>169</v>
      </c>
      <c r="B768" s="46" t="s">
        <v>3955</v>
      </c>
      <c r="C768" s="46" t="s">
        <v>179</v>
      </c>
      <c r="D768" s="46" t="s">
        <v>17</v>
      </c>
      <c r="E768" s="46" t="s">
        <v>15</v>
      </c>
      <c r="F768" s="48">
        <v>113.7</v>
      </c>
    </row>
    <row r="769">
      <c r="A769" s="46" t="s">
        <v>483</v>
      </c>
      <c r="B769" s="46" t="s">
        <v>834</v>
      </c>
      <c r="C769" s="46" t="s">
        <v>3965</v>
      </c>
      <c r="D769" s="46" t="s">
        <v>17</v>
      </c>
      <c r="E769" s="46" t="s">
        <v>14</v>
      </c>
      <c r="F769" s="48">
        <v>106.4</v>
      </c>
    </row>
    <row r="770">
      <c r="A770" s="46" t="s">
        <v>483</v>
      </c>
      <c r="B770" s="46" t="s">
        <v>3973</v>
      </c>
      <c r="C770" s="46" t="s">
        <v>3974</v>
      </c>
      <c r="D770" s="46" t="s">
        <v>17</v>
      </c>
      <c r="E770" s="46" t="s">
        <v>14</v>
      </c>
      <c r="F770" s="48">
        <v>111.1</v>
      </c>
    </row>
    <row r="771">
      <c r="A771" s="46" t="s">
        <v>182</v>
      </c>
      <c r="B771" s="46" t="s">
        <v>3981</v>
      </c>
      <c r="C771" s="46" t="s">
        <v>3982</v>
      </c>
      <c r="D771" s="46" t="s">
        <v>18</v>
      </c>
      <c r="E771" s="46" t="s">
        <v>14</v>
      </c>
      <c r="F771" s="48">
        <v>104.6</v>
      </c>
    </row>
    <row r="772">
      <c r="A772" s="46" t="s">
        <v>129</v>
      </c>
      <c r="B772" s="46" t="s">
        <v>3984</v>
      </c>
      <c r="C772" s="46" t="s">
        <v>242</v>
      </c>
      <c r="D772" s="46" t="s">
        <v>18</v>
      </c>
      <c r="E772" s="46" t="s">
        <v>14</v>
      </c>
      <c r="F772" s="48">
        <v>119.2</v>
      </c>
    </row>
    <row r="773">
      <c r="A773" s="46" t="s">
        <v>129</v>
      </c>
      <c r="B773" s="46" t="s">
        <v>3989</v>
      </c>
      <c r="C773" s="46" t="s">
        <v>3987</v>
      </c>
      <c r="D773" s="46" t="s">
        <v>18</v>
      </c>
      <c r="E773" s="46" t="s">
        <v>15</v>
      </c>
      <c r="F773" s="48">
        <v>108.4</v>
      </c>
    </row>
    <row r="774">
      <c r="A774" s="46" t="s">
        <v>129</v>
      </c>
      <c r="B774" s="46" t="s">
        <v>3993</v>
      </c>
      <c r="C774" s="46" t="s">
        <v>3994</v>
      </c>
      <c r="D774" s="46" t="s">
        <v>18</v>
      </c>
      <c r="E774" s="46" t="s">
        <v>15</v>
      </c>
      <c r="F774" s="48">
        <v>104.8</v>
      </c>
    </row>
    <row r="775">
      <c r="A775" s="46" t="s">
        <v>129</v>
      </c>
      <c r="B775" s="46" t="s">
        <v>4007</v>
      </c>
      <c r="C775" s="46" t="s">
        <v>2239</v>
      </c>
      <c r="D775" s="46" t="s">
        <v>17</v>
      </c>
      <c r="E775" s="46" t="s">
        <v>15</v>
      </c>
      <c r="F775" s="48">
        <v>151.5</v>
      </c>
    </row>
    <row r="776">
      <c r="A776" s="46" t="s">
        <v>129</v>
      </c>
      <c r="B776" s="46" t="s">
        <v>4009</v>
      </c>
      <c r="C776" s="46" t="s">
        <v>4010</v>
      </c>
      <c r="D776" s="46" t="s">
        <v>17</v>
      </c>
      <c r="E776" s="46" t="s">
        <v>15</v>
      </c>
      <c r="F776" s="48">
        <v>138.0</v>
      </c>
    </row>
    <row r="777">
      <c r="A777" s="46" t="s">
        <v>129</v>
      </c>
      <c r="B777" s="46" t="s">
        <v>4019</v>
      </c>
      <c r="C777" s="46" t="s">
        <v>4020</v>
      </c>
      <c r="D777" s="46" t="s">
        <v>18</v>
      </c>
      <c r="E777" s="46" t="s">
        <v>15</v>
      </c>
      <c r="F777" s="48">
        <v>118.2</v>
      </c>
    </row>
    <row r="778">
      <c r="A778" s="46" t="s">
        <v>129</v>
      </c>
      <c r="B778" s="46" t="s">
        <v>4024</v>
      </c>
      <c r="C778" s="46" t="s">
        <v>4025</v>
      </c>
      <c r="D778" s="46" t="s">
        <v>18</v>
      </c>
      <c r="E778" s="46" t="s">
        <v>14</v>
      </c>
      <c r="F778" s="48">
        <v>119.3</v>
      </c>
    </row>
    <row r="779">
      <c r="A779" s="46" t="s">
        <v>129</v>
      </c>
      <c r="B779" s="46" t="s">
        <v>2316</v>
      </c>
      <c r="C779" s="46" t="s">
        <v>2267</v>
      </c>
      <c r="D779" s="46" t="s">
        <v>18</v>
      </c>
      <c r="E779" s="46" t="s">
        <v>14</v>
      </c>
      <c r="F779" s="48">
        <v>104.8</v>
      </c>
    </row>
    <row r="780">
      <c r="A780" s="46" t="s">
        <v>129</v>
      </c>
      <c r="B780" s="46" t="s">
        <v>4031</v>
      </c>
      <c r="C780" s="46" t="s">
        <v>242</v>
      </c>
      <c r="D780" s="46" t="s">
        <v>17</v>
      </c>
      <c r="E780" s="46" t="s">
        <v>14</v>
      </c>
      <c r="F780" s="48">
        <v>108.7</v>
      </c>
    </row>
    <row r="781">
      <c r="A781" s="46" t="s">
        <v>129</v>
      </c>
      <c r="B781" s="46" t="s">
        <v>4037</v>
      </c>
      <c r="C781" s="46" t="s">
        <v>4038</v>
      </c>
      <c r="D781" s="46" t="s">
        <v>17</v>
      </c>
      <c r="E781" s="46" t="s">
        <v>15</v>
      </c>
      <c r="F781" s="48">
        <v>117.2</v>
      </c>
    </row>
    <row r="782">
      <c r="A782" s="46" t="s">
        <v>269</v>
      </c>
      <c r="B782" s="46" t="s">
        <v>1132</v>
      </c>
      <c r="C782" s="46" t="s">
        <v>273</v>
      </c>
      <c r="D782" s="46" t="s">
        <v>18</v>
      </c>
      <c r="E782" s="46" t="s">
        <v>15</v>
      </c>
      <c r="F782" s="48">
        <v>104.7</v>
      </c>
    </row>
    <row r="783">
      <c r="A783" s="46" t="s">
        <v>269</v>
      </c>
      <c r="B783" s="46" t="s">
        <v>4041</v>
      </c>
      <c r="C783" s="46" t="s">
        <v>4042</v>
      </c>
      <c r="D783" s="46" t="s">
        <v>18</v>
      </c>
      <c r="E783" s="46" t="s">
        <v>15</v>
      </c>
      <c r="F783" s="48">
        <v>107.7</v>
      </c>
    </row>
    <row r="784">
      <c r="A784" s="46" t="s">
        <v>269</v>
      </c>
      <c r="B784" s="46" t="s">
        <v>4044</v>
      </c>
      <c r="C784" s="46" t="s">
        <v>2301</v>
      </c>
      <c r="D784" s="46" t="s">
        <v>18</v>
      </c>
      <c r="E784" s="46" t="s">
        <v>15</v>
      </c>
      <c r="F784" s="48">
        <v>111.1</v>
      </c>
    </row>
    <row r="785">
      <c r="A785" s="46" t="s">
        <v>269</v>
      </c>
      <c r="B785" s="46" t="s">
        <v>4046</v>
      </c>
      <c r="C785" s="46" t="s">
        <v>273</v>
      </c>
      <c r="D785" s="46" t="s">
        <v>17</v>
      </c>
      <c r="E785" s="46" t="s">
        <v>15</v>
      </c>
      <c r="F785" s="48">
        <v>127.0</v>
      </c>
    </row>
    <row r="786">
      <c r="A786" s="46" t="s">
        <v>269</v>
      </c>
      <c r="B786" s="46" t="s">
        <v>4048</v>
      </c>
      <c r="C786" s="46" t="s">
        <v>2301</v>
      </c>
      <c r="D786" s="46" t="s">
        <v>17</v>
      </c>
      <c r="E786" s="46" t="s">
        <v>15</v>
      </c>
      <c r="F786" s="48">
        <v>117.0</v>
      </c>
    </row>
    <row r="787">
      <c r="A787" s="46" t="s">
        <v>269</v>
      </c>
      <c r="B787" s="46" t="s">
        <v>4052</v>
      </c>
      <c r="C787" s="46" t="s">
        <v>4053</v>
      </c>
      <c r="D787" s="46" t="s">
        <v>18</v>
      </c>
      <c r="E787" s="46" t="s">
        <v>15</v>
      </c>
      <c r="F787" s="48">
        <v>115.1</v>
      </c>
    </row>
    <row r="788">
      <c r="A788" s="46" t="s">
        <v>269</v>
      </c>
      <c r="B788" s="46" t="s">
        <v>4057</v>
      </c>
      <c r="C788" s="46" t="s">
        <v>273</v>
      </c>
      <c r="D788" s="46" t="s">
        <v>18</v>
      </c>
      <c r="E788" s="46" t="s">
        <v>15</v>
      </c>
      <c r="F788" s="48">
        <v>124.2</v>
      </c>
    </row>
    <row r="789">
      <c r="A789" s="46" t="s">
        <v>269</v>
      </c>
      <c r="B789" s="46" t="s">
        <v>4059</v>
      </c>
      <c r="C789" s="46" t="s">
        <v>4060</v>
      </c>
      <c r="D789" s="46" t="s">
        <v>17</v>
      </c>
      <c r="E789" s="46" t="s">
        <v>15</v>
      </c>
      <c r="F789" s="48">
        <v>111.8</v>
      </c>
    </row>
    <row r="790">
      <c r="A790" s="46" t="s">
        <v>269</v>
      </c>
      <c r="B790" s="46" t="s">
        <v>4065</v>
      </c>
      <c r="C790" s="46" t="s">
        <v>273</v>
      </c>
      <c r="D790" s="46" t="s">
        <v>18</v>
      </c>
      <c r="E790" s="46" t="s">
        <v>14</v>
      </c>
      <c r="F790" s="48">
        <v>116.9</v>
      </c>
    </row>
    <row r="791">
      <c r="A791" s="46" t="s">
        <v>116</v>
      </c>
      <c r="B791" s="46" t="s">
        <v>4070</v>
      </c>
      <c r="C791" s="46" t="s">
        <v>4071</v>
      </c>
      <c r="D791" s="46" t="s">
        <v>18</v>
      </c>
      <c r="E791" s="46" t="s">
        <v>14</v>
      </c>
      <c r="F791" s="48">
        <v>111.6</v>
      </c>
    </row>
    <row r="792">
      <c r="A792" s="46" t="s">
        <v>284</v>
      </c>
      <c r="B792" s="46" t="s">
        <v>4081</v>
      </c>
      <c r="C792" s="46" t="s">
        <v>288</v>
      </c>
      <c r="D792" s="46" t="s">
        <v>17</v>
      </c>
      <c r="E792" s="46" t="s">
        <v>15</v>
      </c>
      <c r="F792" s="48">
        <v>125.2</v>
      </c>
    </row>
    <row r="793">
      <c r="A793" s="46" t="s">
        <v>284</v>
      </c>
      <c r="B793" s="46" t="s">
        <v>4089</v>
      </c>
      <c r="C793" s="46" t="s">
        <v>2322</v>
      </c>
      <c r="D793" s="46" t="s">
        <v>18</v>
      </c>
      <c r="E793" s="46" t="s">
        <v>15</v>
      </c>
      <c r="F793" s="48">
        <v>116.8</v>
      </c>
    </row>
    <row r="794">
      <c r="A794" s="46" t="s">
        <v>284</v>
      </c>
      <c r="B794" s="46" t="s">
        <v>4101</v>
      </c>
      <c r="C794" s="46" t="s">
        <v>4102</v>
      </c>
      <c r="D794" s="46" t="s">
        <v>18</v>
      </c>
      <c r="E794" s="46" t="s">
        <v>14</v>
      </c>
      <c r="F794" s="48">
        <v>106.9</v>
      </c>
    </row>
    <row r="795">
      <c r="A795" s="46" t="s">
        <v>313</v>
      </c>
      <c r="B795" s="46" t="s">
        <v>4104</v>
      </c>
      <c r="C795" s="46" t="s">
        <v>4105</v>
      </c>
      <c r="D795" s="46" t="s">
        <v>18</v>
      </c>
      <c r="E795" s="46" t="s">
        <v>15</v>
      </c>
      <c r="F795" s="48">
        <v>111.7</v>
      </c>
    </row>
    <row r="796">
      <c r="A796" s="46" t="s">
        <v>313</v>
      </c>
      <c r="B796" s="46" t="s">
        <v>4110</v>
      </c>
      <c r="C796" s="46" t="s">
        <v>4105</v>
      </c>
      <c r="D796" s="46" t="s">
        <v>17</v>
      </c>
      <c r="E796" s="46" t="s">
        <v>15</v>
      </c>
      <c r="F796" s="48">
        <v>124.9</v>
      </c>
    </row>
    <row r="797">
      <c r="A797" s="46" t="s">
        <v>322</v>
      </c>
      <c r="B797" s="46" t="s">
        <v>4114</v>
      </c>
      <c r="C797" s="46" t="s">
        <v>332</v>
      </c>
      <c r="D797" s="46" t="s">
        <v>18</v>
      </c>
      <c r="E797" s="46" t="s">
        <v>15</v>
      </c>
      <c r="F797" s="48">
        <v>114.6</v>
      </c>
    </row>
    <row r="798">
      <c r="A798" s="46" t="s">
        <v>333</v>
      </c>
      <c r="B798" s="46" t="s">
        <v>4125</v>
      </c>
      <c r="C798" s="46" t="s">
        <v>4126</v>
      </c>
      <c r="D798" s="46" t="s">
        <v>18</v>
      </c>
      <c r="E798" s="46" t="s">
        <v>14</v>
      </c>
      <c r="F798" s="48">
        <v>105.5</v>
      </c>
    </row>
    <row r="799">
      <c r="A799" s="46" t="s">
        <v>333</v>
      </c>
      <c r="B799" s="46" t="s">
        <v>4128</v>
      </c>
      <c r="C799" s="46" t="s">
        <v>337</v>
      </c>
      <c r="D799" s="46" t="s">
        <v>17</v>
      </c>
      <c r="E799" s="46" t="s">
        <v>15</v>
      </c>
      <c r="F799" s="48">
        <v>126.2</v>
      </c>
    </row>
    <row r="800">
      <c r="A800" s="46" t="s">
        <v>333</v>
      </c>
      <c r="B800" s="46" t="s">
        <v>4130</v>
      </c>
      <c r="C800" s="46" t="s">
        <v>337</v>
      </c>
      <c r="D800" s="46" t="s">
        <v>18</v>
      </c>
      <c r="E800" s="46" t="s">
        <v>14</v>
      </c>
      <c r="F800" s="48">
        <v>105.5</v>
      </c>
    </row>
    <row r="801">
      <c r="A801" s="46" t="s">
        <v>354</v>
      </c>
      <c r="B801" s="46" t="s">
        <v>4136</v>
      </c>
      <c r="C801" s="46" t="s">
        <v>2348</v>
      </c>
      <c r="D801" s="46" t="s">
        <v>17</v>
      </c>
      <c r="E801" s="46" t="s">
        <v>15</v>
      </c>
      <c r="F801" s="48">
        <v>120.8</v>
      </c>
    </row>
    <row r="802">
      <c r="A802" s="46" t="s">
        <v>354</v>
      </c>
      <c r="B802" s="46" t="s">
        <v>1617</v>
      </c>
      <c r="C802" s="46" t="s">
        <v>2351</v>
      </c>
      <c r="D802" s="46" t="s">
        <v>17</v>
      </c>
      <c r="E802" s="46" t="s">
        <v>15</v>
      </c>
      <c r="F802" s="48">
        <v>115.9</v>
      </c>
    </row>
    <row r="803">
      <c r="A803" s="46" t="s">
        <v>354</v>
      </c>
      <c r="B803" s="46" t="s">
        <v>4139</v>
      </c>
      <c r="C803" s="46" t="s">
        <v>4140</v>
      </c>
      <c r="D803" s="46" t="s">
        <v>17</v>
      </c>
      <c r="E803" s="46" t="s">
        <v>15</v>
      </c>
      <c r="F803" s="48">
        <v>109.3</v>
      </c>
    </row>
    <row r="804">
      <c r="A804" s="46" t="s">
        <v>354</v>
      </c>
      <c r="B804" s="46" t="s">
        <v>4142</v>
      </c>
      <c r="C804" s="46" t="s">
        <v>358</v>
      </c>
      <c r="D804" s="46" t="s">
        <v>17</v>
      </c>
      <c r="E804" s="46" t="s">
        <v>15</v>
      </c>
      <c r="F804" s="48">
        <v>124.0</v>
      </c>
    </row>
    <row r="805">
      <c r="A805" s="46" t="s">
        <v>322</v>
      </c>
      <c r="B805" s="46" t="s">
        <v>4147</v>
      </c>
      <c r="C805" s="46" t="s">
        <v>4148</v>
      </c>
      <c r="D805" s="46" t="s">
        <v>18</v>
      </c>
      <c r="E805" s="46" t="s">
        <v>14</v>
      </c>
      <c r="F805" s="48">
        <v>116.6</v>
      </c>
    </row>
    <row r="806">
      <c r="A806" s="46" t="s">
        <v>322</v>
      </c>
      <c r="B806" s="46" t="s">
        <v>4150</v>
      </c>
      <c r="C806" s="46" t="s">
        <v>4148</v>
      </c>
      <c r="D806" s="46" t="s">
        <v>18</v>
      </c>
      <c r="E806" s="46" t="s">
        <v>14</v>
      </c>
      <c r="F806" s="48">
        <v>111.4</v>
      </c>
    </row>
    <row r="807">
      <c r="A807" s="46" t="s">
        <v>377</v>
      </c>
      <c r="B807" s="46" t="s">
        <v>4152</v>
      </c>
      <c r="C807" s="46" t="s">
        <v>2384</v>
      </c>
      <c r="D807" s="46" t="s">
        <v>18</v>
      </c>
      <c r="E807" s="46" t="s">
        <v>14</v>
      </c>
      <c r="F807" s="48">
        <v>117.1</v>
      </c>
    </row>
    <row r="808">
      <c r="A808" s="46" t="s">
        <v>377</v>
      </c>
      <c r="B808" s="46" t="s">
        <v>4156</v>
      </c>
      <c r="C808" s="46" t="s">
        <v>2376</v>
      </c>
      <c r="D808" s="46" t="s">
        <v>17</v>
      </c>
      <c r="E808" s="46" t="s">
        <v>15</v>
      </c>
      <c r="F808" s="48">
        <v>111.3</v>
      </c>
    </row>
    <row r="809">
      <c r="A809" s="46" t="s">
        <v>393</v>
      </c>
      <c r="B809" s="46" t="s">
        <v>4162</v>
      </c>
      <c r="C809" s="46" t="s">
        <v>393</v>
      </c>
      <c r="D809" s="46" t="s">
        <v>17</v>
      </c>
      <c r="E809" s="46" t="s">
        <v>15</v>
      </c>
      <c r="F809" s="48">
        <v>124.8</v>
      </c>
    </row>
    <row r="810">
      <c r="A810" s="46" t="s">
        <v>393</v>
      </c>
      <c r="B810" s="46" t="s">
        <v>4164</v>
      </c>
      <c r="C810" s="46" t="s">
        <v>399</v>
      </c>
      <c r="D810" s="46" t="s">
        <v>17</v>
      </c>
      <c r="E810" s="46" t="s">
        <v>15</v>
      </c>
      <c r="F810" s="48">
        <v>112.6</v>
      </c>
    </row>
    <row r="811">
      <c r="A811" s="46" t="s">
        <v>161</v>
      </c>
      <c r="B811" s="46" t="s">
        <v>4168</v>
      </c>
      <c r="C811" s="46" t="s">
        <v>4169</v>
      </c>
      <c r="D811" s="46" t="s">
        <v>17</v>
      </c>
      <c r="E811" s="46" t="s">
        <v>15</v>
      </c>
      <c r="F811" s="48">
        <v>138.2</v>
      </c>
    </row>
    <row r="812">
      <c r="A812" s="46" t="s">
        <v>161</v>
      </c>
      <c r="B812" s="46" t="s">
        <v>307</v>
      </c>
      <c r="C812" s="46" t="s">
        <v>405</v>
      </c>
      <c r="D812" s="46" t="s">
        <v>17</v>
      </c>
      <c r="E812" s="46" t="s">
        <v>15</v>
      </c>
      <c r="F812" s="48">
        <v>120.8</v>
      </c>
    </row>
    <row r="813">
      <c r="A813" s="46" t="s">
        <v>161</v>
      </c>
      <c r="B813" s="46" t="s">
        <v>4172</v>
      </c>
      <c r="C813" s="46" t="s">
        <v>411</v>
      </c>
      <c r="D813" s="46" t="s">
        <v>17</v>
      </c>
      <c r="E813" s="46" t="s">
        <v>15</v>
      </c>
      <c r="F813" s="48">
        <v>115.4</v>
      </c>
    </row>
    <row r="814">
      <c r="A814" s="46" t="s">
        <v>161</v>
      </c>
      <c r="B814" s="46" t="s">
        <v>4179</v>
      </c>
      <c r="C814" s="46" t="s">
        <v>411</v>
      </c>
      <c r="D814" s="46" t="s">
        <v>18</v>
      </c>
      <c r="E814" s="46" t="s">
        <v>14</v>
      </c>
      <c r="F814" s="48">
        <v>110.6</v>
      </c>
    </row>
    <row r="815">
      <c r="A815" s="46" t="s">
        <v>269</v>
      </c>
      <c r="B815" s="46" t="s">
        <v>4181</v>
      </c>
      <c r="C815" s="46" t="s">
        <v>420</v>
      </c>
      <c r="D815" s="46" t="s">
        <v>18</v>
      </c>
      <c r="E815" s="46" t="s">
        <v>15</v>
      </c>
      <c r="F815" s="48">
        <v>119.8</v>
      </c>
    </row>
    <row r="816">
      <c r="A816" s="46" t="s">
        <v>269</v>
      </c>
      <c r="B816" s="46" t="s">
        <v>4185</v>
      </c>
      <c r="C816" s="46" t="s">
        <v>426</v>
      </c>
      <c r="D816" s="46" t="s">
        <v>18</v>
      </c>
      <c r="E816" s="46" t="s">
        <v>15</v>
      </c>
      <c r="F816" s="48">
        <v>113.7</v>
      </c>
    </row>
    <row r="817">
      <c r="A817" s="46" t="s">
        <v>313</v>
      </c>
      <c r="B817" s="46" t="s">
        <v>4190</v>
      </c>
      <c r="C817" s="46" t="s">
        <v>437</v>
      </c>
      <c r="D817" s="46" t="s">
        <v>18</v>
      </c>
      <c r="E817" s="46" t="s">
        <v>14</v>
      </c>
      <c r="F817" s="48">
        <v>107.5</v>
      </c>
    </row>
    <row r="818">
      <c r="A818" s="46" t="s">
        <v>354</v>
      </c>
      <c r="B818" s="46" t="s">
        <v>4201</v>
      </c>
      <c r="C818" s="46" t="s">
        <v>4202</v>
      </c>
      <c r="D818" s="46" t="s">
        <v>18</v>
      </c>
      <c r="E818" s="46" t="s">
        <v>14</v>
      </c>
      <c r="F818" s="48">
        <v>112.1</v>
      </c>
    </row>
    <row r="819">
      <c r="A819" s="46" t="s">
        <v>354</v>
      </c>
      <c r="B819" s="46" t="s">
        <v>4204</v>
      </c>
      <c r="C819" s="46" t="s">
        <v>480</v>
      </c>
      <c r="D819" s="46" t="s">
        <v>18</v>
      </c>
      <c r="E819" s="46" t="s">
        <v>15</v>
      </c>
      <c r="F819" s="48">
        <v>115.1</v>
      </c>
    </row>
    <row r="820">
      <c r="A820" s="46" t="s">
        <v>354</v>
      </c>
      <c r="B820" s="46" t="s">
        <v>4206</v>
      </c>
      <c r="C820" s="46" t="s">
        <v>4207</v>
      </c>
      <c r="D820" s="46" t="s">
        <v>18</v>
      </c>
      <c r="E820" s="46" t="s">
        <v>15</v>
      </c>
      <c r="F820" s="48">
        <v>115.5</v>
      </c>
    </row>
    <row r="821">
      <c r="A821" s="46" t="s">
        <v>354</v>
      </c>
      <c r="B821" s="46" t="s">
        <v>307</v>
      </c>
      <c r="C821" s="46" t="s">
        <v>457</v>
      </c>
      <c r="D821" s="46" t="s">
        <v>17</v>
      </c>
      <c r="E821" s="46" t="s">
        <v>15</v>
      </c>
      <c r="F821" s="48">
        <v>110.3</v>
      </c>
    </row>
    <row r="822">
      <c r="A822" s="46" t="s">
        <v>354</v>
      </c>
      <c r="B822" s="46" t="s">
        <v>4214</v>
      </c>
      <c r="C822" s="46" t="s">
        <v>449</v>
      </c>
      <c r="D822" s="46" t="s">
        <v>17</v>
      </c>
      <c r="E822" s="46" t="s">
        <v>14</v>
      </c>
      <c r="F822" s="48">
        <v>113.8</v>
      </c>
    </row>
    <row r="823">
      <c r="A823" s="46" t="s">
        <v>354</v>
      </c>
      <c r="B823" s="46" t="s">
        <v>4216</v>
      </c>
      <c r="C823" s="46" t="s">
        <v>449</v>
      </c>
      <c r="D823" s="46" t="s">
        <v>17</v>
      </c>
      <c r="E823" s="46" t="s">
        <v>15</v>
      </c>
      <c r="F823" s="48">
        <v>142.9</v>
      </c>
    </row>
    <row r="824">
      <c r="A824" s="46" t="s">
        <v>354</v>
      </c>
      <c r="B824" s="46" t="s">
        <v>4218</v>
      </c>
      <c r="C824" s="46" t="s">
        <v>449</v>
      </c>
      <c r="D824" s="46" t="s">
        <v>17</v>
      </c>
      <c r="E824" s="46" t="s">
        <v>14</v>
      </c>
      <c r="F824" s="48">
        <v>106.3</v>
      </c>
    </row>
    <row r="825">
      <c r="A825" s="46" t="s">
        <v>483</v>
      </c>
      <c r="B825" s="46" t="s">
        <v>3454</v>
      </c>
      <c r="C825" s="46" t="s">
        <v>4226</v>
      </c>
      <c r="D825" s="46" t="s">
        <v>18</v>
      </c>
      <c r="E825" s="46" t="s">
        <v>15</v>
      </c>
      <c r="F825" s="48">
        <v>125.4</v>
      </c>
    </row>
    <row r="826">
      <c r="A826" s="46" t="s">
        <v>182</v>
      </c>
      <c r="B826" s="46" t="s">
        <v>4231</v>
      </c>
      <c r="C826" s="46" t="s">
        <v>4232</v>
      </c>
      <c r="D826" s="46" t="s">
        <v>18</v>
      </c>
      <c r="E826" s="46" t="s">
        <v>14</v>
      </c>
      <c r="F826" s="48">
        <v>104.8</v>
      </c>
    </row>
    <row r="827">
      <c r="A827" s="46" t="s">
        <v>182</v>
      </c>
      <c r="B827" s="46" t="s">
        <v>4234</v>
      </c>
      <c r="C827" s="46" t="s">
        <v>4235</v>
      </c>
      <c r="D827" s="46" t="s">
        <v>18</v>
      </c>
      <c r="E827" s="46" t="s">
        <v>15</v>
      </c>
      <c r="F827" s="48">
        <v>119.5</v>
      </c>
    </row>
    <row r="828">
      <c r="A828" s="46" t="s">
        <v>182</v>
      </c>
      <c r="B828" s="46" t="s">
        <v>4237</v>
      </c>
      <c r="C828" s="46" t="s">
        <v>4238</v>
      </c>
      <c r="D828" s="46" t="s">
        <v>18</v>
      </c>
      <c r="E828" s="46" t="s">
        <v>15</v>
      </c>
      <c r="F828" s="48">
        <v>112.7</v>
      </c>
    </row>
    <row r="829">
      <c r="A829" s="46" t="s">
        <v>182</v>
      </c>
      <c r="B829" s="46" t="s">
        <v>4240</v>
      </c>
      <c r="C829" s="46" t="s">
        <v>182</v>
      </c>
      <c r="D829" s="46" t="s">
        <v>18</v>
      </c>
      <c r="E829" s="46" t="s">
        <v>15</v>
      </c>
      <c r="F829" s="48">
        <v>133.9</v>
      </c>
    </row>
    <row r="830">
      <c r="A830" s="46" t="s">
        <v>182</v>
      </c>
      <c r="B830" s="46" t="s">
        <v>4246</v>
      </c>
      <c r="C830" s="46" t="s">
        <v>182</v>
      </c>
      <c r="D830" s="46" t="s">
        <v>17</v>
      </c>
      <c r="E830" s="46" t="s">
        <v>14</v>
      </c>
      <c r="F830" s="48">
        <v>135.2</v>
      </c>
    </row>
    <row r="831">
      <c r="A831" s="46" t="s">
        <v>182</v>
      </c>
      <c r="B831" s="46" t="s">
        <v>4248</v>
      </c>
      <c r="C831" s="46" t="s">
        <v>182</v>
      </c>
      <c r="D831" s="46" t="s">
        <v>17</v>
      </c>
      <c r="E831" s="46" t="s">
        <v>15</v>
      </c>
      <c r="F831" s="48">
        <v>143.1</v>
      </c>
    </row>
    <row r="832">
      <c r="A832" s="46" t="s">
        <v>182</v>
      </c>
      <c r="B832" s="46" t="s">
        <v>3555</v>
      </c>
      <c r="C832" s="46" t="s">
        <v>182</v>
      </c>
      <c r="D832" s="46" t="s">
        <v>18</v>
      </c>
      <c r="E832" s="46" t="s">
        <v>15</v>
      </c>
      <c r="F832" s="48">
        <v>119.3</v>
      </c>
    </row>
    <row r="833">
      <c r="A833" s="46" t="s">
        <v>182</v>
      </c>
      <c r="B833" s="46" t="s">
        <v>4254</v>
      </c>
      <c r="C833" s="46" t="s">
        <v>182</v>
      </c>
      <c r="D833" s="46" t="s">
        <v>18</v>
      </c>
      <c r="E833" s="46" t="s">
        <v>15</v>
      </c>
      <c r="F833" s="48">
        <v>112.8</v>
      </c>
    </row>
    <row r="834">
      <c r="A834" s="46" t="s">
        <v>182</v>
      </c>
      <c r="B834" s="46" t="s">
        <v>4256</v>
      </c>
      <c r="C834" s="46" t="s">
        <v>4257</v>
      </c>
      <c r="D834" s="46" t="s">
        <v>18</v>
      </c>
      <c r="E834" s="46" t="s">
        <v>15</v>
      </c>
      <c r="F834" s="48">
        <v>140.2</v>
      </c>
    </row>
    <row r="835">
      <c r="A835" s="46" t="s">
        <v>182</v>
      </c>
      <c r="B835" s="46" t="s">
        <v>4259</v>
      </c>
      <c r="C835" s="46" t="s">
        <v>521</v>
      </c>
      <c r="D835" s="46" t="s">
        <v>17</v>
      </c>
      <c r="E835" s="46" t="s">
        <v>15</v>
      </c>
      <c r="F835" s="48">
        <v>114.5</v>
      </c>
    </row>
    <row r="836">
      <c r="A836" s="46" t="s">
        <v>182</v>
      </c>
      <c r="B836" s="46" t="s">
        <v>4261</v>
      </c>
      <c r="C836" s="46" t="s">
        <v>4262</v>
      </c>
      <c r="D836" s="46" t="s">
        <v>18</v>
      </c>
      <c r="E836" s="46" t="s">
        <v>14</v>
      </c>
      <c r="F836" s="48">
        <v>121.0</v>
      </c>
    </row>
    <row r="837">
      <c r="A837" s="46" t="s">
        <v>182</v>
      </c>
      <c r="B837" s="46" t="s">
        <v>4266</v>
      </c>
      <c r="C837" s="46" t="s">
        <v>4267</v>
      </c>
      <c r="D837" s="46" t="s">
        <v>18</v>
      </c>
      <c r="E837" s="46" t="s">
        <v>14</v>
      </c>
      <c r="F837" s="48">
        <v>114.0</v>
      </c>
    </row>
    <row r="838">
      <c r="A838" s="46" t="s">
        <v>182</v>
      </c>
      <c r="B838" s="46" t="s">
        <v>3243</v>
      </c>
      <c r="C838" s="46" t="s">
        <v>4269</v>
      </c>
      <c r="D838" s="46" t="s">
        <v>18</v>
      </c>
      <c r="E838" s="46" t="s">
        <v>14</v>
      </c>
      <c r="F838" s="48">
        <v>128.4</v>
      </c>
    </row>
    <row r="839">
      <c r="A839" s="46" t="s">
        <v>182</v>
      </c>
      <c r="B839" s="46" t="s">
        <v>4271</v>
      </c>
      <c r="C839" s="46" t="s">
        <v>4272</v>
      </c>
      <c r="D839" s="46" t="s">
        <v>18</v>
      </c>
      <c r="E839" s="46" t="s">
        <v>14</v>
      </c>
      <c r="F839" s="48">
        <v>115.7</v>
      </c>
    </row>
    <row r="840">
      <c r="A840" s="46" t="s">
        <v>182</v>
      </c>
      <c r="B840" s="46" t="s">
        <v>4274</v>
      </c>
      <c r="C840" s="46" t="s">
        <v>551</v>
      </c>
      <c r="D840" s="46" t="s">
        <v>18</v>
      </c>
      <c r="E840" s="46" t="s">
        <v>15</v>
      </c>
      <c r="F840" s="48">
        <v>120.9</v>
      </c>
    </row>
    <row r="841">
      <c r="A841" s="46" t="s">
        <v>182</v>
      </c>
      <c r="B841" s="46" t="s">
        <v>4276</v>
      </c>
      <c r="C841" s="46" t="s">
        <v>551</v>
      </c>
      <c r="D841" s="46" t="s">
        <v>18</v>
      </c>
      <c r="E841" s="46" t="s">
        <v>14</v>
      </c>
      <c r="F841" s="48">
        <v>112.8</v>
      </c>
    </row>
    <row r="842">
      <c r="A842" s="46" t="s">
        <v>377</v>
      </c>
      <c r="B842" s="46" t="s">
        <v>4280</v>
      </c>
      <c r="C842" s="46" t="s">
        <v>377</v>
      </c>
      <c r="D842" s="46" t="s">
        <v>18</v>
      </c>
      <c r="E842" s="46" t="s">
        <v>14</v>
      </c>
      <c r="F842" s="48">
        <v>125.6</v>
      </c>
    </row>
    <row r="843">
      <c r="A843" s="46" t="s">
        <v>377</v>
      </c>
      <c r="B843" s="46" t="s">
        <v>4282</v>
      </c>
      <c r="C843" s="46" t="s">
        <v>377</v>
      </c>
      <c r="D843" s="46" t="s">
        <v>18</v>
      </c>
      <c r="E843" s="46" t="s">
        <v>15</v>
      </c>
      <c r="F843" s="48">
        <v>119.7</v>
      </c>
    </row>
    <row r="844">
      <c r="A844" s="46" t="s">
        <v>377</v>
      </c>
      <c r="B844" s="46" t="s">
        <v>4293</v>
      </c>
      <c r="C844" s="46" t="s">
        <v>377</v>
      </c>
      <c r="D844" s="46" t="s">
        <v>17</v>
      </c>
      <c r="E844" s="46" t="s">
        <v>15</v>
      </c>
      <c r="F844" s="48">
        <v>135.2</v>
      </c>
    </row>
    <row r="845">
      <c r="A845" s="46" t="s">
        <v>377</v>
      </c>
      <c r="B845" s="46" t="s">
        <v>4295</v>
      </c>
      <c r="C845" s="46" t="s">
        <v>377</v>
      </c>
      <c r="D845" s="46" t="s">
        <v>17</v>
      </c>
      <c r="E845" s="46" t="s">
        <v>15</v>
      </c>
      <c r="F845" s="48">
        <v>139.9</v>
      </c>
    </row>
    <row r="846">
      <c r="A846" s="46" t="s">
        <v>377</v>
      </c>
      <c r="B846" s="46" t="s">
        <v>4305</v>
      </c>
      <c r="C846" s="46" t="s">
        <v>377</v>
      </c>
      <c r="D846" s="46" t="s">
        <v>17</v>
      </c>
      <c r="E846" s="46" t="s">
        <v>13</v>
      </c>
      <c r="F846" s="48">
        <v>105.1</v>
      </c>
    </row>
    <row r="847">
      <c r="A847" s="46" t="s">
        <v>483</v>
      </c>
      <c r="B847" s="46" t="s">
        <v>4307</v>
      </c>
      <c r="C847" s="46" t="s">
        <v>4308</v>
      </c>
      <c r="D847" s="46" t="s">
        <v>18</v>
      </c>
      <c r="E847" s="46" t="s">
        <v>15</v>
      </c>
      <c r="F847" s="48">
        <v>108.9</v>
      </c>
    </row>
    <row r="848">
      <c r="A848" s="46" t="s">
        <v>483</v>
      </c>
      <c r="B848" s="46" t="s">
        <v>4318</v>
      </c>
      <c r="C848" s="46" t="s">
        <v>483</v>
      </c>
      <c r="D848" s="46" t="s">
        <v>18</v>
      </c>
      <c r="E848" s="46" t="s">
        <v>14</v>
      </c>
      <c r="F848" s="48">
        <v>110.0</v>
      </c>
    </row>
    <row r="849">
      <c r="A849" s="46" t="s">
        <v>483</v>
      </c>
      <c r="B849" s="46" t="s">
        <v>4329</v>
      </c>
      <c r="C849" s="46" t="s">
        <v>483</v>
      </c>
      <c r="D849" s="46" t="s">
        <v>17</v>
      </c>
      <c r="E849" s="46" t="s">
        <v>14</v>
      </c>
      <c r="F849" s="48">
        <v>128.8</v>
      </c>
    </row>
    <row r="850">
      <c r="A850" s="46" t="s">
        <v>483</v>
      </c>
      <c r="B850" s="46" t="s">
        <v>4331</v>
      </c>
      <c r="C850" s="46" t="s">
        <v>483</v>
      </c>
      <c r="D850" s="46" t="s">
        <v>17</v>
      </c>
      <c r="E850" s="46" t="s">
        <v>15</v>
      </c>
      <c r="F850" s="48">
        <v>108.5</v>
      </c>
    </row>
    <row r="851">
      <c r="A851" s="46" t="s">
        <v>483</v>
      </c>
      <c r="B851" s="46" t="s">
        <v>4333</v>
      </c>
      <c r="C851" s="46" t="s">
        <v>4334</v>
      </c>
      <c r="D851" s="46" t="s">
        <v>18</v>
      </c>
      <c r="E851" s="46" t="s">
        <v>14</v>
      </c>
      <c r="F851" s="48">
        <v>126.3</v>
      </c>
    </row>
    <row r="852">
      <c r="A852" s="46" t="s">
        <v>483</v>
      </c>
      <c r="B852" s="46" t="s">
        <v>4336</v>
      </c>
      <c r="C852" s="46" t="s">
        <v>4337</v>
      </c>
      <c r="D852" s="46" t="s">
        <v>18</v>
      </c>
      <c r="E852" s="46" t="s">
        <v>14</v>
      </c>
      <c r="F852" s="48">
        <v>115.4</v>
      </c>
    </row>
    <row r="853">
      <c r="A853" s="46" t="s">
        <v>354</v>
      </c>
      <c r="B853" s="46" t="s">
        <v>4342</v>
      </c>
      <c r="C853" s="46" t="s">
        <v>354</v>
      </c>
      <c r="D853" s="46" t="s">
        <v>18</v>
      </c>
      <c r="E853" s="46" t="s">
        <v>15</v>
      </c>
      <c r="F853" s="48">
        <v>127.5</v>
      </c>
    </row>
    <row r="854">
      <c r="A854" s="46" t="s">
        <v>354</v>
      </c>
      <c r="B854" s="46" t="s">
        <v>4344</v>
      </c>
      <c r="C854" s="46" t="s">
        <v>354</v>
      </c>
      <c r="D854" s="46" t="s">
        <v>18</v>
      </c>
      <c r="E854" s="46" t="s">
        <v>14</v>
      </c>
      <c r="F854" s="48">
        <v>106.4</v>
      </c>
    </row>
    <row r="855">
      <c r="A855" s="46" t="s">
        <v>354</v>
      </c>
      <c r="B855" s="46" t="s">
        <v>4350</v>
      </c>
      <c r="C855" s="46" t="s">
        <v>2559</v>
      </c>
      <c r="D855" s="46" t="s">
        <v>18</v>
      </c>
      <c r="E855" s="46" t="s">
        <v>14</v>
      </c>
      <c r="F855" s="48">
        <v>110.9</v>
      </c>
    </row>
    <row r="856">
      <c r="A856" s="46" t="s">
        <v>354</v>
      </c>
      <c r="B856" s="46" t="s">
        <v>4352</v>
      </c>
      <c r="C856" s="46" t="s">
        <v>4353</v>
      </c>
      <c r="D856" s="46" t="s">
        <v>18</v>
      </c>
      <c r="E856" s="46" t="s">
        <v>15</v>
      </c>
      <c r="F856" s="48">
        <v>111.8</v>
      </c>
    </row>
    <row r="857">
      <c r="A857" s="46" t="s">
        <v>354</v>
      </c>
      <c r="B857" s="46" t="s">
        <v>4358</v>
      </c>
      <c r="C857" s="46" t="s">
        <v>354</v>
      </c>
      <c r="D857" s="46" t="s">
        <v>17</v>
      </c>
      <c r="E857" s="46" t="s">
        <v>15</v>
      </c>
      <c r="F857" s="48">
        <v>130.1</v>
      </c>
    </row>
    <row r="858">
      <c r="A858" s="46" t="s">
        <v>354</v>
      </c>
      <c r="B858" s="46" t="s">
        <v>4360</v>
      </c>
      <c r="C858" s="46" t="s">
        <v>354</v>
      </c>
      <c r="D858" s="46" t="s">
        <v>17</v>
      </c>
      <c r="E858" s="46" t="s">
        <v>15</v>
      </c>
      <c r="F858" s="48">
        <v>136.8</v>
      </c>
    </row>
    <row r="859">
      <c r="A859" s="46" t="s">
        <v>354</v>
      </c>
      <c r="B859" s="46" t="s">
        <v>4362</v>
      </c>
      <c r="C859" s="46" t="s">
        <v>2559</v>
      </c>
      <c r="D859" s="46" t="s">
        <v>17</v>
      </c>
      <c r="E859" s="46" t="s">
        <v>15</v>
      </c>
      <c r="F859" s="48">
        <v>129.1</v>
      </c>
    </row>
    <row r="860">
      <c r="A860" s="46" t="s">
        <v>354</v>
      </c>
      <c r="B860" s="46" t="s">
        <v>4364</v>
      </c>
      <c r="C860" s="46" t="s">
        <v>2563</v>
      </c>
      <c r="D860" s="46" t="s">
        <v>17</v>
      </c>
      <c r="E860" s="46" t="s">
        <v>14</v>
      </c>
      <c r="F860" s="48">
        <v>111.8</v>
      </c>
    </row>
    <row r="861">
      <c r="A861" s="46" t="s">
        <v>354</v>
      </c>
      <c r="B861" s="46" t="s">
        <v>889</v>
      </c>
      <c r="C861" s="46" t="s">
        <v>4366</v>
      </c>
      <c r="D861" s="46" t="s">
        <v>17</v>
      </c>
      <c r="E861" s="46" t="s">
        <v>15</v>
      </c>
      <c r="F861" s="48">
        <v>133.7</v>
      </c>
    </row>
    <row r="862">
      <c r="A862" s="46" t="s">
        <v>354</v>
      </c>
      <c r="B862" s="46" t="s">
        <v>4368</v>
      </c>
      <c r="C862" s="46" t="s">
        <v>4369</v>
      </c>
      <c r="D862" s="46" t="s">
        <v>17</v>
      </c>
      <c r="E862" s="46" t="s">
        <v>13</v>
      </c>
      <c r="F862" s="48">
        <v>108.6</v>
      </c>
    </row>
    <row r="863">
      <c r="A863" s="46" t="s">
        <v>354</v>
      </c>
      <c r="B863" s="46" t="s">
        <v>4373</v>
      </c>
      <c r="C863" s="46" t="s">
        <v>4374</v>
      </c>
      <c r="D863" s="46" t="s">
        <v>17</v>
      </c>
      <c r="E863" s="46" t="s">
        <v>14</v>
      </c>
      <c r="F863" s="48">
        <v>110.3</v>
      </c>
    </row>
    <row r="864">
      <c r="A864" s="46" t="s">
        <v>354</v>
      </c>
      <c r="B864" s="46" t="s">
        <v>4376</v>
      </c>
      <c r="C864" s="46" t="s">
        <v>354</v>
      </c>
      <c r="D864" s="46" t="s">
        <v>18</v>
      </c>
      <c r="E864" s="46" t="s">
        <v>15</v>
      </c>
      <c r="F864" s="48">
        <v>119.3</v>
      </c>
    </row>
    <row r="865">
      <c r="A865" s="46" t="s">
        <v>354</v>
      </c>
      <c r="B865" s="46" t="s">
        <v>4378</v>
      </c>
      <c r="C865" s="46" t="s">
        <v>2559</v>
      </c>
      <c r="D865" s="46" t="s">
        <v>17</v>
      </c>
      <c r="E865" s="46" t="s">
        <v>14</v>
      </c>
      <c r="F865" s="48">
        <v>120.1</v>
      </c>
    </row>
    <row r="866">
      <c r="A866" s="46" t="s">
        <v>354</v>
      </c>
      <c r="B866" s="46" t="s">
        <v>4380</v>
      </c>
      <c r="C866" s="46" t="s">
        <v>4381</v>
      </c>
      <c r="D866" s="46" t="s">
        <v>18</v>
      </c>
      <c r="E866" s="46" t="s">
        <v>15</v>
      </c>
      <c r="F866" s="48">
        <v>120.7</v>
      </c>
    </row>
    <row r="867">
      <c r="A867" s="46" t="s">
        <v>354</v>
      </c>
      <c r="B867" s="46" t="s">
        <v>4383</v>
      </c>
      <c r="C867" s="46" t="s">
        <v>4384</v>
      </c>
      <c r="D867" s="46" t="s">
        <v>18</v>
      </c>
      <c r="E867" s="46" t="s">
        <v>15</v>
      </c>
      <c r="F867" s="48">
        <v>118.2</v>
      </c>
    </row>
    <row r="868">
      <c r="A868" s="46" t="s">
        <v>313</v>
      </c>
      <c r="B868" s="46" t="s">
        <v>4388</v>
      </c>
      <c r="C868" s="46" t="s">
        <v>4389</v>
      </c>
      <c r="D868" s="46" t="s">
        <v>18</v>
      </c>
      <c r="E868" s="46" t="s">
        <v>14</v>
      </c>
      <c r="F868" s="48">
        <v>109.1</v>
      </c>
    </row>
    <row r="869">
      <c r="A869" s="46" t="s">
        <v>313</v>
      </c>
      <c r="B869" s="46" t="s">
        <v>4393</v>
      </c>
      <c r="C869" s="46" t="s">
        <v>640</v>
      </c>
      <c r="D869" s="46" t="s">
        <v>17</v>
      </c>
      <c r="E869" s="46" t="s">
        <v>15</v>
      </c>
      <c r="F869" s="48">
        <v>142.3</v>
      </c>
    </row>
    <row r="870">
      <c r="A870" s="46" t="s">
        <v>313</v>
      </c>
      <c r="B870" s="46" t="s">
        <v>4395</v>
      </c>
      <c r="C870" s="46" t="s">
        <v>645</v>
      </c>
      <c r="D870" s="46" t="s">
        <v>18</v>
      </c>
      <c r="E870" s="46" t="s">
        <v>15</v>
      </c>
      <c r="F870" s="48">
        <v>116.0</v>
      </c>
    </row>
    <row r="871">
      <c r="A871" s="46" t="s">
        <v>161</v>
      </c>
      <c r="B871" s="46" t="s">
        <v>4399</v>
      </c>
      <c r="C871" s="46" t="s">
        <v>4400</v>
      </c>
      <c r="D871" s="46" t="s">
        <v>18</v>
      </c>
      <c r="E871" s="46" t="s">
        <v>14</v>
      </c>
      <c r="F871" s="48">
        <v>114.4</v>
      </c>
    </row>
    <row r="872">
      <c r="A872" s="46" t="s">
        <v>161</v>
      </c>
      <c r="B872" s="46" t="s">
        <v>4402</v>
      </c>
      <c r="C872" s="46" t="s">
        <v>4403</v>
      </c>
      <c r="D872" s="46" t="s">
        <v>18</v>
      </c>
      <c r="E872" s="46" t="s">
        <v>14</v>
      </c>
      <c r="F872" s="48">
        <v>113.1</v>
      </c>
    </row>
    <row r="873">
      <c r="A873" s="46" t="s">
        <v>161</v>
      </c>
      <c r="B873" s="46" t="s">
        <v>4405</v>
      </c>
      <c r="C873" s="46" t="s">
        <v>704</v>
      </c>
      <c r="D873" s="46" t="s">
        <v>18</v>
      </c>
      <c r="E873" s="46" t="s">
        <v>15</v>
      </c>
      <c r="F873" s="48">
        <v>130.9</v>
      </c>
    </row>
    <row r="874">
      <c r="A874" s="46" t="s">
        <v>161</v>
      </c>
      <c r="B874" s="46" t="s">
        <v>4407</v>
      </c>
      <c r="C874" s="46" t="s">
        <v>4408</v>
      </c>
      <c r="D874" s="46" t="s">
        <v>17</v>
      </c>
      <c r="E874" s="46" t="s">
        <v>13</v>
      </c>
      <c r="F874" s="48">
        <v>107.6</v>
      </c>
    </row>
    <row r="875">
      <c r="A875" s="46" t="s">
        <v>161</v>
      </c>
      <c r="B875" s="46" t="s">
        <v>4413</v>
      </c>
      <c r="C875" s="46" t="s">
        <v>4414</v>
      </c>
      <c r="D875" s="46" t="s">
        <v>18</v>
      </c>
      <c r="E875" s="46" t="s">
        <v>14</v>
      </c>
      <c r="F875" s="48">
        <v>143.8</v>
      </c>
    </row>
    <row r="876">
      <c r="A876" s="46" t="s">
        <v>393</v>
      </c>
      <c r="B876" s="46" t="s">
        <v>4416</v>
      </c>
      <c r="C876" s="46" t="s">
        <v>4417</v>
      </c>
      <c r="D876" s="46" t="s">
        <v>18</v>
      </c>
      <c r="E876" s="46" t="s">
        <v>15</v>
      </c>
      <c r="F876" s="48">
        <v>123.6</v>
      </c>
    </row>
    <row r="877">
      <c r="A877" s="46" t="s">
        <v>393</v>
      </c>
      <c r="B877" s="46" t="s">
        <v>2778</v>
      </c>
      <c r="C877" s="46" t="s">
        <v>2637</v>
      </c>
      <c r="D877" s="46" t="s">
        <v>17</v>
      </c>
      <c r="E877" s="46" t="s">
        <v>15</v>
      </c>
      <c r="F877" s="48">
        <v>111.1</v>
      </c>
    </row>
    <row r="878">
      <c r="A878" s="46" t="s">
        <v>377</v>
      </c>
      <c r="B878" s="46" t="s">
        <v>4420</v>
      </c>
      <c r="C878" s="46" t="s">
        <v>4421</v>
      </c>
      <c r="D878" s="46" t="s">
        <v>18</v>
      </c>
      <c r="E878" s="46" t="s">
        <v>14</v>
      </c>
      <c r="F878" s="48">
        <v>106.8</v>
      </c>
    </row>
    <row r="879">
      <c r="A879" s="46" t="s">
        <v>377</v>
      </c>
      <c r="B879" s="46" t="s">
        <v>4437</v>
      </c>
      <c r="C879" s="46" t="s">
        <v>4438</v>
      </c>
      <c r="D879" s="46" t="s">
        <v>18</v>
      </c>
      <c r="E879" s="46" t="s">
        <v>15</v>
      </c>
      <c r="F879" s="48">
        <v>122.8</v>
      </c>
    </row>
    <row r="880">
      <c r="A880" s="46" t="s">
        <v>377</v>
      </c>
      <c r="B880" s="46" t="s">
        <v>4440</v>
      </c>
      <c r="C880" s="46" t="s">
        <v>720</v>
      </c>
      <c r="D880" s="46" t="s">
        <v>17</v>
      </c>
      <c r="E880" s="46" t="s">
        <v>15</v>
      </c>
      <c r="F880" s="48">
        <v>120.1</v>
      </c>
    </row>
    <row r="881">
      <c r="A881" s="46" t="s">
        <v>313</v>
      </c>
      <c r="B881" s="46" t="s">
        <v>814</v>
      </c>
      <c r="C881" s="46" t="s">
        <v>741</v>
      </c>
      <c r="D881" s="46" t="s">
        <v>18</v>
      </c>
      <c r="E881" s="46" t="s">
        <v>15</v>
      </c>
      <c r="F881" s="48">
        <v>111.5</v>
      </c>
    </row>
    <row r="882">
      <c r="A882" s="46" t="s">
        <v>71</v>
      </c>
      <c r="B882" s="46" t="s">
        <v>4443</v>
      </c>
      <c r="C882" s="46" t="s">
        <v>2668</v>
      </c>
      <c r="D882" s="46" t="s">
        <v>18</v>
      </c>
      <c r="E882" s="46" t="s">
        <v>15</v>
      </c>
      <c r="F882" s="48">
        <v>113.4</v>
      </c>
    </row>
    <row r="883">
      <c r="A883" s="46" t="s">
        <v>71</v>
      </c>
      <c r="B883" s="46" t="s">
        <v>766</v>
      </c>
      <c r="C883" s="46" t="s">
        <v>4447</v>
      </c>
      <c r="D883" s="46" t="s">
        <v>18</v>
      </c>
      <c r="E883" s="46" t="s">
        <v>15</v>
      </c>
      <c r="F883" s="48">
        <v>114.9</v>
      </c>
    </row>
    <row r="884">
      <c r="A884" s="46" t="s">
        <v>71</v>
      </c>
      <c r="B884" s="46" t="s">
        <v>4458</v>
      </c>
      <c r="C884" s="46" t="s">
        <v>4450</v>
      </c>
      <c r="D884" s="46" t="s">
        <v>17</v>
      </c>
      <c r="E884" s="46" t="s">
        <v>15</v>
      </c>
      <c r="F884" s="48">
        <v>122.7</v>
      </c>
    </row>
    <row r="885">
      <c r="A885" s="46" t="s">
        <v>71</v>
      </c>
      <c r="B885" s="46" t="s">
        <v>756</v>
      </c>
      <c r="C885" s="46" t="s">
        <v>748</v>
      </c>
      <c r="D885" s="46" t="s">
        <v>17</v>
      </c>
      <c r="E885" s="46" t="s">
        <v>15</v>
      </c>
      <c r="F885" s="48">
        <v>124.0</v>
      </c>
    </row>
    <row r="886">
      <c r="A886" s="46" t="s">
        <v>116</v>
      </c>
      <c r="B886" s="46" t="s">
        <v>4477</v>
      </c>
      <c r="C886" s="46" t="s">
        <v>4478</v>
      </c>
      <c r="D886" s="46" t="s">
        <v>18</v>
      </c>
      <c r="E886" s="46" t="s">
        <v>14</v>
      </c>
      <c r="F886" s="48">
        <v>104.0</v>
      </c>
    </row>
    <row r="887">
      <c r="A887" s="46" t="s">
        <v>779</v>
      </c>
      <c r="B887" s="46" t="s">
        <v>1870</v>
      </c>
      <c r="C887" s="46" t="s">
        <v>779</v>
      </c>
      <c r="D887" s="46" t="s">
        <v>17</v>
      </c>
      <c r="E887" s="46" t="s">
        <v>15</v>
      </c>
      <c r="F887" s="48">
        <v>141.9</v>
      </c>
    </row>
    <row r="888">
      <c r="A888" s="46" t="s">
        <v>779</v>
      </c>
      <c r="B888" s="46" t="s">
        <v>4487</v>
      </c>
      <c r="C888" s="46" t="s">
        <v>779</v>
      </c>
      <c r="D888" s="46" t="s">
        <v>17</v>
      </c>
      <c r="E888" s="46" t="s">
        <v>13</v>
      </c>
      <c r="F888" s="48">
        <v>121.3</v>
      </c>
    </row>
    <row r="889">
      <c r="A889" s="46" t="s">
        <v>779</v>
      </c>
      <c r="B889" s="46" t="s">
        <v>4493</v>
      </c>
      <c r="C889" s="46" t="s">
        <v>4494</v>
      </c>
      <c r="D889" s="46" t="s">
        <v>18</v>
      </c>
      <c r="E889" s="46" t="s">
        <v>14</v>
      </c>
      <c r="F889" s="48">
        <v>126.8</v>
      </c>
    </row>
    <row r="890">
      <c r="A890" s="46" t="s">
        <v>779</v>
      </c>
      <c r="B890" s="46" t="s">
        <v>4496</v>
      </c>
      <c r="C890" s="46" t="s">
        <v>779</v>
      </c>
      <c r="D890" s="46" t="s">
        <v>17</v>
      </c>
      <c r="E890" s="46" t="s">
        <v>14</v>
      </c>
      <c r="F890" s="48">
        <v>106.3</v>
      </c>
    </row>
    <row r="891">
      <c r="A891" s="46" t="s">
        <v>779</v>
      </c>
      <c r="B891" s="46" t="s">
        <v>4498</v>
      </c>
      <c r="C891" s="46" t="s">
        <v>779</v>
      </c>
      <c r="D891" s="46" t="s">
        <v>17</v>
      </c>
      <c r="E891" s="46" t="s">
        <v>14</v>
      </c>
      <c r="F891" s="48">
        <v>117.1</v>
      </c>
    </row>
    <row r="892">
      <c r="A892" s="46" t="s">
        <v>779</v>
      </c>
      <c r="B892" s="46" t="s">
        <v>4500</v>
      </c>
      <c r="C892" s="46" t="s">
        <v>4501</v>
      </c>
      <c r="D892" s="46" t="s">
        <v>18</v>
      </c>
      <c r="E892" s="46" t="s">
        <v>14</v>
      </c>
      <c r="F892" s="48">
        <v>121.0</v>
      </c>
    </row>
    <row r="893">
      <c r="A893" s="46" t="s">
        <v>779</v>
      </c>
      <c r="B893" s="46" t="s">
        <v>4503</v>
      </c>
      <c r="C893" s="46" t="s">
        <v>779</v>
      </c>
      <c r="D893" s="46" t="s">
        <v>17</v>
      </c>
      <c r="E893" s="46" t="s">
        <v>13</v>
      </c>
      <c r="F893" s="48">
        <v>107.5</v>
      </c>
    </row>
    <row r="894">
      <c r="A894" s="46" t="s">
        <v>779</v>
      </c>
      <c r="B894" s="46" t="s">
        <v>4505</v>
      </c>
      <c r="C894" s="46" t="s">
        <v>2732</v>
      </c>
      <c r="D894" s="46" t="s">
        <v>17</v>
      </c>
      <c r="E894" s="46" t="s">
        <v>15</v>
      </c>
      <c r="F894" s="48">
        <v>126.5</v>
      </c>
    </row>
    <row r="895">
      <c r="A895" s="46" t="s">
        <v>779</v>
      </c>
      <c r="B895" s="46" t="s">
        <v>4507</v>
      </c>
      <c r="C895" s="46" t="s">
        <v>4508</v>
      </c>
      <c r="D895" s="46" t="s">
        <v>18</v>
      </c>
      <c r="E895" s="46" t="s">
        <v>15</v>
      </c>
      <c r="F895" s="48">
        <v>133.0</v>
      </c>
    </row>
    <row r="896">
      <c r="A896" s="46" t="s">
        <v>313</v>
      </c>
      <c r="B896" s="46" t="s">
        <v>4510</v>
      </c>
      <c r="C896" s="46" t="s">
        <v>4511</v>
      </c>
      <c r="D896" s="46" t="s">
        <v>18</v>
      </c>
      <c r="E896" s="46" t="s">
        <v>15</v>
      </c>
      <c r="F896" s="48">
        <v>108.4</v>
      </c>
    </row>
    <row r="897">
      <c r="A897" s="46" t="s">
        <v>313</v>
      </c>
      <c r="B897" s="46" t="s">
        <v>4513</v>
      </c>
      <c r="C897" s="46" t="s">
        <v>830</v>
      </c>
      <c r="D897" s="46" t="s">
        <v>18</v>
      </c>
      <c r="E897" s="46" t="s">
        <v>15</v>
      </c>
      <c r="F897" s="48">
        <v>111.7</v>
      </c>
    </row>
    <row r="898">
      <c r="A898" s="46" t="s">
        <v>313</v>
      </c>
      <c r="B898" s="46" t="s">
        <v>4518</v>
      </c>
      <c r="C898" s="46" t="s">
        <v>830</v>
      </c>
      <c r="D898" s="46" t="s">
        <v>18</v>
      </c>
      <c r="E898" s="46" t="s">
        <v>15</v>
      </c>
      <c r="F898" s="48">
        <v>109.4</v>
      </c>
    </row>
    <row r="899">
      <c r="A899" s="46" t="s">
        <v>313</v>
      </c>
      <c r="B899" s="46" t="s">
        <v>1025</v>
      </c>
      <c r="C899" s="46" t="s">
        <v>4522</v>
      </c>
      <c r="D899" s="46" t="s">
        <v>18</v>
      </c>
      <c r="E899" s="46" t="s">
        <v>14</v>
      </c>
      <c r="F899" s="48">
        <v>114.0</v>
      </c>
    </row>
    <row r="900">
      <c r="A900" s="46" t="s">
        <v>377</v>
      </c>
      <c r="B900" s="46" t="s">
        <v>4524</v>
      </c>
      <c r="C900" s="46" t="s">
        <v>2760</v>
      </c>
      <c r="D900" s="46" t="s">
        <v>18</v>
      </c>
      <c r="E900" s="46" t="s">
        <v>15</v>
      </c>
      <c r="F900" s="48">
        <v>105.9</v>
      </c>
    </row>
    <row r="901">
      <c r="A901" s="46" t="s">
        <v>377</v>
      </c>
      <c r="B901" s="46" t="s">
        <v>4526</v>
      </c>
      <c r="C901" s="46" t="s">
        <v>4527</v>
      </c>
      <c r="D901" s="46" t="s">
        <v>18</v>
      </c>
      <c r="E901" s="46" t="s">
        <v>14</v>
      </c>
      <c r="F901" s="48">
        <v>106.6</v>
      </c>
    </row>
    <row r="902">
      <c r="A902" s="46" t="s">
        <v>377</v>
      </c>
      <c r="B902" s="46" t="s">
        <v>4532</v>
      </c>
      <c r="C902" s="46" t="s">
        <v>852</v>
      </c>
      <c r="D902" s="46" t="s">
        <v>17</v>
      </c>
      <c r="E902" s="46" t="s">
        <v>15</v>
      </c>
      <c r="F902" s="48">
        <v>116.2</v>
      </c>
    </row>
    <row r="903">
      <c r="A903" s="46" t="s">
        <v>377</v>
      </c>
      <c r="B903" s="46" t="s">
        <v>4536</v>
      </c>
      <c r="C903" s="46" t="s">
        <v>4530</v>
      </c>
      <c r="D903" s="46" t="s">
        <v>17</v>
      </c>
      <c r="E903" s="46" t="s">
        <v>15</v>
      </c>
      <c r="F903" s="48">
        <v>110.4</v>
      </c>
    </row>
    <row r="904">
      <c r="A904" s="46" t="s">
        <v>483</v>
      </c>
      <c r="B904" s="46" t="s">
        <v>1617</v>
      </c>
      <c r="C904" s="46" t="s">
        <v>2764</v>
      </c>
      <c r="D904" s="46" t="s">
        <v>17</v>
      </c>
      <c r="E904" s="46" t="s">
        <v>14</v>
      </c>
      <c r="F904" s="48">
        <v>114.4</v>
      </c>
    </row>
    <row r="905">
      <c r="A905" s="46" t="s">
        <v>779</v>
      </c>
      <c r="B905" s="46" t="s">
        <v>4544</v>
      </c>
      <c r="C905" s="46" t="s">
        <v>859</v>
      </c>
      <c r="D905" s="46" t="s">
        <v>18</v>
      </c>
      <c r="E905" s="46" t="s">
        <v>15</v>
      </c>
      <c r="F905" s="48">
        <v>124.5</v>
      </c>
    </row>
    <row r="906">
      <c r="A906" s="46" t="s">
        <v>779</v>
      </c>
      <c r="B906" s="46" t="s">
        <v>4546</v>
      </c>
      <c r="C906" s="46" t="s">
        <v>859</v>
      </c>
      <c r="D906" s="46" t="s">
        <v>18</v>
      </c>
      <c r="E906" s="46" t="s">
        <v>15</v>
      </c>
      <c r="F906" s="48">
        <v>120.9</v>
      </c>
    </row>
    <row r="907">
      <c r="A907" s="46" t="s">
        <v>779</v>
      </c>
      <c r="B907" s="46" t="s">
        <v>4550</v>
      </c>
      <c r="C907" s="46" t="s">
        <v>4551</v>
      </c>
      <c r="D907" s="46" t="s">
        <v>17</v>
      </c>
      <c r="E907" s="46" t="s">
        <v>15</v>
      </c>
      <c r="F907" s="48">
        <v>110.8</v>
      </c>
    </row>
    <row r="908">
      <c r="A908" s="46" t="s">
        <v>779</v>
      </c>
      <c r="B908" s="46" t="s">
        <v>1817</v>
      </c>
      <c r="C908" s="46" t="s">
        <v>859</v>
      </c>
      <c r="D908" s="46" t="s">
        <v>18</v>
      </c>
      <c r="E908" s="46" t="s">
        <v>15</v>
      </c>
      <c r="F908" s="48">
        <v>114.6</v>
      </c>
    </row>
    <row r="909">
      <c r="A909" s="46" t="s">
        <v>779</v>
      </c>
      <c r="B909" s="46" t="s">
        <v>4559</v>
      </c>
      <c r="C909" s="46" t="s">
        <v>859</v>
      </c>
      <c r="D909" s="46" t="s">
        <v>18</v>
      </c>
      <c r="E909" s="46" t="s">
        <v>14</v>
      </c>
      <c r="F909" s="48">
        <v>109.7</v>
      </c>
    </row>
    <row r="910">
      <c r="A910" s="46" t="s">
        <v>779</v>
      </c>
      <c r="B910" s="46" t="s">
        <v>4561</v>
      </c>
      <c r="C910" s="46" t="s">
        <v>859</v>
      </c>
      <c r="D910" s="46" t="s">
        <v>17</v>
      </c>
      <c r="E910" s="46" t="s">
        <v>15</v>
      </c>
      <c r="F910" s="48">
        <v>136.0</v>
      </c>
    </row>
    <row r="911">
      <c r="A911" s="46" t="s">
        <v>269</v>
      </c>
      <c r="B911" s="46" t="s">
        <v>4565</v>
      </c>
      <c r="C911" s="46" t="s">
        <v>893</v>
      </c>
      <c r="D911" s="46" t="s">
        <v>18</v>
      </c>
      <c r="E911" s="46" t="s">
        <v>14</v>
      </c>
      <c r="F911" s="48">
        <v>111.9</v>
      </c>
    </row>
    <row r="912">
      <c r="A912" s="46" t="s">
        <v>269</v>
      </c>
      <c r="B912" s="46" t="s">
        <v>4567</v>
      </c>
      <c r="C912" s="46" t="s">
        <v>898</v>
      </c>
      <c r="D912" s="46" t="s">
        <v>17</v>
      </c>
      <c r="E912" s="46" t="s">
        <v>15</v>
      </c>
      <c r="F912" s="48">
        <v>110.4</v>
      </c>
    </row>
    <row r="913">
      <c r="A913" s="46" t="s">
        <v>269</v>
      </c>
      <c r="B913" s="46" t="s">
        <v>4569</v>
      </c>
      <c r="C913" s="46" t="s">
        <v>4570</v>
      </c>
      <c r="D913" s="46" t="s">
        <v>17</v>
      </c>
      <c r="E913" s="46" t="s">
        <v>15</v>
      </c>
      <c r="F913" s="48">
        <v>122.7</v>
      </c>
    </row>
    <row r="914">
      <c r="A914" s="46" t="s">
        <v>169</v>
      </c>
      <c r="B914" s="46" t="s">
        <v>4578</v>
      </c>
      <c r="C914" s="46" t="s">
        <v>914</v>
      </c>
      <c r="D914" s="46" t="s">
        <v>17</v>
      </c>
      <c r="E914" s="46" t="s">
        <v>15</v>
      </c>
      <c r="F914" s="48">
        <v>115.3</v>
      </c>
    </row>
    <row r="915">
      <c r="A915" s="46" t="s">
        <v>169</v>
      </c>
      <c r="B915" s="46" t="s">
        <v>4584</v>
      </c>
      <c r="C915" s="46" t="s">
        <v>4580</v>
      </c>
      <c r="D915" s="46" t="s">
        <v>17</v>
      </c>
      <c r="E915" s="46" t="s">
        <v>15</v>
      </c>
      <c r="F915" s="48">
        <v>118.3</v>
      </c>
    </row>
    <row r="916">
      <c r="A916" s="46" t="s">
        <v>779</v>
      </c>
      <c r="B916" s="46" t="s">
        <v>4589</v>
      </c>
      <c r="C916" s="46" t="s">
        <v>2808</v>
      </c>
      <c r="D916" s="46" t="s">
        <v>18</v>
      </c>
      <c r="E916" s="46" t="s">
        <v>15</v>
      </c>
      <c r="F916" s="48">
        <v>107.9</v>
      </c>
    </row>
    <row r="917">
      <c r="A917" s="46" t="s">
        <v>779</v>
      </c>
      <c r="B917" s="46" t="s">
        <v>4593</v>
      </c>
      <c r="C917" s="46" t="s">
        <v>2808</v>
      </c>
      <c r="D917" s="46" t="s">
        <v>17</v>
      </c>
      <c r="E917" s="46" t="s">
        <v>15</v>
      </c>
      <c r="F917" s="48">
        <v>124.0</v>
      </c>
    </row>
    <row r="918">
      <c r="A918" s="46" t="s">
        <v>779</v>
      </c>
      <c r="B918" s="46" t="s">
        <v>4595</v>
      </c>
      <c r="C918" s="46" t="s">
        <v>927</v>
      </c>
      <c r="D918" s="46" t="s">
        <v>17</v>
      </c>
      <c r="E918" s="46" t="s">
        <v>15</v>
      </c>
      <c r="F918" s="48">
        <v>108.1</v>
      </c>
    </row>
    <row r="919">
      <c r="A919" s="46" t="s">
        <v>930</v>
      </c>
      <c r="B919" s="46" t="s">
        <v>4598</v>
      </c>
      <c r="C919" s="46" t="s">
        <v>937</v>
      </c>
      <c r="D919" s="46" t="s">
        <v>18</v>
      </c>
      <c r="E919" s="46" t="s">
        <v>15</v>
      </c>
      <c r="F919" s="48">
        <v>122.8</v>
      </c>
    </row>
    <row r="920">
      <c r="A920" s="46" t="s">
        <v>930</v>
      </c>
      <c r="B920" s="46" t="s">
        <v>4600</v>
      </c>
      <c r="C920" s="46" t="s">
        <v>951</v>
      </c>
      <c r="D920" s="46" t="s">
        <v>18</v>
      </c>
      <c r="E920" s="46" t="s">
        <v>15</v>
      </c>
      <c r="F920" s="48">
        <v>115.7</v>
      </c>
    </row>
    <row r="921">
      <c r="A921" s="46" t="s">
        <v>930</v>
      </c>
      <c r="B921" s="46" t="s">
        <v>4604</v>
      </c>
      <c r="C921" s="46" t="s">
        <v>2820</v>
      </c>
      <c r="D921" s="46" t="s">
        <v>17</v>
      </c>
      <c r="E921" s="46" t="s">
        <v>15</v>
      </c>
      <c r="F921" s="48">
        <v>105.8</v>
      </c>
    </row>
    <row r="922">
      <c r="A922" s="46" t="s">
        <v>930</v>
      </c>
      <c r="B922" s="46" t="s">
        <v>4611</v>
      </c>
      <c r="C922" s="46" t="s">
        <v>937</v>
      </c>
      <c r="D922" s="46" t="s">
        <v>17</v>
      </c>
      <c r="E922" s="46" t="s">
        <v>13</v>
      </c>
      <c r="F922" s="48">
        <v>104.3</v>
      </c>
    </row>
    <row r="923">
      <c r="A923" s="46" t="s">
        <v>354</v>
      </c>
      <c r="B923" s="46" t="s">
        <v>1733</v>
      </c>
      <c r="C923" s="46" t="s">
        <v>2857</v>
      </c>
      <c r="D923" s="46" t="s">
        <v>18</v>
      </c>
      <c r="E923" s="46" t="s">
        <v>15</v>
      </c>
      <c r="F923" s="48">
        <v>115.7</v>
      </c>
    </row>
    <row r="924">
      <c r="A924" s="46" t="s">
        <v>354</v>
      </c>
      <c r="B924" s="46" t="s">
        <v>4626</v>
      </c>
      <c r="C924" s="46" t="s">
        <v>978</v>
      </c>
      <c r="D924" s="46" t="s">
        <v>17</v>
      </c>
      <c r="E924" s="46" t="s">
        <v>15</v>
      </c>
      <c r="F924" s="48">
        <v>122.1</v>
      </c>
    </row>
    <row r="925">
      <c r="A925" s="46" t="s">
        <v>930</v>
      </c>
      <c r="B925" s="46" t="s">
        <v>4643</v>
      </c>
      <c r="C925" s="46" t="s">
        <v>989</v>
      </c>
      <c r="D925" s="46" t="s">
        <v>17</v>
      </c>
      <c r="E925" s="46" t="s">
        <v>15</v>
      </c>
      <c r="F925" s="48">
        <v>132.8</v>
      </c>
    </row>
    <row r="926">
      <c r="A926" s="46" t="s">
        <v>46</v>
      </c>
      <c r="B926" s="46" t="s">
        <v>4653</v>
      </c>
      <c r="C926" s="46" t="s">
        <v>1030</v>
      </c>
      <c r="D926" s="46" t="s">
        <v>18</v>
      </c>
      <c r="E926" s="46" t="s">
        <v>14</v>
      </c>
      <c r="F926" s="48">
        <v>112.6</v>
      </c>
    </row>
    <row r="927">
      <c r="A927" s="46" t="s">
        <v>46</v>
      </c>
      <c r="B927" s="46" t="s">
        <v>4661</v>
      </c>
      <c r="C927" s="46" t="s">
        <v>4662</v>
      </c>
      <c r="D927" s="46" t="s">
        <v>18</v>
      </c>
      <c r="E927" s="46" t="s">
        <v>14</v>
      </c>
      <c r="F927" s="48">
        <v>106.3</v>
      </c>
    </row>
    <row r="928">
      <c r="A928" s="46" t="s">
        <v>46</v>
      </c>
      <c r="B928" s="46" t="s">
        <v>4702</v>
      </c>
      <c r="C928" s="46" t="s">
        <v>1039</v>
      </c>
      <c r="D928" s="46" t="s">
        <v>17</v>
      </c>
      <c r="E928" s="46" t="s">
        <v>15</v>
      </c>
      <c r="F928" s="48">
        <v>121.3</v>
      </c>
    </row>
    <row r="929">
      <c r="A929" s="46" t="s">
        <v>46</v>
      </c>
      <c r="B929" s="46" t="s">
        <v>756</v>
      </c>
      <c r="C929" s="46" t="s">
        <v>46</v>
      </c>
      <c r="D929" s="46" t="s">
        <v>17</v>
      </c>
      <c r="E929" s="46" t="s">
        <v>15</v>
      </c>
      <c r="F929" s="48">
        <v>149.0</v>
      </c>
    </row>
    <row r="930">
      <c r="A930" s="46" t="s">
        <v>46</v>
      </c>
      <c r="B930" s="46" t="s">
        <v>4705</v>
      </c>
      <c r="C930" s="46" t="s">
        <v>46</v>
      </c>
      <c r="D930" s="46" t="s">
        <v>17</v>
      </c>
      <c r="E930" s="46" t="s">
        <v>14</v>
      </c>
      <c r="F930" s="48">
        <v>122.1</v>
      </c>
    </row>
    <row r="931">
      <c r="A931" s="46" t="s">
        <v>46</v>
      </c>
      <c r="B931" s="46" t="s">
        <v>2805</v>
      </c>
      <c r="C931" s="46" t="s">
        <v>1067</v>
      </c>
      <c r="D931" s="46" t="s">
        <v>17</v>
      </c>
      <c r="E931" s="46" t="s">
        <v>15</v>
      </c>
      <c r="F931" s="48">
        <v>117.7</v>
      </c>
    </row>
    <row r="932">
      <c r="A932" s="46" t="s">
        <v>88</v>
      </c>
      <c r="B932" s="46" t="s">
        <v>4721</v>
      </c>
      <c r="C932" s="46" t="s">
        <v>4722</v>
      </c>
      <c r="D932" s="46" t="s">
        <v>18</v>
      </c>
      <c r="E932" s="46" t="s">
        <v>15</v>
      </c>
      <c r="F932" s="48">
        <v>113.4</v>
      </c>
    </row>
    <row r="933">
      <c r="A933" s="46" t="s">
        <v>88</v>
      </c>
      <c r="B933" s="46" t="s">
        <v>4730</v>
      </c>
      <c r="C933" s="46" t="s">
        <v>1136</v>
      </c>
      <c r="D933" s="46" t="s">
        <v>17</v>
      </c>
      <c r="E933" s="46" t="s">
        <v>15</v>
      </c>
      <c r="F933" s="48">
        <v>122.5</v>
      </c>
    </row>
    <row r="934">
      <c r="A934" s="46" t="s">
        <v>88</v>
      </c>
      <c r="B934" s="46" t="s">
        <v>4732</v>
      </c>
      <c r="C934" s="46" t="s">
        <v>4733</v>
      </c>
      <c r="D934" s="46" t="s">
        <v>17</v>
      </c>
      <c r="E934" s="46" t="s">
        <v>15</v>
      </c>
      <c r="F934" s="48">
        <v>118.2</v>
      </c>
    </row>
    <row r="935">
      <c r="A935" s="46" t="s">
        <v>88</v>
      </c>
      <c r="B935" s="46" t="s">
        <v>4738</v>
      </c>
      <c r="C935" s="46" t="s">
        <v>1130</v>
      </c>
      <c r="D935" s="46" t="s">
        <v>18</v>
      </c>
      <c r="E935" s="46" t="s">
        <v>15</v>
      </c>
      <c r="F935" s="48">
        <v>104.3</v>
      </c>
    </row>
    <row r="936">
      <c r="A936" s="46" t="s">
        <v>88</v>
      </c>
      <c r="B936" s="46" t="s">
        <v>4740</v>
      </c>
      <c r="C936" s="46" t="s">
        <v>2986</v>
      </c>
      <c r="D936" s="46" t="s">
        <v>18</v>
      </c>
      <c r="E936" s="46" t="s">
        <v>15</v>
      </c>
      <c r="F936" s="48">
        <v>118.7</v>
      </c>
    </row>
    <row r="937">
      <c r="A937" s="46" t="s">
        <v>46</v>
      </c>
      <c r="B937" s="46" t="s">
        <v>4743</v>
      </c>
      <c r="C937" s="46" t="s">
        <v>1186</v>
      </c>
      <c r="D937" s="46" t="s">
        <v>18</v>
      </c>
      <c r="E937" s="46" t="s">
        <v>15</v>
      </c>
      <c r="F937" s="48">
        <v>120.0</v>
      </c>
    </row>
    <row r="938">
      <c r="A938" s="46" t="s">
        <v>46</v>
      </c>
      <c r="B938" s="46" t="s">
        <v>4751</v>
      </c>
      <c r="C938" s="46" t="s">
        <v>4752</v>
      </c>
      <c r="D938" s="46" t="s">
        <v>18</v>
      </c>
      <c r="E938" s="46" t="s">
        <v>15</v>
      </c>
      <c r="F938" s="48">
        <v>109.2</v>
      </c>
    </row>
    <row r="939">
      <c r="A939" s="46" t="s">
        <v>116</v>
      </c>
      <c r="B939" s="46" t="s">
        <v>4598</v>
      </c>
      <c r="C939" s="46" t="s">
        <v>1199</v>
      </c>
      <c r="D939" s="46" t="s">
        <v>18</v>
      </c>
      <c r="E939" s="46" t="s">
        <v>15</v>
      </c>
      <c r="F939" s="48">
        <v>128.1</v>
      </c>
    </row>
    <row r="940">
      <c r="A940" s="46" t="s">
        <v>116</v>
      </c>
      <c r="B940" s="46" t="s">
        <v>4765</v>
      </c>
      <c r="C940" s="46" t="s">
        <v>4766</v>
      </c>
      <c r="D940" s="46" t="s">
        <v>18</v>
      </c>
      <c r="E940" s="46" t="s">
        <v>15</v>
      </c>
      <c r="F940" s="48">
        <v>118.2</v>
      </c>
    </row>
    <row r="941">
      <c r="A941" s="46" t="s">
        <v>116</v>
      </c>
      <c r="B941" s="46" t="s">
        <v>4773</v>
      </c>
      <c r="C941" s="46" t="s">
        <v>1199</v>
      </c>
      <c r="D941" s="46" t="s">
        <v>17</v>
      </c>
      <c r="E941" s="46" t="s">
        <v>15</v>
      </c>
      <c r="F941" s="48">
        <v>122.3</v>
      </c>
    </row>
    <row r="942">
      <c r="A942" s="46" t="s">
        <v>116</v>
      </c>
      <c r="B942" s="46" t="s">
        <v>4775</v>
      </c>
      <c r="C942" s="46" t="s">
        <v>1199</v>
      </c>
      <c r="D942" s="46" t="s">
        <v>17</v>
      </c>
      <c r="E942" s="46" t="s">
        <v>13</v>
      </c>
      <c r="F942" s="48">
        <v>113.1</v>
      </c>
    </row>
    <row r="943">
      <c r="A943" s="46" t="s">
        <v>377</v>
      </c>
      <c r="B943" s="46" t="s">
        <v>4777</v>
      </c>
      <c r="C943" s="46" t="s">
        <v>1235</v>
      </c>
      <c r="D943" s="46" t="s">
        <v>18</v>
      </c>
      <c r="E943" s="46" t="s">
        <v>15</v>
      </c>
      <c r="F943" s="48">
        <v>124.7</v>
      </c>
    </row>
    <row r="944">
      <c r="A944" s="46" t="s">
        <v>377</v>
      </c>
      <c r="B944" s="46" t="s">
        <v>555</v>
      </c>
      <c r="C944" s="46" t="s">
        <v>1219</v>
      </c>
      <c r="D944" s="46" t="s">
        <v>17</v>
      </c>
      <c r="E944" s="46" t="s">
        <v>15</v>
      </c>
      <c r="F944" s="48">
        <v>115.4</v>
      </c>
    </row>
    <row r="945">
      <c r="A945" s="46" t="s">
        <v>377</v>
      </c>
      <c r="B945" s="46" t="s">
        <v>4791</v>
      </c>
      <c r="C945" s="46" t="s">
        <v>1225</v>
      </c>
      <c r="D945" s="46" t="s">
        <v>17</v>
      </c>
      <c r="E945" s="46" t="s">
        <v>15</v>
      </c>
      <c r="F945" s="48">
        <v>126.2</v>
      </c>
    </row>
    <row r="946">
      <c r="A946" s="46" t="s">
        <v>377</v>
      </c>
      <c r="B946" s="46" t="s">
        <v>4793</v>
      </c>
      <c r="C946" s="46" t="s">
        <v>4794</v>
      </c>
      <c r="D946" s="46" t="s">
        <v>17</v>
      </c>
      <c r="E946" s="46" t="s">
        <v>14</v>
      </c>
      <c r="F946" s="48">
        <v>106.8</v>
      </c>
    </row>
    <row r="947">
      <c r="A947" s="46" t="s">
        <v>182</v>
      </c>
      <c r="B947" s="46" t="s">
        <v>4798</v>
      </c>
      <c r="C947" s="46" t="s">
        <v>4799</v>
      </c>
      <c r="D947" s="46" t="s">
        <v>18</v>
      </c>
      <c r="E947" s="46" t="s">
        <v>15</v>
      </c>
      <c r="F947" s="48">
        <v>118.6</v>
      </c>
    </row>
    <row r="948">
      <c r="A948" s="46" t="s">
        <v>1259</v>
      </c>
      <c r="B948" s="46" t="s">
        <v>4824</v>
      </c>
      <c r="C948" s="46" t="s">
        <v>3157</v>
      </c>
      <c r="D948" s="46" t="s">
        <v>18</v>
      </c>
      <c r="E948" s="46" t="s">
        <v>15</v>
      </c>
      <c r="F948" s="48">
        <v>111.9</v>
      </c>
    </row>
    <row r="949">
      <c r="A949" s="46" t="s">
        <v>1259</v>
      </c>
      <c r="B949" s="46" t="s">
        <v>4826</v>
      </c>
      <c r="C949" s="46" t="s">
        <v>1275</v>
      </c>
      <c r="D949" s="46" t="s">
        <v>18</v>
      </c>
      <c r="E949" s="46" t="s">
        <v>14</v>
      </c>
      <c r="F949" s="48">
        <v>106.8</v>
      </c>
    </row>
    <row r="950">
      <c r="A950" s="46" t="s">
        <v>1259</v>
      </c>
      <c r="B950" s="46" t="s">
        <v>4828</v>
      </c>
      <c r="C950" s="46" t="s">
        <v>4829</v>
      </c>
      <c r="D950" s="46" t="s">
        <v>18</v>
      </c>
      <c r="E950" s="46" t="s">
        <v>14</v>
      </c>
      <c r="F950" s="48">
        <v>109.0</v>
      </c>
    </row>
    <row r="951">
      <c r="A951" s="46" t="s">
        <v>1259</v>
      </c>
      <c r="B951" s="46" t="s">
        <v>4831</v>
      </c>
      <c r="C951" s="46" t="s">
        <v>1259</v>
      </c>
      <c r="D951" s="46" t="s">
        <v>17</v>
      </c>
      <c r="E951" s="46" t="s">
        <v>15</v>
      </c>
      <c r="F951" s="48">
        <v>142.0</v>
      </c>
    </row>
    <row r="952">
      <c r="A952" s="46" t="s">
        <v>1259</v>
      </c>
      <c r="B952" s="46" t="s">
        <v>4833</v>
      </c>
      <c r="C952" s="46" t="s">
        <v>1259</v>
      </c>
      <c r="D952" s="46" t="s">
        <v>17</v>
      </c>
      <c r="E952" s="46" t="s">
        <v>15</v>
      </c>
      <c r="F952" s="48">
        <v>138.7</v>
      </c>
    </row>
    <row r="953">
      <c r="A953" s="46" t="s">
        <v>1259</v>
      </c>
      <c r="B953" s="46" t="s">
        <v>4835</v>
      </c>
      <c r="C953" s="46" t="s">
        <v>4836</v>
      </c>
      <c r="D953" s="46" t="s">
        <v>18</v>
      </c>
      <c r="E953" s="46" t="s">
        <v>14</v>
      </c>
      <c r="F953" s="48">
        <v>106.6</v>
      </c>
    </row>
    <row r="954">
      <c r="A954" s="46" t="s">
        <v>1259</v>
      </c>
      <c r="B954" s="46" t="s">
        <v>4838</v>
      </c>
      <c r="C954" s="46" t="s">
        <v>1259</v>
      </c>
      <c r="D954" s="46" t="s">
        <v>17</v>
      </c>
      <c r="E954" s="46" t="s">
        <v>15</v>
      </c>
      <c r="F954" s="48">
        <v>110.9</v>
      </c>
    </row>
    <row r="955">
      <c r="A955" s="46" t="s">
        <v>1259</v>
      </c>
      <c r="B955" s="46" t="s">
        <v>4845</v>
      </c>
      <c r="C955" s="46" t="s">
        <v>4846</v>
      </c>
      <c r="D955" s="46" t="s">
        <v>18</v>
      </c>
      <c r="E955" s="46" t="s">
        <v>15</v>
      </c>
      <c r="F955" s="48">
        <v>118.2</v>
      </c>
    </row>
    <row r="956">
      <c r="A956" s="46" t="s">
        <v>71</v>
      </c>
      <c r="B956" s="46" t="s">
        <v>4857</v>
      </c>
      <c r="C956" s="46" t="s">
        <v>4858</v>
      </c>
      <c r="D956" s="46" t="s">
        <v>18</v>
      </c>
      <c r="E956" s="46" t="s">
        <v>15</v>
      </c>
      <c r="F956" s="48">
        <v>110.9</v>
      </c>
    </row>
    <row r="957">
      <c r="A957" s="46" t="s">
        <v>71</v>
      </c>
      <c r="B957" s="46" t="s">
        <v>4862</v>
      </c>
      <c r="C957" s="46" t="s">
        <v>1345</v>
      </c>
      <c r="D957" s="46" t="s">
        <v>18</v>
      </c>
      <c r="E957" s="46" t="s">
        <v>15</v>
      </c>
      <c r="F957" s="48">
        <v>107.9</v>
      </c>
    </row>
    <row r="958">
      <c r="A958" s="46" t="s">
        <v>71</v>
      </c>
      <c r="B958" s="46" t="s">
        <v>2778</v>
      </c>
      <c r="C958" s="46" t="s">
        <v>1340</v>
      </c>
      <c r="D958" s="46" t="s">
        <v>17</v>
      </c>
      <c r="E958" s="46" t="s">
        <v>15</v>
      </c>
      <c r="F958" s="48">
        <v>135.1</v>
      </c>
    </row>
    <row r="959">
      <c r="A959" s="46" t="s">
        <v>71</v>
      </c>
      <c r="B959" s="46" t="s">
        <v>4867</v>
      </c>
      <c r="C959" s="46" t="s">
        <v>1340</v>
      </c>
      <c r="D959" s="46" t="s">
        <v>17</v>
      </c>
      <c r="E959" s="46" t="s">
        <v>15</v>
      </c>
      <c r="F959" s="48">
        <v>148.9</v>
      </c>
    </row>
    <row r="960">
      <c r="A960" s="46" t="s">
        <v>71</v>
      </c>
      <c r="B960" s="46" t="s">
        <v>4869</v>
      </c>
      <c r="C960" s="46" t="s">
        <v>1353</v>
      </c>
      <c r="D960" s="46" t="s">
        <v>17</v>
      </c>
      <c r="E960" s="46" t="s">
        <v>15</v>
      </c>
      <c r="F960" s="48">
        <v>125.7</v>
      </c>
    </row>
    <row r="961">
      <c r="A961" s="46" t="s">
        <v>71</v>
      </c>
      <c r="B961" s="46" t="s">
        <v>4871</v>
      </c>
      <c r="C961" s="46" t="s">
        <v>1356</v>
      </c>
      <c r="D961" s="46" t="s">
        <v>17</v>
      </c>
      <c r="E961" s="46" t="s">
        <v>15</v>
      </c>
      <c r="F961" s="48">
        <v>117.0</v>
      </c>
    </row>
    <row r="962">
      <c r="A962" s="46" t="s">
        <v>71</v>
      </c>
      <c r="B962" s="46" t="s">
        <v>4873</v>
      </c>
      <c r="C962" s="46" t="s">
        <v>1328</v>
      </c>
      <c r="D962" s="46" t="s">
        <v>17</v>
      </c>
      <c r="E962" s="46" t="s">
        <v>15</v>
      </c>
      <c r="F962" s="48">
        <v>107.2</v>
      </c>
    </row>
    <row r="963">
      <c r="A963" s="46" t="s">
        <v>71</v>
      </c>
      <c r="B963" s="46" t="s">
        <v>4877</v>
      </c>
      <c r="C963" s="46" t="s">
        <v>4858</v>
      </c>
      <c r="D963" s="46" t="s">
        <v>17</v>
      </c>
      <c r="E963" s="46" t="s">
        <v>13</v>
      </c>
      <c r="F963" s="48">
        <v>114.3</v>
      </c>
    </row>
    <row r="964">
      <c r="A964" s="46" t="s">
        <v>71</v>
      </c>
      <c r="B964" s="46" t="s">
        <v>4879</v>
      </c>
      <c r="C964" s="46" t="s">
        <v>1340</v>
      </c>
      <c r="D964" s="46" t="s">
        <v>17</v>
      </c>
      <c r="E964" s="46" t="s">
        <v>15</v>
      </c>
      <c r="F964" s="48">
        <v>121.1</v>
      </c>
    </row>
    <row r="965">
      <c r="A965" s="46" t="s">
        <v>71</v>
      </c>
      <c r="B965" s="46" t="s">
        <v>2569</v>
      </c>
      <c r="C965" s="46" t="s">
        <v>4886</v>
      </c>
      <c r="D965" s="46" t="s">
        <v>18</v>
      </c>
      <c r="E965" s="46" t="s">
        <v>15</v>
      </c>
      <c r="F965" s="48">
        <v>128.6</v>
      </c>
    </row>
    <row r="966">
      <c r="A966" s="46" t="s">
        <v>393</v>
      </c>
      <c r="B966" s="46" t="s">
        <v>4896</v>
      </c>
      <c r="C966" s="46" t="s">
        <v>1389</v>
      </c>
      <c r="D966" s="46" t="s">
        <v>18</v>
      </c>
      <c r="E966" s="46" t="s">
        <v>15</v>
      </c>
      <c r="F966" s="48">
        <v>109.2</v>
      </c>
    </row>
    <row r="967">
      <c r="A967" s="46" t="s">
        <v>333</v>
      </c>
      <c r="B967" s="46" t="s">
        <v>4900</v>
      </c>
      <c r="C967" s="46" t="s">
        <v>3251</v>
      </c>
      <c r="D967" s="46" t="s">
        <v>18</v>
      </c>
      <c r="E967" s="46" t="s">
        <v>15</v>
      </c>
      <c r="F967" s="48">
        <v>109.6</v>
      </c>
    </row>
    <row r="968">
      <c r="A968" s="46" t="s">
        <v>333</v>
      </c>
      <c r="B968" s="46" t="s">
        <v>4902</v>
      </c>
      <c r="C968" s="46" t="s">
        <v>4903</v>
      </c>
      <c r="D968" s="46" t="s">
        <v>18</v>
      </c>
      <c r="E968" s="46" t="s">
        <v>15</v>
      </c>
      <c r="F968" s="48">
        <v>113.9</v>
      </c>
    </row>
    <row r="969">
      <c r="A969" s="46" t="s">
        <v>779</v>
      </c>
      <c r="B969" s="46" t="s">
        <v>2197</v>
      </c>
      <c r="C969" s="46" t="s">
        <v>3262</v>
      </c>
      <c r="D969" s="46" t="s">
        <v>17</v>
      </c>
      <c r="E969" s="46" t="s">
        <v>15</v>
      </c>
      <c r="F969" s="48">
        <v>104.5</v>
      </c>
    </row>
    <row r="970">
      <c r="A970" s="46" t="s">
        <v>779</v>
      </c>
      <c r="B970" s="46" t="s">
        <v>4915</v>
      </c>
      <c r="C970" s="46" t="s">
        <v>1403</v>
      </c>
      <c r="D970" s="46" t="s">
        <v>18</v>
      </c>
      <c r="E970" s="46" t="s">
        <v>15</v>
      </c>
      <c r="F970" s="48">
        <v>109.1</v>
      </c>
    </row>
    <row r="971">
      <c r="A971" s="46" t="s">
        <v>161</v>
      </c>
      <c r="B971" s="46" t="s">
        <v>2446</v>
      </c>
      <c r="C971" s="46" t="s">
        <v>3285</v>
      </c>
      <c r="D971" s="46" t="s">
        <v>18</v>
      </c>
      <c r="E971" s="46" t="s">
        <v>14</v>
      </c>
      <c r="F971" s="48">
        <v>110.9</v>
      </c>
    </row>
    <row r="972">
      <c r="A972" s="46" t="s">
        <v>161</v>
      </c>
      <c r="B972" s="46" t="s">
        <v>4918</v>
      </c>
      <c r="C972" s="46" t="s">
        <v>1410</v>
      </c>
      <c r="D972" s="46" t="s">
        <v>18</v>
      </c>
      <c r="E972" s="46" t="s">
        <v>15</v>
      </c>
      <c r="F972" s="48">
        <v>129.8</v>
      </c>
    </row>
    <row r="973">
      <c r="A973" s="46" t="s">
        <v>161</v>
      </c>
      <c r="B973" s="46" t="s">
        <v>4920</v>
      </c>
      <c r="C973" s="46" t="s">
        <v>4921</v>
      </c>
      <c r="D973" s="46" t="s">
        <v>18</v>
      </c>
      <c r="E973" s="46" t="s">
        <v>13</v>
      </c>
      <c r="F973" s="48">
        <v>118.7</v>
      </c>
    </row>
    <row r="974">
      <c r="A974" s="46" t="s">
        <v>161</v>
      </c>
      <c r="B974" s="46" t="s">
        <v>4923</v>
      </c>
      <c r="C974" s="46" t="s">
        <v>4924</v>
      </c>
      <c r="D974" s="46" t="s">
        <v>18</v>
      </c>
      <c r="E974" s="46" t="s">
        <v>14</v>
      </c>
      <c r="F974" s="48">
        <v>108.0</v>
      </c>
    </row>
    <row r="975">
      <c r="A975" s="46" t="s">
        <v>161</v>
      </c>
      <c r="B975" s="46" t="s">
        <v>4926</v>
      </c>
      <c r="C975" s="46" t="s">
        <v>1440</v>
      </c>
      <c r="D975" s="46" t="s">
        <v>18</v>
      </c>
      <c r="E975" s="46" t="s">
        <v>15</v>
      </c>
      <c r="F975" s="48">
        <v>121.0</v>
      </c>
    </row>
    <row r="976">
      <c r="A976" s="46" t="s">
        <v>161</v>
      </c>
      <c r="B976" s="46" t="s">
        <v>4928</v>
      </c>
      <c r="C976" s="46" t="s">
        <v>4929</v>
      </c>
      <c r="D976" s="46" t="s">
        <v>18</v>
      </c>
      <c r="E976" s="46" t="s">
        <v>14</v>
      </c>
      <c r="F976" s="48">
        <v>117.3</v>
      </c>
    </row>
    <row r="977">
      <c r="A977" s="46" t="s">
        <v>161</v>
      </c>
      <c r="B977" s="46" t="s">
        <v>555</v>
      </c>
      <c r="C977" s="46" t="s">
        <v>4935</v>
      </c>
      <c r="D977" s="46" t="s">
        <v>17</v>
      </c>
      <c r="E977" s="46" t="s">
        <v>15</v>
      </c>
      <c r="F977" s="48">
        <v>128.4</v>
      </c>
    </row>
    <row r="978">
      <c r="A978" s="46" t="s">
        <v>1441</v>
      </c>
      <c r="B978" s="46" t="s">
        <v>4949</v>
      </c>
      <c r="C978" s="46" t="s">
        <v>1495</v>
      </c>
      <c r="D978" s="46" t="s">
        <v>18</v>
      </c>
      <c r="E978" s="46" t="s">
        <v>14</v>
      </c>
      <c r="F978" s="48">
        <v>126.8</v>
      </c>
    </row>
    <row r="979">
      <c r="A979" s="46" t="s">
        <v>1441</v>
      </c>
      <c r="B979" s="46" t="s">
        <v>4951</v>
      </c>
      <c r="C979" s="46" t="s">
        <v>1444</v>
      </c>
      <c r="D979" s="46" t="s">
        <v>18</v>
      </c>
      <c r="E979" s="46" t="s">
        <v>15</v>
      </c>
      <c r="F979" s="48">
        <v>137.2</v>
      </c>
    </row>
    <row r="980">
      <c r="A980" s="46" t="s">
        <v>1441</v>
      </c>
      <c r="B980" s="46" t="s">
        <v>4953</v>
      </c>
      <c r="C980" s="46" t="s">
        <v>1495</v>
      </c>
      <c r="D980" s="46" t="s">
        <v>18</v>
      </c>
      <c r="E980" s="46" t="s">
        <v>15</v>
      </c>
      <c r="F980" s="48">
        <v>131.7</v>
      </c>
    </row>
    <row r="981">
      <c r="A981" s="46" t="s">
        <v>1441</v>
      </c>
      <c r="B981" s="46" t="s">
        <v>2920</v>
      </c>
      <c r="C981" s="46" t="s">
        <v>1495</v>
      </c>
      <c r="D981" s="46" t="s">
        <v>18</v>
      </c>
      <c r="E981" s="46" t="s">
        <v>15</v>
      </c>
      <c r="F981" s="48">
        <v>144.2</v>
      </c>
    </row>
    <row r="982">
      <c r="A982" s="46" t="s">
        <v>1441</v>
      </c>
      <c r="B982" s="46" t="s">
        <v>4956</v>
      </c>
      <c r="C982" s="46" t="s">
        <v>1455</v>
      </c>
      <c r="D982" s="46" t="s">
        <v>18</v>
      </c>
      <c r="E982" s="46" t="s">
        <v>15</v>
      </c>
      <c r="F982" s="48">
        <v>121.9</v>
      </c>
    </row>
    <row r="983">
      <c r="A983" s="46" t="s">
        <v>1441</v>
      </c>
      <c r="B983" s="46" t="s">
        <v>4958</v>
      </c>
      <c r="C983" s="46" t="s">
        <v>1455</v>
      </c>
      <c r="D983" s="46" t="s">
        <v>18</v>
      </c>
      <c r="E983" s="46" t="s">
        <v>15</v>
      </c>
      <c r="F983" s="48">
        <v>126.1</v>
      </c>
    </row>
    <row r="984">
      <c r="A984" s="46" t="s">
        <v>1441</v>
      </c>
      <c r="B984" s="46" t="s">
        <v>4518</v>
      </c>
      <c r="C984" s="46" t="s">
        <v>3362</v>
      </c>
      <c r="D984" s="46" t="s">
        <v>18</v>
      </c>
      <c r="E984" s="46" t="s">
        <v>15</v>
      </c>
      <c r="F984" s="48">
        <v>112.4</v>
      </c>
    </row>
    <row r="985">
      <c r="A985" s="46" t="s">
        <v>1441</v>
      </c>
      <c r="B985" s="46" t="s">
        <v>4965</v>
      </c>
      <c r="C985" s="46" t="s">
        <v>3362</v>
      </c>
      <c r="D985" s="46" t="s">
        <v>18</v>
      </c>
      <c r="E985" s="46" t="s">
        <v>14</v>
      </c>
      <c r="F985" s="48">
        <v>109.8</v>
      </c>
    </row>
    <row r="986">
      <c r="A986" s="46" t="s">
        <v>1441</v>
      </c>
      <c r="B986" s="46" t="s">
        <v>4967</v>
      </c>
      <c r="C986" s="46" t="s">
        <v>1466</v>
      </c>
      <c r="D986" s="46" t="s">
        <v>18</v>
      </c>
      <c r="E986" s="46" t="s">
        <v>15</v>
      </c>
      <c r="F986" s="48">
        <v>141.1</v>
      </c>
    </row>
    <row r="987">
      <c r="A987" s="46" t="s">
        <v>1441</v>
      </c>
      <c r="B987" s="46" t="s">
        <v>4969</v>
      </c>
      <c r="C987" s="46" t="s">
        <v>1471</v>
      </c>
      <c r="D987" s="46" t="s">
        <v>18</v>
      </c>
      <c r="E987" s="46" t="s">
        <v>14</v>
      </c>
      <c r="F987" s="48">
        <v>104.7</v>
      </c>
    </row>
    <row r="988">
      <c r="A988" s="46" t="s">
        <v>1441</v>
      </c>
      <c r="B988" s="46" t="s">
        <v>4977</v>
      </c>
      <c r="C988" s="46" t="s">
        <v>1498</v>
      </c>
      <c r="D988" s="46" t="s">
        <v>18</v>
      </c>
      <c r="E988" s="46" t="s">
        <v>13</v>
      </c>
      <c r="F988" s="48">
        <v>122.2</v>
      </c>
    </row>
    <row r="989">
      <c r="A989" s="46" t="s">
        <v>1441</v>
      </c>
      <c r="B989" s="46" t="s">
        <v>4984</v>
      </c>
      <c r="C989" s="46" t="s">
        <v>1444</v>
      </c>
      <c r="D989" s="46" t="s">
        <v>17</v>
      </c>
      <c r="E989" s="46" t="s">
        <v>15</v>
      </c>
      <c r="F989" s="48">
        <v>141.9</v>
      </c>
    </row>
    <row r="990">
      <c r="A990" s="46" t="s">
        <v>1441</v>
      </c>
      <c r="B990" s="46" t="s">
        <v>4986</v>
      </c>
      <c r="C990" s="46" t="s">
        <v>1455</v>
      </c>
      <c r="D990" s="46" t="s">
        <v>17</v>
      </c>
      <c r="E990" s="46" t="s">
        <v>15</v>
      </c>
      <c r="F990" s="48">
        <v>134.7</v>
      </c>
    </row>
    <row r="991">
      <c r="A991" s="46" t="s">
        <v>1441</v>
      </c>
      <c r="B991" s="46" t="s">
        <v>4988</v>
      </c>
      <c r="C991" s="46" t="s">
        <v>1477</v>
      </c>
      <c r="D991" s="46" t="s">
        <v>17</v>
      </c>
      <c r="E991" s="46" t="s">
        <v>15</v>
      </c>
      <c r="F991" s="48">
        <v>143.7</v>
      </c>
    </row>
    <row r="992">
      <c r="A992" s="46" t="s">
        <v>1441</v>
      </c>
      <c r="B992" s="46" t="s">
        <v>4990</v>
      </c>
      <c r="C992" s="46" t="s">
        <v>1495</v>
      </c>
      <c r="D992" s="46" t="s">
        <v>17</v>
      </c>
      <c r="E992" s="46" t="s">
        <v>15</v>
      </c>
      <c r="F992" s="48">
        <v>147.4</v>
      </c>
    </row>
    <row r="993">
      <c r="A993" s="46" t="s">
        <v>1441</v>
      </c>
      <c r="B993" s="46" t="s">
        <v>4992</v>
      </c>
      <c r="C993" s="46" t="s">
        <v>1495</v>
      </c>
      <c r="D993" s="46" t="s">
        <v>17</v>
      </c>
      <c r="E993" s="46" t="s">
        <v>15</v>
      </c>
      <c r="F993" s="48">
        <v>140.7</v>
      </c>
    </row>
    <row r="994">
      <c r="A994" s="46" t="s">
        <v>1441</v>
      </c>
      <c r="B994" s="46" t="s">
        <v>4994</v>
      </c>
      <c r="C994" s="46" t="s">
        <v>1449</v>
      </c>
      <c r="D994" s="46" t="s">
        <v>17</v>
      </c>
      <c r="E994" s="46" t="s">
        <v>15</v>
      </c>
      <c r="F994" s="48">
        <v>142.8</v>
      </c>
    </row>
    <row r="995">
      <c r="A995" s="46" t="s">
        <v>1441</v>
      </c>
      <c r="B995" s="46" t="s">
        <v>4996</v>
      </c>
      <c r="C995" s="46" t="s">
        <v>1498</v>
      </c>
      <c r="D995" s="46" t="s">
        <v>17</v>
      </c>
      <c r="E995" s="46" t="s">
        <v>15</v>
      </c>
      <c r="F995" s="48">
        <v>112.5</v>
      </c>
    </row>
    <row r="996">
      <c r="A996" s="46" t="s">
        <v>1441</v>
      </c>
      <c r="B996" s="46" t="s">
        <v>4998</v>
      </c>
      <c r="C996" s="46" t="s">
        <v>1477</v>
      </c>
      <c r="D996" s="46" t="s">
        <v>17</v>
      </c>
      <c r="E996" s="46" t="s">
        <v>15</v>
      </c>
      <c r="F996" s="48">
        <v>142.8</v>
      </c>
    </row>
    <row r="997">
      <c r="A997" s="46" t="s">
        <v>1441</v>
      </c>
      <c r="B997" s="46" t="s">
        <v>5000</v>
      </c>
      <c r="C997" s="46" t="s">
        <v>1471</v>
      </c>
      <c r="D997" s="46" t="s">
        <v>17</v>
      </c>
      <c r="E997" s="46" t="s">
        <v>14</v>
      </c>
      <c r="F997" s="48">
        <v>127.4</v>
      </c>
    </row>
    <row r="998">
      <c r="A998" s="46" t="s">
        <v>1441</v>
      </c>
      <c r="B998" s="46" t="s">
        <v>5002</v>
      </c>
      <c r="C998" s="46" t="s">
        <v>1495</v>
      </c>
      <c r="D998" s="46" t="s">
        <v>17</v>
      </c>
      <c r="E998" s="46" t="s">
        <v>14</v>
      </c>
      <c r="F998" s="48">
        <v>125.4</v>
      </c>
    </row>
    <row r="999">
      <c r="A999" s="46" t="s">
        <v>1441</v>
      </c>
      <c r="B999" s="46" t="s">
        <v>5004</v>
      </c>
      <c r="C999" s="46" t="s">
        <v>1463</v>
      </c>
      <c r="D999" s="46" t="s">
        <v>17</v>
      </c>
      <c r="E999" s="46" t="s">
        <v>15</v>
      </c>
      <c r="F999" s="48">
        <v>110.0</v>
      </c>
    </row>
    <row r="1000">
      <c r="A1000" s="46" t="s">
        <v>1441</v>
      </c>
      <c r="B1000" s="46" t="s">
        <v>5006</v>
      </c>
      <c r="C1000" s="46" t="s">
        <v>1463</v>
      </c>
      <c r="D1000" s="46" t="s">
        <v>17</v>
      </c>
      <c r="E1000" s="46" t="s">
        <v>14</v>
      </c>
      <c r="F1000" s="48">
        <v>110.4</v>
      </c>
    </row>
    <row r="1001">
      <c r="A1001" s="46" t="s">
        <v>1441</v>
      </c>
      <c r="B1001" s="46" t="s">
        <v>5008</v>
      </c>
      <c r="C1001" s="46" t="s">
        <v>1471</v>
      </c>
      <c r="D1001" s="46" t="s">
        <v>17</v>
      </c>
      <c r="E1001" s="46" t="s">
        <v>15</v>
      </c>
      <c r="F1001" s="48">
        <v>128.7</v>
      </c>
    </row>
    <row r="1002">
      <c r="A1002" s="46" t="s">
        <v>1441</v>
      </c>
      <c r="B1002" s="46" t="s">
        <v>5010</v>
      </c>
      <c r="C1002" s="46" t="s">
        <v>1469</v>
      </c>
      <c r="D1002" s="46" t="s">
        <v>17</v>
      </c>
      <c r="E1002" s="46" t="s">
        <v>15</v>
      </c>
      <c r="F1002" s="48">
        <v>122.7</v>
      </c>
    </row>
    <row r="1003">
      <c r="A1003" s="46" t="s">
        <v>269</v>
      </c>
      <c r="B1003" s="46" t="s">
        <v>1814</v>
      </c>
      <c r="C1003" s="46" t="s">
        <v>1534</v>
      </c>
      <c r="D1003" s="46" t="s">
        <v>18</v>
      </c>
      <c r="E1003" s="46" t="s">
        <v>15</v>
      </c>
      <c r="F1003" s="48">
        <v>123.8</v>
      </c>
    </row>
    <row r="1004">
      <c r="A1004" s="46" t="s">
        <v>269</v>
      </c>
      <c r="B1004" s="46" t="s">
        <v>5017</v>
      </c>
      <c r="C1004" s="46" t="s">
        <v>1534</v>
      </c>
      <c r="D1004" s="46" t="s">
        <v>18</v>
      </c>
      <c r="E1004" s="46" t="s">
        <v>15</v>
      </c>
      <c r="F1004" s="48">
        <v>129.1</v>
      </c>
    </row>
    <row r="1005">
      <c r="A1005" s="46" t="s">
        <v>269</v>
      </c>
      <c r="B1005" s="46" t="s">
        <v>1566</v>
      </c>
      <c r="C1005" s="46" t="s">
        <v>1534</v>
      </c>
      <c r="D1005" s="46" t="s">
        <v>18</v>
      </c>
      <c r="E1005" s="46" t="s">
        <v>14</v>
      </c>
      <c r="F1005" s="48">
        <v>104.6</v>
      </c>
    </row>
    <row r="1006">
      <c r="A1006" s="46" t="s">
        <v>269</v>
      </c>
      <c r="B1006" s="46" t="s">
        <v>80</v>
      </c>
      <c r="C1006" s="46" t="s">
        <v>1515</v>
      </c>
      <c r="D1006" s="46" t="s">
        <v>17</v>
      </c>
      <c r="E1006" s="46" t="s">
        <v>15</v>
      </c>
      <c r="F1006" s="48">
        <v>137.9</v>
      </c>
    </row>
    <row r="1007">
      <c r="A1007" s="46" t="s">
        <v>269</v>
      </c>
      <c r="B1007" s="46" t="s">
        <v>1639</v>
      </c>
      <c r="C1007" s="46" t="s">
        <v>1534</v>
      </c>
      <c r="D1007" s="46" t="s">
        <v>17</v>
      </c>
      <c r="E1007" s="46" t="s">
        <v>15</v>
      </c>
      <c r="F1007" s="48">
        <v>109.1</v>
      </c>
    </row>
    <row r="1008">
      <c r="A1008" s="46" t="s">
        <v>269</v>
      </c>
      <c r="B1008" s="46" t="s">
        <v>1528</v>
      </c>
      <c r="C1008" s="46" t="s">
        <v>1512</v>
      </c>
      <c r="D1008" s="46" t="s">
        <v>17</v>
      </c>
      <c r="E1008" s="46" t="s">
        <v>15</v>
      </c>
      <c r="F1008" s="48">
        <v>112.3</v>
      </c>
    </row>
    <row r="1009">
      <c r="A1009" s="46" t="s">
        <v>1545</v>
      </c>
      <c r="B1009" s="46" t="s">
        <v>5047</v>
      </c>
      <c r="C1009" s="46" t="s">
        <v>1549</v>
      </c>
      <c r="D1009" s="46" t="s">
        <v>17</v>
      </c>
      <c r="E1009" s="46" t="s">
        <v>15</v>
      </c>
      <c r="F1009" s="48">
        <v>126.8</v>
      </c>
    </row>
    <row r="1010">
      <c r="A1010" s="46" t="s">
        <v>1545</v>
      </c>
      <c r="B1010" s="46" t="s">
        <v>5051</v>
      </c>
      <c r="C1010" s="46" t="s">
        <v>5052</v>
      </c>
      <c r="D1010" s="46" t="s">
        <v>18</v>
      </c>
      <c r="E1010" s="46" t="s">
        <v>15</v>
      </c>
      <c r="F1010" s="48">
        <v>114.6</v>
      </c>
    </row>
    <row r="1011">
      <c r="A1011" s="46" t="s">
        <v>1545</v>
      </c>
      <c r="B1011" s="46" t="s">
        <v>5054</v>
      </c>
      <c r="C1011" s="46" t="s">
        <v>5055</v>
      </c>
      <c r="D1011" s="46" t="s">
        <v>17</v>
      </c>
      <c r="E1011" s="46" t="s">
        <v>15</v>
      </c>
      <c r="F1011" s="48">
        <v>134.9</v>
      </c>
    </row>
    <row r="1012">
      <c r="A1012" s="46" t="s">
        <v>1545</v>
      </c>
      <c r="B1012" s="46" t="s">
        <v>5057</v>
      </c>
      <c r="C1012" s="46" t="s">
        <v>5058</v>
      </c>
      <c r="D1012" s="46" t="s">
        <v>18</v>
      </c>
      <c r="E1012" s="46" t="s">
        <v>14</v>
      </c>
      <c r="F1012" s="48">
        <v>115.9</v>
      </c>
    </row>
    <row r="1013">
      <c r="A1013" s="46" t="s">
        <v>1545</v>
      </c>
      <c r="B1013" s="46" t="s">
        <v>5060</v>
      </c>
      <c r="C1013" s="46" t="s">
        <v>5061</v>
      </c>
      <c r="D1013" s="46" t="s">
        <v>18</v>
      </c>
      <c r="E1013" s="46" t="s">
        <v>14</v>
      </c>
      <c r="F1013" s="48">
        <v>111.0</v>
      </c>
    </row>
    <row r="1014">
      <c r="A1014" s="46" t="s">
        <v>1579</v>
      </c>
      <c r="B1014" s="46" t="s">
        <v>5063</v>
      </c>
      <c r="C1014" s="46" t="s">
        <v>5064</v>
      </c>
      <c r="D1014" s="46" t="s">
        <v>18</v>
      </c>
      <c r="E1014" s="46" t="s">
        <v>14</v>
      </c>
      <c r="F1014" s="48">
        <v>107.7</v>
      </c>
    </row>
    <row r="1015">
      <c r="A1015" s="46" t="s">
        <v>1579</v>
      </c>
      <c r="B1015" s="46" t="s">
        <v>5066</v>
      </c>
      <c r="C1015" s="46" t="s">
        <v>5067</v>
      </c>
      <c r="D1015" s="46" t="s">
        <v>18</v>
      </c>
      <c r="E1015" s="46" t="s">
        <v>14</v>
      </c>
      <c r="F1015" s="48">
        <v>132.7</v>
      </c>
    </row>
    <row r="1016">
      <c r="A1016" s="46" t="s">
        <v>1579</v>
      </c>
      <c r="B1016" s="46" t="s">
        <v>5069</v>
      </c>
      <c r="C1016" s="46" t="s">
        <v>1586</v>
      </c>
      <c r="D1016" s="46" t="s">
        <v>18</v>
      </c>
      <c r="E1016" s="46" t="s">
        <v>14</v>
      </c>
      <c r="F1016" s="48">
        <v>107.5</v>
      </c>
    </row>
    <row r="1017">
      <c r="A1017" s="46" t="s">
        <v>1579</v>
      </c>
      <c r="B1017" s="46" t="s">
        <v>5071</v>
      </c>
      <c r="C1017" s="46" t="s">
        <v>5064</v>
      </c>
      <c r="D1017" s="46" t="s">
        <v>18</v>
      </c>
      <c r="E1017" s="46" t="s">
        <v>15</v>
      </c>
      <c r="F1017" s="48">
        <v>119.5</v>
      </c>
    </row>
    <row r="1018">
      <c r="A1018" s="46" t="s">
        <v>1579</v>
      </c>
      <c r="B1018" s="46" t="s">
        <v>5057</v>
      </c>
      <c r="C1018" s="46" t="s">
        <v>5075</v>
      </c>
      <c r="D1018" s="46" t="s">
        <v>18</v>
      </c>
      <c r="E1018" s="46" t="s">
        <v>15</v>
      </c>
      <c r="F1018" s="48">
        <v>130.0</v>
      </c>
    </row>
    <row r="1019">
      <c r="A1019" s="46" t="s">
        <v>1579</v>
      </c>
      <c r="B1019" s="46" t="s">
        <v>5077</v>
      </c>
      <c r="C1019" s="46" t="s">
        <v>1579</v>
      </c>
      <c r="D1019" s="46" t="s">
        <v>17</v>
      </c>
      <c r="E1019" s="46" t="s">
        <v>13</v>
      </c>
      <c r="F1019" s="48">
        <v>113.3</v>
      </c>
    </row>
    <row r="1020">
      <c r="A1020" s="46" t="s">
        <v>1579</v>
      </c>
      <c r="B1020" s="46" t="s">
        <v>5079</v>
      </c>
      <c r="C1020" s="46" t="s">
        <v>1592</v>
      </c>
      <c r="D1020" s="46" t="s">
        <v>18</v>
      </c>
      <c r="E1020" s="46" t="s">
        <v>14</v>
      </c>
      <c r="F1020" s="48">
        <v>112.8</v>
      </c>
    </row>
    <row r="1021">
      <c r="A1021" s="46" t="s">
        <v>1579</v>
      </c>
      <c r="B1021" s="46" t="s">
        <v>4183</v>
      </c>
      <c r="C1021" s="46" t="s">
        <v>1592</v>
      </c>
      <c r="D1021" s="46" t="s">
        <v>17</v>
      </c>
      <c r="E1021" s="46" t="s">
        <v>14</v>
      </c>
      <c r="F1021" s="48">
        <v>148.8</v>
      </c>
    </row>
    <row r="1022">
      <c r="A1022" s="46" t="s">
        <v>1579</v>
      </c>
      <c r="B1022" s="46" t="s">
        <v>5082</v>
      </c>
      <c r="C1022" s="46" t="s">
        <v>1579</v>
      </c>
      <c r="D1022" s="46" t="s">
        <v>17</v>
      </c>
      <c r="E1022" s="46" t="s">
        <v>14</v>
      </c>
      <c r="F1022" s="48">
        <v>111.8</v>
      </c>
    </row>
    <row r="1023">
      <c r="A1023" s="46" t="s">
        <v>1579</v>
      </c>
      <c r="B1023" s="46" t="s">
        <v>5084</v>
      </c>
      <c r="C1023" s="46" t="s">
        <v>1579</v>
      </c>
      <c r="D1023" s="46" t="s">
        <v>17</v>
      </c>
      <c r="E1023" s="46" t="s">
        <v>15</v>
      </c>
      <c r="F1023" s="48">
        <v>150.9</v>
      </c>
    </row>
    <row r="1024">
      <c r="A1024" s="46" t="s">
        <v>284</v>
      </c>
      <c r="B1024" s="46" t="s">
        <v>5086</v>
      </c>
      <c r="C1024" s="46" t="s">
        <v>5087</v>
      </c>
      <c r="D1024" s="46" t="s">
        <v>18</v>
      </c>
      <c r="E1024" s="46" t="s">
        <v>14</v>
      </c>
      <c r="F1024" s="48">
        <v>111.6</v>
      </c>
    </row>
    <row r="1025">
      <c r="A1025" s="46" t="s">
        <v>88</v>
      </c>
      <c r="B1025" s="46" t="s">
        <v>1639</v>
      </c>
      <c r="C1025" s="46" t="s">
        <v>88</v>
      </c>
      <c r="D1025" s="46" t="s">
        <v>17</v>
      </c>
      <c r="E1025" s="46" t="s">
        <v>15</v>
      </c>
      <c r="F1025" s="48">
        <v>117.1</v>
      </c>
    </row>
    <row r="1026">
      <c r="A1026" s="46" t="s">
        <v>88</v>
      </c>
      <c r="B1026" s="46" t="s">
        <v>5098</v>
      </c>
      <c r="C1026" s="46" t="s">
        <v>88</v>
      </c>
      <c r="D1026" s="46" t="s">
        <v>17</v>
      </c>
      <c r="E1026" s="46" t="s">
        <v>15</v>
      </c>
      <c r="F1026" s="48">
        <v>127.1</v>
      </c>
    </row>
    <row r="1027">
      <c r="A1027" s="46" t="s">
        <v>88</v>
      </c>
      <c r="B1027" s="46" t="s">
        <v>5100</v>
      </c>
      <c r="C1027" s="46" t="s">
        <v>88</v>
      </c>
      <c r="D1027" s="46" t="s">
        <v>18</v>
      </c>
      <c r="E1027" s="46" t="s">
        <v>15</v>
      </c>
      <c r="F1027" s="48">
        <v>108.7</v>
      </c>
    </row>
    <row r="1028">
      <c r="A1028" s="46" t="s">
        <v>182</v>
      </c>
      <c r="B1028" s="46" t="s">
        <v>1733</v>
      </c>
      <c r="C1028" s="46" t="s">
        <v>5113</v>
      </c>
      <c r="D1028" s="46" t="s">
        <v>18</v>
      </c>
      <c r="E1028" s="46" t="s">
        <v>15</v>
      </c>
      <c r="F1028" s="48">
        <v>118.2</v>
      </c>
    </row>
    <row r="1029">
      <c r="A1029" s="46" t="s">
        <v>182</v>
      </c>
      <c r="B1029" s="46" t="s">
        <v>5117</v>
      </c>
      <c r="C1029" s="46" t="s">
        <v>1674</v>
      </c>
      <c r="D1029" s="46" t="s">
        <v>18</v>
      </c>
      <c r="E1029" s="46" t="s">
        <v>15</v>
      </c>
      <c r="F1029" s="48">
        <v>119.5</v>
      </c>
    </row>
    <row r="1030">
      <c r="A1030" s="46" t="s">
        <v>134</v>
      </c>
      <c r="B1030" s="46" t="s">
        <v>80</v>
      </c>
      <c r="C1030" s="46" t="s">
        <v>3531</v>
      </c>
      <c r="D1030" s="46" t="s">
        <v>17</v>
      </c>
      <c r="E1030" s="46" t="s">
        <v>15</v>
      </c>
      <c r="F1030" s="48">
        <v>127.8</v>
      </c>
    </row>
    <row r="1031">
      <c r="A1031" s="46" t="s">
        <v>134</v>
      </c>
      <c r="B1031" s="46" t="s">
        <v>5127</v>
      </c>
      <c r="C1031" s="46" t="s">
        <v>1688</v>
      </c>
      <c r="D1031" s="46" t="s">
        <v>17</v>
      </c>
      <c r="E1031" s="46" t="s">
        <v>15</v>
      </c>
      <c r="F1031" s="48">
        <v>129.1</v>
      </c>
    </row>
    <row r="1032">
      <c r="A1032" s="46" t="s">
        <v>134</v>
      </c>
      <c r="B1032" s="46" t="s">
        <v>1617</v>
      </c>
      <c r="C1032" s="46" t="s">
        <v>1688</v>
      </c>
      <c r="D1032" s="46" t="s">
        <v>17</v>
      </c>
      <c r="E1032" s="46" t="s">
        <v>15</v>
      </c>
      <c r="F1032" s="48">
        <v>123.4</v>
      </c>
    </row>
    <row r="1033">
      <c r="A1033" s="46" t="s">
        <v>134</v>
      </c>
      <c r="B1033" s="46" t="s">
        <v>5134</v>
      </c>
      <c r="C1033" s="46" t="s">
        <v>1688</v>
      </c>
      <c r="D1033" s="46" t="s">
        <v>18</v>
      </c>
      <c r="E1033" s="46" t="s">
        <v>14</v>
      </c>
      <c r="F1033" s="48">
        <v>118.4</v>
      </c>
    </row>
    <row r="1034">
      <c r="A1034" s="46" t="s">
        <v>129</v>
      </c>
      <c r="B1034" s="46" t="s">
        <v>5138</v>
      </c>
      <c r="C1034" s="46" t="s">
        <v>5139</v>
      </c>
      <c r="D1034" s="46" t="s">
        <v>18</v>
      </c>
      <c r="E1034" s="46" t="s">
        <v>14</v>
      </c>
      <c r="F1034" s="48">
        <v>114.0</v>
      </c>
    </row>
    <row r="1035">
      <c r="A1035" s="46" t="s">
        <v>129</v>
      </c>
      <c r="B1035" s="46" t="s">
        <v>80</v>
      </c>
      <c r="C1035" s="46" t="s">
        <v>1707</v>
      </c>
      <c r="D1035" s="46" t="s">
        <v>17</v>
      </c>
      <c r="E1035" s="46" t="s">
        <v>15</v>
      </c>
      <c r="F1035" s="48">
        <v>118.7</v>
      </c>
    </row>
    <row r="1036">
      <c r="A1036" s="46" t="s">
        <v>129</v>
      </c>
      <c r="B1036" s="46" t="s">
        <v>5144</v>
      </c>
      <c r="C1036" s="46" t="s">
        <v>1707</v>
      </c>
      <c r="D1036" s="46" t="s">
        <v>17</v>
      </c>
      <c r="E1036" s="46" t="s">
        <v>14</v>
      </c>
      <c r="F1036" s="48">
        <v>117.6</v>
      </c>
    </row>
    <row r="1037">
      <c r="A1037" s="46" t="s">
        <v>779</v>
      </c>
      <c r="B1037" s="46" t="s">
        <v>5146</v>
      </c>
      <c r="C1037" s="46" t="s">
        <v>1725</v>
      </c>
      <c r="D1037" s="46" t="s">
        <v>18</v>
      </c>
      <c r="E1037" s="46" t="s">
        <v>15</v>
      </c>
      <c r="F1037" s="48">
        <v>109.2</v>
      </c>
    </row>
    <row r="1038">
      <c r="A1038" s="46" t="s">
        <v>779</v>
      </c>
      <c r="B1038" s="46" t="s">
        <v>5150</v>
      </c>
      <c r="C1038" s="46" t="s">
        <v>3559</v>
      </c>
      <c r="D1038" s="46" t="s">
        <v>17</v>
      </c>
      <c r="E1038" s="46" t="s">
        <v>14</v>
      </c>
      <c r="F1038" s="48">
        <v>105.0</v>
      </c>
    </row>
    <row r="1039">
      <c r="A1039" s="46" t="s">
        <v>779</v>
      </c>
      <c r="B1039" s="46" t="s">
        <v>5152</v>
      </c>
      <c r="C1039" s="46" t="s">
        <v>3570</v>
      </c>
      <c r="D1039" s="46" t="s">
        <v>17</v>
      </c>
      <c r="E1039" s="46" t="s">
        <v>14</v>
      </c>
      <c r="F1039" s="48">
        <v>108.0</v>
      </c>
    </row>
    <row r="1040">
      <c r="A1040" s="46" t="s">
        <v>779</v>
      </c>
      <c r="B1040" s="46" t="s">
        <v>4183</v>
      </c>
      <c r="C1040" s="46" t="s">
        <v>5154</v>
      </c>
      <c r="D1040" s="46" t="s">
        <v>17</v>
      </c>
      <c r="E1040" s="46" t="s">
        <v>14</v>
      </c>
      <c r="F1040" s="48">
        <v>106.7</v>
      </c>
    </row>
    <row r="1041">
      <c r="A1041" s="46" t="s">
        <v>779</v>
      </c>
      <c r="B1041" s="46" t="s">
        <v>5160</v>
      </c>
      <c r="C1041" s="46" t="s">
        <v>5161</v>
      </c>
      <c r="D1041" s="46" t="s">
        <v>18</v>
      </c>
      <c r="E1041" s="46" t="s">
        <v>14</v>
      </c>
      <c r="F1041" s="48">
        <v>109.2</v>
      </c>
    </row>
    <row r="1042">
      <c r="A1042" s="46" t="s">
        <v>284</v>
      </c>
      <c r="B1042" s="46" t="s">
        <v>5167</v>
      </c>
      <c r="C1042" s="46" t="s">
        <v>1729</v>
      </c>
      <c r="D1042" s="46" t="s">
        <v>18</v>
      </c>
      <c r="E1042" s="46" t="s">
        <v>15</v>
      </c>
      <c r="F1042" s="48">
        <v>104.4</v>
      </c>
    </row>
    <row r="1043">
      <c r="A1043" s="46" t="s">
        <v>284</v>
      </c>
      <c r="B1043" s="46" t="s">
        <v>5169</v>
      </c>
      <c r="C1043" s="46" t="s">
        <v>284</v>
      </c>
      <c r="D1043" s="46" t="s">
        <v>18</v>
      </c>
      <c r="E1043" s="46" t="s">
        <v>15</v>
      </c>
      <c r="F1043" s="48">
        <v>123.9</v>
      </c>
    </row>
    <row r="1044">
      <c r="A1044" s="46" t="s">
        <v>284</v>
      </c>
      <c r="B1044" s="46" t="s">
        <v>5173</v>
      </c>
      <c r="C1044" s="46" t="s">
        <v>284</v>
      </c>
      <c r="D1044" s="46" t="s">
        <v>17</v>
      </c>
      <c r="E1044" s="46" t="s">
        <v>15</v>
      </c>
      <c r="F1044" s="48">
        <v>137.9</v>
      </c>
    </row>
    <row r="1045">
      <c r="A1045" s="46" t="s">
        <v>284</v>
      </c>
      <c r="B1045" s="46" t="s">
        <v>5175</v>
      </c>
      <c r="C1045" s="46" t="s">
        <v>5176</v>
      </c>
      <c r="D1045" s="46" t="s">
        <v>18</v>
      </c>
      <c r="E1045" s="46" t="s">
        <v>15</v>
      </c>
      <c r="F1045" s="48">
        <v>127.0</v>
      </c>
    </row>
    <row r="1046">
      <c r="A1046" s="46" t="s">
        <v>322</v>
      </c>
      <c r="B1046" s="46" t="s">
        <v>5178</v>
      </c>
      <c r="C1046" s="46" t="s">
        <v>5179</v>
      </c>
      <c r="D1046" s="46" t="s">
        <v>18</v>
      </c>
      <c r="E1046" s="46" t="s">
        <v>15</v>
      </c>
      <c r="F1046" s="48">
        <v>109.7</v>
      </c>
    </row>
    <row r="1047">
      <c r="A1047" s="46" t="s">
        <v>322</v>
      </c>
      <c r="B1047" s="46" t="s">
        <v>5181</v>
      </c>
      <c r="C1047" s="46" t="s">
        <v>322</v>
      </c>
      <c r="D1047" s="46" t="s">
        <v>18</v>
      </c>
      <c r="E1047" s="46" t="s">
        <v>15</v>
      </c>
      <c r="F1047" s="48">
        <v>109.0</v>
      </c>
    </row>
    <row r="1048">
      <c r="A1048" s="46" t="s">
        <v>930</v>
      </c>
      <c r="B1048" s="46" t="s">
        <v>5183</v>
      </c>
      <c r="C1048" s="46" t="s">
        <v>1748</v>
      </c>
      <c r="D1048" s="46" t="s">
        <v>18</v>
      </c>
      <c r="E1048" s="46" t="s">
        <v>15</v>
      </c>
      <c r="F1048" s="48">
        <v>116.7</v>
      </c>
    </row>
    <row r="1049">
      <c r="A1049" s="46" t="s">
        <v>930</v>
      </c>
      <c r="B1049" s="46" t="s">
        <v>5185</v>
      </c>
      <c r="C1049" s="46" t="s">
        <v>5186</v>
      </c>
      <c r="D1049" s="46" t="s">
        <v>18</v>
      </c>
      <c r="E1049" s="46" t="s">
        <v>14</v>
      </c>
      <c r="F1049" s="48">
        <v>111.0</v>
      </c>
    </row>
    <row r="1050">
      <c r="A1050" s="46" t="s">
        <v>930</v>
      </c>
      <c r="B1050" s="46" t="s">
        <v>210</v>
      </c>
      <c r="C1050" s="46" t="s">
        <v>3601</v>
      </c>
      <c r="D1050" s="46" t="s">
        <v>17</v>
      </c>
      <c r="E1050" s="46" t="s">
        <v>15</v>
      </c>
      <c r="F1050" s="48">
        <v>109.5</v>
      </c>
    </row>
    <row r="1051">
      <c r="A1051" s="46" t="s">
        <v>333</v>
      </c>
      <c r="B1051" s="46" t="s">
        <v>5193</v>
      </c>
      <c r="C1051" s="46" t="s">
        <v>1766</v>
      </c>
      <c r="D1051" s="46" t="s">
        <v>18</v>
      </c>
      <c r="E1051" s="46" t="s">
        <v>15</v>
      </c>
      <c r="F1051" s="48">
        <v>119.4</v>
      </c>
    </row>
    <row r="1052">
      <c r="A1052" s="46" t="s">
        <v>393</v>
      </c>
      <c r="B1052" s="46" t="s">
        <v>2778</v>
      </c>
      <c r="C1052" s="46" t="s">
        <v>1781</v>
      </c>
      <c r="D1052" s="46" t="s">
        <v>17</v>
      </c>
      <c r="E1052" s="46" t="s">
        <v>15</v>
      </c>
      <c r="F1052" s="48">
        <v>133.8</v>
      </c>
    </row>
    <row r="1053">
      <c r="A1053" s="46" t="s">
        <v>1579</v>
      </c>
      <c r="B1053" s="46" t="s">
        <v>5204</v>
      </c>
      <c r="C1053" s="46" t="s">
        <v>5205</v>
      </c>
      <c r="D1053" s="46" t="s">
        <v>18</v>
      </c>
      <c r="E1053" s="46" t="s">
        <v>14</v>
      </c>
      <c r="F1053" s="48">
        <v>112.4</v>
      </c>
    </row>
    <row r="1054">
      <c r="A1054" s="46" t="s">
        <v>1579</v>
      </c>
      <c r="B1054" s="46" t="s">
        <v>5207</v>
      </c>
      <c r="C1054" s="46" t="s">
        <v>1787</v>
      </c>
      <c r="D1054" s="46" t="s">
        <v>18</v>
      </c>
      <c r="E1054" s="46" t="s">
        <v>15</v>
      </c>
      <c r="F1054" s="48">
        <v>119.3</v>
      </c>
    </row>
    <row r="1055">
      <c r="A1055" s="46" t="s">
        <v>1579</v>
      </c>
      <c r="B1055" s="46" t="s">
        <v>694</v>
      </c>
      <c r="C1055" s="46" t="s">
        <v>5202</v>
      </c>
      <c r="D1055" s="46" t="s">
        <v>17</v>
      </c>
      <c r="E1055" s="46" t="s">
        <v>15</v>
      </c>
      <c r="F1055" s="48">
        <v>133.2</v>
      </c>
    </row>
    <row r="1056">
      <c r="A1056" s="46" t="s">
        <v>1579</v>
      </c>
      <c r="B1056" s="46" t="s">
        <v>5210</v>
      </c>
      <c r="C1056" s="46" t="s">
        <v>3623</v>
      </c>
      <c r="D1056" s="46" t="s">
        <v>18</v>
      </c>
      <c r="E1056" s="46" t="s">
        <v>15</v>
      </c>
      <c r="F1056" s="48">
        <v>118.2</v>
      </c>
    </row>
    <row r="1057">
      <c r="A1057" s="46" t="s">
        <v>1579</v>
      </c>
      <c r="B1057" s="46" t="s">
        <v>5212</v>
      </c>
      <c r="C1057" s="46" t="s">
        <v>5213</v>
      </c>
      <c r="D1057" s="46" t="s">
        <v>18</v>
      </c>
      <c r="E1057" s="46" t="s">
        <v>14</v>
      </c>
      <c r="F1057" s="48">
        <v>110.3</v>
      </c>
    </row>
    <row r="1058">
      <c r="A1058" s="46" t="s">
        <v>1579</v>
      </c>
      <c r="B1058" s="46" t="s">
        <v>4380</v>
      </c>
      <c r="C1058" s="46" t="s">
        <v>1809</v>
      </c>
      <c r="D1058" s="46" t="s">
        <v>18</v>
      </c>
      <c r="E1058" s="46" t="s">
        <v>15</v>
      </c>
      <c r="F1058" s="48">
        <v>128.1</v>
      </c>
    </row>
    <row r="1059">
      <c r="A1059" s="46" t="s">
        <v>1579</v>
      </c>
      <c r="B1059" s="46" t="s">
        <v>5223</v>
      </c>
      <c r="C1059" s="46" t="s">
        <v>5224</v>
      </c>
      <c r="D1059" s="46" t="s">
        <v>18</v>
      </c>
      <c r="E1059" s="46" t="s">
        <v>15</v>
      </c>
      <c r="F1059" s="48">
        <v>147.3</v>
      </c>
    </row>
    <row r="1060">
      <c r="A1060" s="46" t="s">
        <v>1579</v>
      </c>
      <c r="B1060" s="46" t="s">
        <v>5226</v>
      </c>
      <c r="C1060" s="46" t="s">
        <v>5227</v>
      </c>
      <c r="D1060" s="46" t="s">
        <v>18</v>
      </c>
      <c r="E1060" s="46" t="s">
        <v>15</v>
      </c>
      <c r="F1060" s="48">
        <v>105.5</v>
      </c>
    </row>
    <row r="1061">
      <c r="A1061" s="46" t="s">
        <v>1579</v>
      </c>
      <c r="B1061" s="46" t="s">
        <v>5229</v>
      </c>
      <c r="C1061" s="46" t="s">
        <v>5230</v>
      </c>
      <c r="D1061" s="46" t="s">
        <v>18</v>
      </c>
      <c r="E1061" s="46" t="s">
        <v>15</v>
      </c>
      <c r="F1061" s="48">
        <v>105.2</v>
      </c>
    </row>
    <row r="1062">
      <c r="A1062" s="46" t="s">
        <v>1579</v>
      </c>
      <c r="B1062" s="46" t="s">
        <v>5232</v>
      </c>
      <c r="C1062" s="46" t="s">
        <v>3636</v>
      </c>
      <c r="D1062" s="46" t="s">
        <v>17</v>
      </c>
      <c r="E1062" s="46" t="s">
        <v>14</v>
      </c>
      <c r="F1062" s="48">
        <v>128.7</v>
      </c>
    </row>
    <row r="1063">
      <c r="A1063" s="46" t="s">
        <v>1579</v>
      </c>
      <c r="B1063" s="46" t="s">
        <v>5234</v>
      </c>
      <c r="C1063" s="46" t="s">
        <v>5235</v>
      </c>
      <c r="D1063" s="46" t="s">
        <v>18</v>
      </c>
      <c r="E1063" s="46" t="s">
        <v>14</v>
      </c>
      <c r="F1063" s="48">
        <v>119.3</v>
      </c>
    </row>
    <row r="1064">
      <c r="A1064" s="46" t="s">
        <v>1579</v>
      </c>
      <c r="B1064" s="46" t="s">
        <v>5237</v>
      </c>
      <c r="C1064" s="46" t="s">
        <v>3636</v>
      </c>
      <c r="D1064" s="46" t="s">
        <v>18</v>
      </c>
      <c r="E1064" s="46" t="s">
        <v>15</v>
      </c>
      <c r="F1064" s="48">
        <v>136.5</v>
      </c>
    </row>
    <row r="1065">
      <c r="A1065" s="46" t="s">
        <v>1579</v>
      </c>
      <c r="B1065" s="46" t="s">
        <v>140</v>
      </c>
      <c r="C1065" s="46" t="s">
        <v>5239</v>
      </c>
      <c r="D1065" s="46" t="s">
        <v>18</v>
      </c>
      <c r="E1065" s="46" t="s">
        <v>15</v>
      </c>
      <c r="F1065" s="48">
        <v>107.5</v>
      </c>
    </row>
    <row r="1066">
      <c r="A1066" s="46" t="s">
        <v>1579</v>
      </c>
      <c r="B1066" s="46" t="s">
        <v>4992</v>
      </c>
      <c r="C1066" s="46" t="s">
        <v>5239</v>
      </c>
      <c r="D1066" s="46" t="s">
        <v>17</v>
      </c>
      <c r="E1066" s="46" t="s">
        <v>15</v>
      </c>
      <c r="F1066" s="48">
        <v>151.2</v>
      </c>
    </row>
    <row r="1067">
      <c r="A1067" s="46" t="s">
        <v>1579</v>
      </c>
      <c r="B1067" s="46" t="s">
        <v>5246</v>
      </c>
      <c r="C1067" s="46" t="s">
        <v>5247</v>
      </c>
      <c r="D1067" s="46" t="s">
        <v>17</v>
      </c>
      <c r="E1067" s="46" t="s">
        <v>15</v>
      </c>
      <c r="F1067" s="48">
        <v>151.3</v>
      </c>
    </row>
    <row r="1068">
      <c r="A1068" s="46" t="s">
        <v>1579</v>
      </c>
      <c r="B1068" s="46" t="s">
        <v>1617</v>
      </c>
      <c r="C1068" s="46" t="s">
        <v>1832</v>
      </c>
      <c r="D1068" s="46" t="s">
        <v>17</v>
      </c>
      <c r="E1068" s="46" t="s">
        <v>15</v>
      </c>
      <c r="F1068" s="48">
        <v>148.1</v>
      </c>
    </row>
    <row r="1069">
      <c r="A1069" s="46" t="s">
        <v>1579</v>
      </c>
      <c r="B1069" s="46" t="s">
        <v>210</v>
      </c>
      <c r="C1069" s="46" t="s">
        <v>3641</v>
      </c>
      <c r="D1069" s="46" t="s">
        <v>17</v>
      </c>
      <c r="E1069" s="46" t="s">
        <v>15</v>
      </c>
      <c r="F1069" s="48">
        <v>139.0</v>
      </c>
    </row>
    <row r="1070">
      <c r="A1070" s="46" t="s">
        <v>1579</v>
      </c>
      <c r="B1070" s="46" t="s">
        <v>5251</v>
      </c>
      <c r="C1070" s="46" t="s">
        <v>5252</v>
      </c>
      <c r="D1070" s="46" t="s">
        <v>17</v>
      </c>
      <c r="E1070" s="46" t="s">
        <v>15</v>
      </c>
      <c r="F1070" s="48">
        <v>123.9</v>
      </c>
    </row>
    <row r="1071">
      <c r="A1071" s="46" t="s">
        <v>1579</v>
      </c>
      <c r="B1071" s="46" t="s">
        <v>5264</v>
      </c>
      <c r="C1071" s="46" t="s">
        <v>3667</v>
      </c>
      <c r="D1071" s="46" t="s">
        <v>18</v>
      </c>
      <c r="E1071" s="46" t="s">
        <v>15</v>
      </c>
      <c r="F1071" s="48">
        <v>130.6</v>
      </c>
    </row>
    <row r="1072">
      <c r="A1072" s="46" t="s">
        <v>1545</v>
      </c>
      <c r="B1072" s="46" t="s">
        <v>5277</v>
      </c>
      <c r="C1072" s="46" t="s">
        <v>3670</v>
      </c>
      <c r="D1072" s="46" t="s">
        <v>17</v>
      </c>
      <c r="E1072" s="46" t="s">
        <v>14</v>
      </c>
      <c r="F1072" s="48">
        <v>114.8</v>
      </c>
    </row>
    <row r="1073">
      <c r="A1073" s="46" t="s">
        <v>1545</v>
      </c>
      <c r="B1073" s="46" t="s">
        <v>5279</v>
      </c>
      <c r="C1073" s="46" t="s">
        <v>3703</v>
      </c>
      <c r="D1073" s="46" t="s">
        <v>17</v>
      </c>
      <c r="E1073" s="46" t="s">
        <v>14</v>
      </c>
      <c r="F1073" s="48">
        <v>104.7</v>
      </c>
    </row>
    <row r="1074">
      <c r="A1074" s="46" t="s">
        <v>1545</v>
      </c>
      <c r="B1074" s="46" t="s">
        <v>5281</v>
      </c>
      <c r="C1074" s="46" t="s">
        <v>3698</v>
      </c>
      <c r="D1074" s="46" t="s">
        <v>17</v>
      </c>
      <c r="E1074" s="46" t="s">
        <v>13</v>
      </c>
      <c r="F1074" s="48">
        <v>107.7</v>
      </c>
    </row>
    <row r="1075">
      <c r="A1075" s="46" t="s">
        <v>1545</v>
      </c>
      <c r="B1075" s="46" t="s">
        <v>5283</v>
      </c>
      <c r="C1075" s="46" t="s">
        <v>5284</v>
      </c>
      <c r="D1075" s="46" t="s">
        <v>18</v>
      </c>
      <c r="E1075" s="46" t="s">
        <v>15</v>
      </c>
      <c r="F1075" s="48">
        <v>110.6</v>
      </c>
    </row>
    <row r="1076">
      <c r="A1076" s="46" t="s">
        <v>1545</v>
      </c>
      <c r="B1076" s="46" t="s">
        <v>5289</v>
      </c>
      <c r="C1076" s="46" t="s">
        <v>1858</v>
      </c>
      <c r="D1076" s="46" t="s">
        <v>17</v>
      </c>
      <c r="E1076" s="46" t="s">
        <v>14</v>
      </c>
      <c r="F1076" s="48">
        <v>109.7</v>
      </c>
    </row>
    <row r="1077">
      <c r="A1077" s="46" t="s">
        <v>1545</v>
      </c>
      <c r="B1077" s="46" t="s">
        <v>5303</v>
      </c>
      <c r="C1077" s="46" t="s">
        <v>3735</v>
      </c>
      <c r="D1077" s="46" t="s">
        <v>18</v>
      </c>
      <c r="E1077" s="46" t="s">
        <v>15</v>
      </c>
      <c r="F1077" s="48">
        <v>134.9</v>
      </c>
    </row>
    <row r="1078">
      <c r="A1078" s="46" t="s">
        <v>1545</v>
      </c>
      <c r="B1078" s="46" t="s">
        <v>5305</v>
      </c>
      <c r="C1078" s="46" t="s">
        <v>3735</v>
      </c>
      <c r="D1078" s="46" t="s">
        <v>18</v>
      </c>
      <c r="E1078" s="46" t="s">
        <v>14</v>
      </c>
      <c r="F1078" s="48">
        <v>128.6</v>
      </c>
    </row>
    <row r="1079">
      <c r="A1079" s="46" t="s">
        <v>1545</v>
      </c>
      <c r="B1079" s="46" t="s">
        <v>5309</v>
      </c>
      <c r="C1079" s="46" t="s">
        <v>3732</v>
      </c>
      <c r="D1079" s="46" t="s">
        <v>18</v>
      </c>
      <c r="E1079" s="46" t="s">
        <v>15</v>
      </c>
      <c r="F1079" s="48">
        <v>138.8</v>
      </c>
    </row>
    <row r="1080">
      <c r="A1080" s="46" t="s">
        <v>1545</v>
      </c>
      <c r="B1080" s="46" t="s">
        <v>5318</v>
      </c>
      <c r="C1080" s="46" t="s">
        <v>3754</v>
      </c>
      <c r="D1080" s="46" t="s">
        <v>17</v>
      </c>
      <c r="E1080" s="46" t="s">
        <v>15</v>
      </c>
      <c r="F1080" s="48">
        <v>132.7</v>
      </c>
    </row>
    <row r="1081">
      <c r="A1081" s="46" t="s">
        <v>1545</v>
      </c>
      <c r="B1081" s="46" t="s">
        <v>5320</v>
      </c>
      <c r="C1081" s="46" t="s">
        <v>1901</v>
      </c>
      <c r="D1081" s="46" t="s">
        <v>17</v>
      </c>
      <c r="E1081" s="46" t="s">
        <v>13</v>
      </c>
      <c r="F1081" s="48">
        <v>125.9</v>
      </c>
    </row>
    <row r="1082">
      <c r="A1082" s="46" t="s">
        <v>1545</v>
      </c>
      <c r="B1082" s="46" t="s">
        <v>5322</v>
      </c>
      <c r="C1082" s="46" t="s">
        <v>5323</v>
      </c>
      <c r="D1082" s="46" t="s">
        <v>18</v>
      </c>
      <c r="E1082" s="46" t="s">
        <v>14</v>
      </c>
      <c r="F1082" s="48">
        <v>104.1</v>
      </c>
    </row>
    <row r="1083">
      <c r="A1083" s="46" t="s">
        <v>1545</v>
      </c>
      <c r="B1083" s="46" t="s">
        <v>5325</v>
      </c>
      <c r="C1083" s="46" t="s">
        <v>3754</v>
      </c>
      <c r="D1083" s="46" t="s">
        <v>18</v>
      </c>
      <c r="E1083" s="46" t="s">
        <v>14</v>
      </c>
      <c r="F1083" s="48">
        <v>121.1</v>
      </c>
    </row>
    <row r="1084">
      <c r="A1084" s="46" t="s">
        <v>1545</v>
      </c>
      <c r="B1084" s="46" t="s">
        <v>5331</v>
      </c>
      <c r="C1084" s="46" t="s">
        <v>1545</v>
      </c>
      <c r="D1084" s="46" t="s">
        <v>17</v>
      </c>
      <c r="E1084" s="46" t="s">
        <v>15</v>
      </c>
      <c r="F1084" s="48">
        <v>121.5</v>
      </c>
    </row>
    <row r="1085">
      <c r="A1085" s="46" t="s">
        <v>1579</v>
      </c>
      <c r="B1085" s="46" t="s">
        <v>5333</v>
      </c>
      <c r="C1085" s="46" t="s">
        <v>5334</v>
      </c>
      <c r="D1085" s="46" t="s">
        <v>18</v>
      </c>
      <c r="E1085" s="46" t="s">
        <v>15</v>
      </c>
      <c r="F1085" s="48">
        <v>117.5</v>
      </c>
    </row>
    <row r="1086">
      <c r="A1086" s="46" t="s">
        <v>1579</v>
      </c>
      <c r="B1086" s="46" t="s">
        <v>5336</v>
      </c>
      <c r="C1086" s="46" t="s">
        <v>5337</v>
      </c>
      <c r="D1086" s="46" t="s">
        <v>18</v>
      </c>
      <c r="E1086" s="46" t="s">
        <v>15</v>
      </c>
      <c r="F1086" s="48">
        <v>123.1</v>
      </c>
    </row>
    <row r="1087">
      <c r="A1087" s="46" t="s">
        <v>1579</v>
      </c>
      <c r="B1087" s="46" t="s">
        <v>4185</v>
      </c>
      <c r="C1087" s="46" t="s">
        <v>5339</v>
      </c>
      <c r="D1087" s="46" t="s">
        <v>18</v>
      </c>
      <c r="E1087" s="46" t="s">
        <v>15</v>
      </c>
      <c r="F1087" s="48">
        <v>121.7</v>
      </c>
    </row>
    <row r="1088">
      <c r="A1088" s="46" t="s">
        <v>1579</v>
      </c>
      <c r="B1088" s="46" t="s">
        <v>5346</v>
      </c>
      <c r="C1088" s="46" t="s">
        <v>3780</v>
      </c>
      <c r="D1088" s="46" t="s">
        <v>17</v>
      </c>
      <c r="E1088" s="46" t="s">
        <v>13</v>
      </c>
      <c r="F1088" s="48">
        <v>127.4</v>
      </c>
    </row>
    <row r="1089">
      <c r="A1089" s="46" t="s">
        <v>1579</v>
      </c>
      <c r="B1089" s="46" t="s">
        <v>5348</v>
      </c>
      <c r="C1089" s="46" t="s">
        <v>5349</v>
      </c>
      <c r="D1089" s="46" t="s">
        <v>17</v>
      </c>
      <c r="E1089" s="46" t="s">
        <v>14</v>
      </c>
      <c r="F1089" s="48">
        <v>119.2</v>
      </c>
    </row>
    <row r="1090">
      <c r="A1090" s="46" t="s">
        <v>1579</v>
      </c>
      <c r="B1090" s="46" t="s">
        <v>5351</v>
      </c>
      <c r="C1090" s="46" t="s">
        <v>1936</v>
      </c>
      <c r="D1090" s="46" t="s">
        <v>18</v>
      </c>
      <c r="E1090" s="46" t="s">
        <v>14</v>
      </c>
      <c r="F1090" s="48">
        <v>114.8</v>
      </c>
    </row>
    <row r="1091">
      <c r="A1091" s="46" t="s">
        <v>1579</v>
      </c>
      <c r="B1091" s="46" t="s">
        <v>5353</v>
      </c>
      <c r="C1091" s="46" t="s">
        <v>5354</v>
      </c>
      <c r="D1091" s="46" t="s">
        <v>18</v>
      </c>
      <c r="E1091" s="46" t="s">
        <v>15</v>
      </c>
      <c r="F1091" s="48">
        <v>129.4</v>
      </c>
    </row>
    <row r="1092">
      <c r="A1092" s="46" t="s">
        <v>1579</v>
      </c>
      <c r="B1092" s="46" t="s">
        <v>5361</v>
      </c>
      <c r="C1092" s="46" t="s">
        <v>1951</v>
      </c>
      <c r="D1092" s="46" t="s">
        <v>18</v>
      </c>
      <c r="E1092" s="46" t="s">
        <v>14</v>
      </c>
      <c r="F1092" s="48">
        <v>112.4</v>
      </c>
    </row>
    <row r="1093">
      <c r="A1093" s="46" t="s">
        <v>1579</v>
      </c>
      <c r="B1093" s="46" t="s">
        <v>1355</v>
      </c>
      <c r="C1093" s="46" t="s">
        <v>5365</v>
      </c>
      <c r="D1093" s="46" t="s">
        <v>18</v>
      </c>
      <c r="E1093" s="46" t="s">
        <v>14</v>
      </c>
      <c r="F1093" s="48">
        <v>118.0</v>
      </c>
    </row>
    <row r="1094">
      <c r="A1094" s="46" t="s">
        <v>1579</v>
      </c>
      <c r="B1094" s="46" t="s">
        <v>5367</v>
      </c>
      <c r="C1094" s="46" t="s">
        <v>1939</v>
      </c>
      <c r="D1094" s="46" t="s">
        <v>18</v>
      </c>
      <c r="E1094" s="46" t="s">
        <v>14</v>
      </c>
      <c r="F1094" s="48">
        <v>109.8</v>
      </c>
    </row>
    <row r="1095">
      <c r="A1095" s="46" t="s">
        <v>1579</v>
      </c>
      <c r="B1095" s="46" t="s">
        <v>5369</v>
      </c>
      <c r="C1095" s="46" t="s">
        <v>1930</v>
      </c>
      <c r="D1095" s="46" t="s">
        <v>17</v>
      </c>
      <c r="E1095" s="46" t="s">
        <v>15</v>
      </c>
      <c r="F1095" s="48">
        <v>128.2</v>
      </c>
    </row>
    <row r="1096">
      <c r="A1096" s="46" t="s">
        <v>1964</v>
      </c>
      <c r="B1096" s="46" t="s">
        <v>5371</v>
      </c>
      <c r="C1096" s="46" t="s">
        <v>1970</v>
      </c>
      <c r="D1096" s="46" t="s">
        <v>17</v>
      </c>
      <c r="E1096" s="46" t="s">
        <v>15</v>
      </c>
      <c r="F1096" s="48">
        <v>117.3</v>
      </c>
    </row>
    <row r="1097">
      <c r="A1097" s="46" t="s">
        <v>2013</v>
      </c>
      <c r="B1097" s="46" t="s">
        <v>5391</v>
      </c>
      <c r="C1097" s="46" t="s">
        <v>2016</v>
      </c>
      <c r="D1097" s="46" t="s">
        <v>18</v>
      </c>
      <c r="E1097" s="46" t="s">
        <v>15</v>
      </c>
      <c r="F1097" s="48">
        <v>107.6</v>
      </c>
    </row>
    <row r="1098">
      <c r="A1098" s="46" t="s">
        <v>2013</v>
      </c>
      <c r="B1098" s="46" t="s">
        <v>5395</v>
      </c>
      <c r="C1098" s="46" t="s">
        <v>5396</v>
      </c>
      <c r="D1098" s="46" t="s">
        <v>17</v>
      </c>
      <c r="E1098" s="46" t="s">
        <v>14</v>
      </c>
      <c r="F1098" s="48">
        <v>107.7</v>
      </c>
    </row>
    <row r="1099">
      <c r="A1099" s="46" t="s">
        <v>2013</v>
      </c>
      <c r="B1099" s="46" t="s">
        <v>5401</v>
      </c>
      <c r="C1099" s="46" t="s">
        <v>5402</v>
      </c>
      <c r="D1099" s="46" t="s">
        <v>18</v>
      </c>
      <c r="E1099" s="46" t="s">
        <v>15</v>
      </c>
      <c r="F1099" s="48">
        <v>110.6</v>
      </c>
    </row>
    <row r="1100">
      <c r="A1100" s="46" t="s">
        <v>2054</v>
      </c>
      <c r="B1100" s="46" t="s">
        <v>5416</v>
      </c>
      <c r="C1100" s="46" t="s">
        <v>2077</v>
      </c>
      <c r="D1100" s="46" t="s">
        <v>18</v>
      </c>
      <c r="E1100" s="46" t="s">
        <v>15</v>
      </c>
      <c r="F1100" s="48">
        <v>106.2</v>
      </c>
    </row>
    <row r="1101">
      <c r="A1101" s="46" t="s">
        <v>71</v>
      </c>
      <c r="B1101" s="46" t="s">
        <v>5438</v>
      </c>
      <c r="C1101" s="46" t="s">
        <v>3870</v>
      </c>
      <c r="D1101" s="46" t="s">
        <v>17</v>
      </c>
      <c r="E1101" s="46" t="s">
        <v>15</v>
      </c>
      <c r="F1101" s="48">
        <v>111.8</v>
      </c>
    </row>
    <row r="1102">
      <c r="A1102" s="46" t="s">
        <v>88</v>
      </c>
      <c r="B1102" s="46" t="s">
        <v>5336</v>
      </c>
      <c r="C1102" s="46" t="s">
        <v>105</v>
      </c>
      <c r="D1102" s="46" t="s">
        <v>18</v>
      </c>
      <c r="E1102" s="46" t="s">
        <v>15</v>
      </c>
      <c r="F1102" s="48">
        <v>104.1</v>
      </c>
    </row>
    <row r="1103">
      <c r="A1103" s="46" t="s">
        <v>88</v>
      </c>
      <c r="B1103" s="46" t="s">
        <v>5452</v>
      </c>
      <c r="C1103" s="46" t="s">
        <v>105</v>
      </c>
      <c r="D1103" s="46" t="s">
        <v>17</v>
      </c>
      <c r="E1103" s="46" t="s">
        <v>15</v>
      </c>
      <c r="F1103" s="48">
        <v>116.0</v>
      </c>
    </row>
    <row r="1104">
      <c r="A1104" s="46" t="s">
        <v>88</v>
      </c>
      <c r="B1104" s="46" t="s">
        <v>5460</v>
      </c>
      <c r="C1104" s="46" t="s">
        <v>105</v>
      </c>
      <c r="D1104" s="46" t="s">
        <v>17</v>
      </c>
      <c r="E1104" s="46" t="s">
        <v>15</v>
      </c>
      <c r="F1104" s="48">
        <v>121.8</v>
      </c>
    </row>
    <row r="1105">
      <c r="A1105" s="46" t="s">
        <v>129</v>
      </c>
      <c r="B1105" s="46" t="s">
        <v>5464</v>
      </c>
      <c r="C1105" s="46" t="s">
        <v>5465</v>
      </c>
      <c r="D1105" s="46" t="s">
        <v>18</v>
      </c>
      <c r="E1105" s="46" t="s">
        <v>14</v>
      </c>
      <c r="F1105" s="48">
        <v>111.8</v>
      </c>
    </row>
    <row r="1106">
      <c r="A1106" s="46" t="s">
        <v>129</v>
      </c>
      <c r="B1106" s="46" t="s">
        <v>5467</v>
      </c>
      <c r="C1106" s="46" t="s">
        <v>2123</v>
      </c>
      <c r="D1106" s="46" t="s">
        <v>18</v>
      </c>
      <c r="E1106" s="46" t="s">
        <v>15</v>
      </c>
      <c r="F1106" s="48">
        <v>106.9</v>
      </c>
    </row>
    <row r="1107">
      <c r="A1107" s="46" t="s">
        <v>129</v>
      </c>
      <c r="B1107" s="46" t="s">
        <v>5469</v>
      </c>
      <c r="C1107" s="46" t="s">
        <v>133</v>
      </c>
      <c r="D1107" s="46" t="s">
        <v>18</v>
      </c>
      <c r="E1107" s="46" t="s">
        <v>14</v>
      </c>
      <c r="F1107" s="48">
        <v>117.7</v>
      </c>
    </row>
    <row r="1108">
      <c r="A1108" s="46" t="s">
        <v>129</v>
      </c>
      <c r="B1108" s="46" t="s">
        <v>555</v>
      </c>
      <c r="C1108" s="46" t="s">
        <v>2133</v>
      </c>
      <c r="D1108" s="46" t="s">
        <v>17</v>
      </c>
      <c r="E1108" s="46" t="s">
        <v>15</v>
      </c>
      <c r="F1108" s="48">
        <v>127.6</v>
      </c>
    </row>
    <row r="1109">
      <c r="A1109" s="46" t="s">
        <v>134</v>
      </c>
      <c r="B1109" s="46" t="s">
        <v>5474</v>
      </c>
      <c r="C1109" s="46" t="s">
        <v>138</v>
      </c>
      <c r="D1109" s="46" t="s">
        <v>18</v>
      </c>
      <c r="E1109" s="46" t="s">
        <v>15</v>
      </c>
      <c r="F1109" s="48">
        <v>107.6</v>
      </c>
    </row>
    <row r="1110">
      <c r="A1110" s="46" t="s">
        <v>134</v>
      </c>
      <c r="B1110" s="46" t="s">
        <v>1468</v>
      </c>
      <c r="C1110" s="46" t="s">
        <v>158</v>
      </c>
      <c r="D1110" s="46" t="s">
        <v>18</v>
      </c>
      <c r="E1110" s="46" t="s">
        <v>15</v>
      </c>
      <c r="F1110" s="48">
        <v>106.7</v>
      </c>
    </row>
    <row r="1111">
      <c r="A1111" s="46" t="s">
        <v>134</v>
      </c>
      <c r="B1111" s="46" t="s">
        <v>5477</v>
      </c>
      <c r="C1111" s="46" t="s">
        <v>134</v>
      </c>
      <c r="D1111" s="46" t="s">
        <v>18</v>
      </c>
      <c r="E1111" s="46" t="s">
        <v>15</v>
      </c>
      <c r="F1111" s="48">
        <v>122.1</v>
      </c>
    </row>
    <row r="1112">
      <c r="A1112" s="46" t="s">
        <v>134</v>
      </c>
      <c r="B1112" s="46" t="s">
        <v>5483</v>
      </c>
      <c r="C1112" s="46" t="s">
        <v>5484</v>
      </c>
      <c r="D1112" s="46" t="s">
        <v>17</v>
      </c>
      <c r="E1112" s="46" t="s">
        <v>14</v>
      </c>
      <c r="F1112" s="48">
        <v>114.2</v>
      </c>
    </row>
    <row r="1113">
      <c r="A1113" s="46" t="s">
        <v>134</v>
      </c>
      <c r="B1113" s="46" t="s">
        <v>5486</v>
      </c>
      <c r="C1113" s="46" t="s">
        <v>134</v>
      </c>
      <c r="D1113" s="46" t="s">
        <v>17</v>
      </c>
      <c r="E1113" s="46" t="s">
        <v>15</v>
      </c>
      <c r="F1113" s="48">
        <v>134.5</v>
      </c>
    </row>
    <row r="1114">
      <c r="A1114" s="46" t="s">
        <v>134</v>
      </c>
      <c r="B1114" s="46" t="s">
        <v>5490</v>
      </c>
      <c r="C1114" s="46" t="s">
        <v>5491</v>
      </c>
      <c r="D1114" s="46" t="s">
        <v>18</v>
      </c>
      <c r="E1114" s="46" t="s">
        <v>15</v>
      </c>
      <c r="F1114" s="48">
        <v>129.6</v>
      </c>
    </row>
    <row r="1115">
      <c r="A1115" s="46" t="s">
        <v>161</v>
      </c>
      <c r="B1115" s="46" t="s">
        <v>5498</v>
      </c>
      <c r="C1115" s="46" t="s">
        <v>2178</v>
      </c>
      <c r="D1115" s="46" t="s">
        <v>18</v>
      </c>
      <c r="E1115" s="46" t="s">
        <v>14</v>
      </c>
      <c r="F1115" s="48">
        <v>111.1</v>
      </c>
    </row>
    <row r="1116">
      <c r="A1116" s="46" t="s">
        <v>169</v>
      </c>
      <c r="B1116" s="46" t="s">
        <v>5506</v>
      </c>
      <c r="C1116" s="46" t="s">
        <v>2186</v>
      </c>
      <c r="D1116" s="46" t="s">
        <v>18</v>
      </c>
      <c r="E1116" s="46" t="s">
        <v>15</v>
      </c>
      <c r="F1116" s="48">
        <v>108.9</v>
      </c>
    </row>
    <row r="1117">
      <c r="A1117" s="46" t="s">
        <v>182</v>
      </c>
      <c r="B1117" s="46" t="s">
        <v>4926</v>
      </c>
      <c r="C1117" s="46" t="s">
        <v>5511</v>
      </c>
      <c r="D1117" s="46" t="s">
        <v>18</v>
      </c>
      <c r="E1117" s="46" t="s">
        <v>15</v>
      </c>
      <c r="F1117" s="48">
        <v>116.9</v>
      </c>
    </row>
    <row r="1118">
      <c r="A1118" s="46" t="s">
        <v>182</v>
      </c>
      <c r="B1118" s="46" t="s">
        <v>5516</v>
      </c>
      <c r="C1118" s="46" t="s">
        <v>5517</v>
      </c>
      <c r="D1118" s="46" t="s">
        <v>18</v>
      </c>
      <c r="E1118" s="46" t="s">
        <v>14</v>
      </c>
      <c r="F1118" s="48">
        <v>106.8</v>
      </c>
    </row>
    <row r="1119">
      <c r="A1119" s="46" t="s">
        <v>182</v>
      </c>
      <c r="B1119" s="46" t="s">
        <v>5519</v>
      </c>
      <c r="C1119" s="46" t="s">
        <v>2192</v>
      </c>
      <c r="D1119" s="46" t="s">
        <v>18</v>
      </c>
      <c r="E1119" s="46" t="s">
        <v>15</v>
      </c>
      <c r="F1119" s="48">
        <v>111.7</v>
      </c>
    </row>
    <row r="1120">
      <c r="A1120" s="46" t="s">
        <v>169</v>
      </c>
      <c r="B1120" s="46" t="s">
        <v>5521</v>
      </c>
      <c r="C1120" s="46" t="s">
        <v>193</v>
      </c>
      <c r="D1120" s="46" t="s">
        <v>18</v>
      </c>
      <c r="E1120" s="46" t="s">
        <v>15</v>
      </c>
      <c r="F1120" s="48">
        <v>108.3</v>
      </c>
    </row>
    <row r="1121">
      <c r="A1121" s="46" t="s">
        <v>169</v>
      </c>
      <c r="B1121" s="46" t="s">
        <v>5523</v>
      </c>
      <c r="C1121" s="46" t="s">
        <v>193</v>
      </c>
      <c r="D1121" s="46" t="s">
        <v>17</v>
      </c>
      <c r="E1121" s="46" t="s">
        <v>15</v>
      </c>
      <c r="F1121" s="48">
        <v>125.6</v>
      </c>
    </row>
    <row r="1122">
      <c r="A1122" s="46" t="s">
        <v>169</v>
      </c>
      <c r="B1122" s="46" t="s">
        <v>5525</v>
      </c>
      <c r="C1122" s="46" t="s">
        <v>193</v>
      </c>
      <c r="D1122" s="46" t="s">
        <v>17</v>
      </c>
      <c r="E1122" s="46" t="s">
        <v>15</v>
      </c>
      <c r="F1122" s="48">
        <v>126.3</v>
      </c>
    </row>
    <row r="1123">
      <c r="A1123" s="46" t="s">
        <v>483</v>
      </c>
      <c r="B1123" s="46" t="s">
        <v>5531</v>
      </c>
      <c r="C1123" s="46" t="s">
        <v>3965</v>
      </c>
      <c r="D1123" s="46" t="s">
        <v>18</v>
      </c>
      <c r="E1123" s="46" t="s">
        <v>15</v>
      </c>
      <c r="F1123" s="48">
        <v>107.7</v>
      </c>
    </row>
    <row r="1124">
      <c r="A1124" s="46" t="s">
        <v>182</v>
      </c>
      <c r="B1124" s="46" t="s">
        <v>5533</v>
      </c>
      <c r="C1124" s="46" t="s">
        <v>206</v>
      </c>
      <c r="D1124" s="46" t="s">
        <v>18</v>
      </c>
      <c r="E1124" s="46" t="s">
        <v>15</v>
      </c>
      <c r="F1124" s="48">
        <v>110.1</v>
      </c>
    </row>
    <row r="1125">
      <c r="A1125" s="46" t="s">
        <v>182</v>
      </c>
      <c r="B1125" s="46" t="s">
        <v>5535</v>
      </c>
      <c r="C1125" s="46" t="s">
        <v>213</v>
      </c>
      <c r="D1125" s="46" t="s">
        <v>18</v>
      </c>
      <c r="E1125" s="46" t="s">
        <v>14</v>
      </c>
      <c r="F1125" s="48">
        <v>105.9</v>
      </c>
    </row>
    <row r="1126">
      <c r="A1126" s="46" t="s">
        <v>182</v>
      </c>
      <c r="B1126" s="46" t="s">
        <v>5545</v>
      </c>
      <c r="C1126" s="46" t="s">
        <v>206</v>
      </c>
      <c r="D1126" s="46" t="s">
        <v>17</v>
      </c>
      <c r="E1126" s="46" t="s">
        <v>15</v>
      </c>
      <c r="F1126" s="48">
        <v>119.1</v>
      </c>
    </row>
    <row r="1127">
      <c r="A1127" s="46" t="s">
        <v>129</v>
      </c>
      <c r="B1127" s="46" t="s">
        <v>5547</v>
      </c>
      <c r="C1127" s="46" t="s">
        <v>2239</v>
      </c>
      <c r="D1127" s="46" t="s">
        <v>18</v>
      </c>
      <c r="E1127" s="46" t="s">
        <v>15</v>
      </c>
      <c r="F1127" s="48">
        <v>107.4</v>
      </c>
    </row>
    <row r="1128">
      <c r="A1128" s="46" t="s">
        <v>129</v>
      </c>
      <c r="B1128" s="46" t="s">
        <v>5549</v>
      </c>
      <c r="C1128" s="46" t="s">
        <v>3994</v>
      </c>
      <c r="D1128" s="46" t="s">
        <v>18</v>
      </c>
      <c r="E1128" s="46" t="s">
        <v>15</v>
      </c>
      <c r="F1128" s="48">
        <v>117.0</v>
      </c>
    </row>
    <row r="1129">
      <c r="A1129" s="46" t="s">
        <v>129</v>
      </c>
      <c r="B1129" s="46" t="s">
        <v>4998</v>
      </c>
      <c r="C1129" s="46" t="s">
        <v>222</v>
      </c>
      <c r="D1129" s="46" t="s">
        <v>17</v>
      </c>
      <c r="E1129" s="46" t="s">
        <v>15</v>
      </c>
      <c r="F1129" s="48">
        <v>126.7</v>
      </c>
    </row>
    <row r="1130">
      <c r="A1130" s="46" t="s">
        <v>129</v>
      </c>
      <c r="B1130" s="46" t="s">
        <v>5559</v>
      </c>
      <c r="C1130" s="46" t="s">
        <v>4010</v>
      </c>
      <c r="D1130" s="46" t="s">
        <v>17</v>
      </c>
      <c r="E1130" s="46" t="s">
        <v>15</v>
      </c>
      <c r="F1130" s="48">
        <v>118.0</v>
      </c>
    </row>
    <row r="1131">
      <c r="A1131" s="46" t="s">
        <v>129</v>
      </c>
      <c r="B1131" s="46" t="s">
        <v>892</v>
      </c>
      <c r="C1131" s="46" t="s">
        <v>225</v>
      </c>
      <c r="D1131" s="46" t="s">
        <v>17</v>
      </c>
      <c r="E1131" s="46" t="s">
        <v>15</v>
      </c>
      <c r="F1131" s="48">
        <v>124.2</v>
      </c>
    </row>
    <row r="1132">
      <c r="A1132" s="46" t="s">
        <v>129</v>
      </c>
      <c r="B1132" s="46" t="s">
        <v>5568</v>
      </c>
      <c r="C1132" s="46" t="s">
        <v>236</v>
      </c>
      <c r="D1132" s="46" t="s">
        <v>18</v>
      </c>
      <c r="E1132" s="46" t="s">
        <v>14</v>
      </c>
      <c r="F1132" s="48">
        <v>111.5</v>
      </c>
    </row>
    <row r="1133">
      <c r="A1133" s="46" t="s">
        <v>129</v>
      </c>
      <c r="B1133" s="46" t="s">
        <v>2778</v>
      </c>
      <c r="C1133" s="46" t="s">
        <v>4020</v>
      </c>
      <c r="D1133" s="46" t="s">
        <v>17</v>
      </c>
      <c r="E1133" s="46" t="s">
        <v>15</v>
      </c>
      <c r="F1133" s="48">
        <v>141.8</v>
      </c>
    </row>
    <row r="1134">
      <c r="A1134" s="46" t="s">
        <v>129</v>
      </c>
      <c r="B1134" s="46" t="s">
        <v>5574</v>
      </c>
      <c r="C1134" s="46" t="s">
        <v>2250</v>
      </c>
      <c r="D1134" s="46" t="s">
        <v>17</v>
      </c>
      <c r="E1134" s="46" t="s">
        <v>14</v>
      </c>
      <c r="F1134" s="48">
        <v>109.7</v>
      </c>
    </row>
    <row r="1135">
      <c r="A1135" s="46" t="s">
        <v>129</v>
      </c>
      <c r="B1135" s="46" t="s">
        <v>5578</v>
      </c>
      <c r="C1135" s="46" t="s">
        <v>2267</v>
      </c>
      <c r="D1135" s="46" t="s">
        <v>18</v>
      </c>
      <c r="E1135" s="46" t="s">
        <v>14</v>
      </c>
      <c r="F1135" s="48">
        <v>104.1</v>
      </c>
    </row>
    <row r="1136">
      <c r="A1136" s="46" t="s">
        <v>129</v>
      </c>
      <c r="B1136" s="46" t="s">
        <v>5582</v>
      </c>
      <c r="C1136" s="46" t="s">
        <v>242</v>
      </c>
      <c r="D1136" s="46" t="s">
        <v>17</v>
      </c>
      <c r="E1136" s="46" t="s">
        <v>13</v>
      </c>
      <c r="F1136" s="48">
        <v>104.3</v>
      </c>
    </row>
    <row r="1137">
      <c r="A1137" s="46" t="s">
        <v>129</v>
      </c>
      <c r="B1137" s="46" t="s">
        <v>5584</v>
      </c>
      <c r="C1137" s="46" t="s">
        <v>262</v>
      </c>
      <c r="D1137" s="46" t="s">
        <v>18</v>
      </c>
      <c r="E1137" s="46" t="s">
        <v>14</v>
      </c>
      <c r="F1137" s="48">
        <v>119.1</v>
      </c>
    </row>
    <row r="1138">
      <c r="A1138" s="46" t="s">
        <v>129</v>
      </c>
      <c r="B1138" s="46" t="s">
        <v>5586</v>
      </c>
      <c r="C1138" s="46" t="s">
        <v>242</v>
      </c>
      <c r="D1138" s="46" t="s">
        <v>18</v>
      </c>
      <c r="E1138" s="46" t="s">
        <v>15</v>
      </c>
      <c r="F1138" s="48">
        <v>138.8</v>
      </c>
    </row>
    <row r="1139">
      <c r="A1139" s="46" t="s">
        <v>129</v>
      </c>
      <c r="B1139" s="46" t="s">
        <v>5588</v>
      </c>
      <c r="C1139" s="46" t="s">
        <v>5589</v>
      </c>
      <c r="D1139" s="46" t="s">
        <v>17</v>
      </c>
      <c r="E1139" s="46" t="s">
        <v>15</v>
      </c>
      <c r="F1139" s="48">
        <v>135.0</v>
      </c>
    </row>
    <row r="1140">
      <c r="A1140" s="46" t="s">
        <v>269</v>
      </c>
      <c r="B1140" s="46" t="s">
        <v>5593</v>
      </c>
      <c r="C1140" s="46" t="s">
        <v>2289</v>
      </c>
      <c r="D1140" s="46" t="s">
        <v>18</v>
      </c>
      <c r="E1140" s="46" t="s">
        <v>15</v>
      </c>
      <c r="F1140" s="48">
        <v>122.7</v>
      </c>
    </row>
    <row r="1141">
      <c r="A1141" s="46" t="s">
        <v>269</v>
      </c>
      <c r="B1141" s="46" t="s">
        <v>5595</v>
      </c>
      <c r="C1141" s="46" t="s">
        <v>273</v>
      </c>
      <c r="D1141" s="46" t="s">
        <v>18</v>
      </c>
      <c r="E1141" s="46" t="s">
        <v>15</v>
      </c>
      <c r="F1141" s="48">
        <v>127.0</v>
      </c>
    </row>
    <row r="1142">
      <c r="A1142" s="46" t="s">
        <v>269</v>
      </c>
      <c r="B1142" s="46" t="s">
        <v>2426</v>
      </c>
      <c r="C1142" s="46" t="s">
        <v>273</v>
      </c>
      <c r="D1142" s="46" t="s">
        <v>18</v>
      </c>
      <c r="E1142" s="46" t="s">
        <v>15</v>
      </c>
      <c r="F1142" s="48">
        <v>114.4</v>
      </c>
    </row>
    <row r="1143">
      <c r="A1143" s="46" t="s">
        <v>269</v>
      </c>
      <c r="B1143" s="46" t="s">
        <v>5598</v>
      </c>
      <c r="C1143" s="46" t="s">
        <v>5599</v>
      </c>
      <c r="D1143" s="46" t="s">
        <v>18</v>
      </c>
      <c r="E1143" s="46" t="s">
        <v>14</v>
      </c>
      <c r="F1143" s="48">
        <v>107.5</v>
      </c>
    </row>
    <row r="1144">
      <c r="A1144" s="46" t="s">
        <v>269</v>
      </c>
      <c r="B1144" s="46" t="s">
        <v>5601</v>
      </c>
      <c r="C1144" s="46" t="s">
        <v>5602</v>
      </c>
      <c r="D1144" s="46" t="s">
        <v>18</v>
      </c>
      <c r="E1144" s="46" t="s">
        <v>14</v>
      </c>
      <c r="F1144" s="48">
        <v>111.5</v>
      </c>
    </row>
    <row r="1145">
      <c r="A1145" s="46" t="s">
        <v>269</v>
      </c>
      <c r="B1145" s="46" t="s">
        <v>5604</v>
      </c>
      <c r="C1145" s="46" t="s">
        <v>5605</v>
      </c>
      <c r="D1145" s="46" t="s">
        <v>17</v>
      </c>
      <c r="E1145" s="46" t="s">
        <v>15</v>
      </c>
      <c r="F1145" s="48">
        <v>126.3</v>
      </c>
    </row>
    <row r="1146">
      <c r="A1146" s="46" t="s">
        <v>116</v>
      </c>
      <c r="B1146" s="46" t="s">
        <v>5609</v>
      </c>
      <c r="C1146" s="46" t="s">
        <v>2307</v>
      </c>
      <c r="D1146" s="46" t="s">
        <v>17</v>
      </c>
      <c r="E1146" s="46" t="s">
        <v>14</v>
      </c>
      <c r="F1146" s="48">
        <v>111.3</v>
      </c>
    </row>
    <row r="1147">
      <c r="A1147" s="46" t="s">
        <v>284</v>
      </c>
      <c r="B1147" s="46" t="s">
        <v>5613</v>
      </c>
      <c r="C1147" s="46" t="s">
        <v>5614</v>
      </c>
      <c r="D1147" s="46" t="s">
        <v>18</v>
      </c>
      <c r="E1147" s="46" t="s">
        <v>15</v>
      </c>
      <c r="F1147" s="48">
        <v>113.5</v>
      </c>
    </row>
    <row r="1148">
      <c r="A1148" s="46" t="s">
        <v>284</v>
      </c>
      <c r="B1148" s="46" t="s">
        <v>5616</v>
      </c>
      <c r="C1148" s="46" t="s">
        <v>2317</v>
      </c>
      <c r="D1148" s="46" t="s">
        <v>17</v>
      </c>
      <c r="E1148" s="46" t="s">
        <v>15</v>
      </c>
      <c r="F1148" s="48">
        <v>117.5</v>
      </c>
    </row>
    <row r="1149">
      <c r="A1149" s="46" t="s">
        <v>284</v>
      </c>
      <c r="B1149" s="46" t="s">
        <v>5618</v>
      </c>
      <c r="C1149" s="46" t="s">
        <v>288</v>
      </c>
      <c r="D1149" s="46" t="s">
        <v>17</v>
      </c>
      <c r="E1149" s="46" t="s">
        <v>15</v>
      </c>
      <c r="F1149" s="48">
        <v>120.0</v>
      </c>
    </row>
    <row r="1150">
      <c r="A1150" s="46" t="s">
        <v>313</v>
      </c>
      <c r="B1150" s="46" t="s">
        <v>5620</v>
      </c>
      <c r="C1150" s="46" t="s">
        <v>4105</v>
      </c>
      <c r="D1150" s="46" t="s">
        <v>18</v>
      </c>
      <c r="E1150" s="46" t="s">
        <v>15</v>
      </c>
      <c r="F1150" s="48">
        <v>113.1</v>
      </c>
    </row>
    <row r="1151">
      <c r="A1151" s="46" t="s">
        <v>322</v>
      </c>
      <c r="B1151" s="46" t="s">
        <v>5626</v>
      </c>
      <c r="C1151" s="46" t="s">
        <v>4116</v>
      </c>
      <c r="D1151" s="46" t="s">
        <v>18</v>
      </c>
      <c r="E1151" s="46" t="s">
        <v>15</v>
      </c>
      <c r="F1151" s="48">
        <v>117.6</v>
      </c>
    </row>
    <row r="1152">
      <c r="A1152" s="46" t="s">
        <v>333</v>
      </c>
      <c r="B1152" s="46" t="s">
        <v>5632</v>
      </c>
      <c r="C1152" s="46" t="s">
        <v>5633</v>
      </c>
      <c r="D1152" s="46" t="s">
        <v>18</v>
      </c>
      <c r="E1152" s="46" t="s">
        <v>15</v>
      </c>
      <c r="F1152" s="48">
        <v>118.4</v>
      </c>
    </row>
    <row r="1153">
      <c r="A1153" s="46" t="s">
        <v>333</v>
      </c>
      <c r="B1153" s="46" t="s">
        <v>5638</v>
      </c>
      <c r="C1153" s="46" t="s">
        <v>333</v>
      </c>
      <c r="D1153" s="46" t="s">
        <v>18</v>
      </c>
      <c r="E1153" s="46" t="s">
        <v>14</v>
      </c>
      <c r="F1153" s="48">
        <v>122.6</v>
      </c>
    </row>
    <row r="1154">
      <c r="A1154" s="46" t="s">
        <v>333</v>
      </c>
      <c r="B1154" s="46" t="s">
        <v>5640</v>
      </c>
      <c r="C1154" s="46" t="s">
        <v>333</v>
      </c>
      <c r="D1154" s="46" t="s">
        <v>18</v>
      </c>
      <c r="E1154" s="46" t="s">
        <v>15</v>
      </c>
      <c r="F1154" s="48">
        <v>132.4</v>
      </c>
    </row>
    <row r="1155">
      <c r="A1155" s="46" t="s">
        <v>354</v>
      </c>
      <c r="B1155" s="46" t="s">
        <v>5647</v>
      </c>
      <c r="C1155" s="46" t="s">
        <v>361</v>
      </c>
      <c r="D1155" s="46" t="s">
        <v>18</v>
      </c>
      <c r="E1155" s="46" t="s">
        <v>15</v>
      </c>
      <c r="F1155" s="48">
        <v>112.1</v>
      </c>
    </row>
    <row r="1156">
      <c r="A1156" s="46" t="s">
        <v>354</v>
      </c>
      <c r="B1156" s="46" t="s">
        <v>5649</v>
      </c>
      <c r="C1156" s="46" t="s">
        <v>361</v>
      </c>
      <c r="D1156" s="46" t="s">
        <v>18</v>
      </c>
      <c r="E1156" s="46" t="s">
        <v>15</v>
      </c>
      <c r="F1156" s="48">
        <v>119.3</v>
      </c>
    </row>
    <row r="1157">
      <c r="A1157" s="46" t="s">
        <v>354</v>
      </c>
      <c r="B1157" s="46" t="s">
        <v>5651</v>
      </c>
      <c r="C1157" s="46" t="s">
        <v>361</v>
      </c>
      <c r="D1157" s="46" t="s">
        <v>18</v>
      </c>
      <c r="E1157" s="46" t="s">
        <v>15</v>
      </c>
      <c r="F1157" s="48">
        <v>119.9</v>
      </c>
    </row>
    <row r="1158">
      <c r="A1158" s="46" t="s">
        <v>354</v>
      </c>
      <c r="B1158" s="46" t="s">
        <v>5660</v>
      </c>
      <c r="C1158" s="46" t="s">
        <v>4140</v>
      </c>
      <c r="D1158" s="46" t="s">
        <v>18</v>
      </c>
      <c r="E1158" s="46" t="s">
        <v>14</v>
      </c>
      <c r="F1158" s="48">
        <v>109.1</v>
      </c>
    </row>
    <row r="1159">
      <c r="A1159" s="46" t="s">
        <v>354</v>
      </c>
      <c r="B1159" s="46" t="s">
        <v>5662</v>
      </c>
      <c r="C1159" s="46" t="s">
        <v>5663</v>
      </c>
      <c r="D1159" s="46" t="s">
        <v>18</v>
      </c>
      <c r="E1159" s="46" t="s">
        <v>14</v>
      </c>
      <c r="F1159" s="48">
        <v>110.1</v>
      </c>
    </row>
    <row r="1160">
      <c r="A1160" s="46" t="s">
        <v>377</v>
      </c>
      <c r="B1160" s="46" t="s">
        <v>5677</v>
      </c>
      <c r="C1160" s="46" t="s">
        <v>2384</v>
      </c>
      <c r="D1160" s="46" t="s">
        <v>18</v>
      </c>
      <c r="E1160" s="46" t="s">
        <v>15</v>
      </c>
      <c r="F1160" s="48">
        <v>113.1</v>
      </c>
    </row>
    <row r="1161">
      <c r="A1161" s="46" t="s">
        <v>393</v>
      </c>
      <c r="B1161" s="46" t="s">
        <v>5682</v>
      </c>
      <c r="C1161" s="46" t="s">
        <v>393</v>
      </c>
      <c r="D1161" s="46" t="s">
        <v>17</v>
      </c>
      <c r="E1161" s="46" t="s">
        <v>15</v>
      </c>
      <c r="F1161" s="48">
        <v>125.6</v>
      </c>
    </row>
    <row r="1162">
      <c r="A1162" s="46" t="s">
        <v>393</v>
      </c>
      <c r="B1162" s="46" t="s">
        <v>5686</v>
      </c>
      <c r="C1162" s="46" t="s">
        <v>5687</v>
      </c>
      <c r="D1162" s="46" t="s">
        <v>18</v>
      </c>
      <c r="E1162" s="46" t="s">
        <v>14</v>
      </c>
      <c r="F1162" s="48">
        <v>106.8</v>
      </c>
    </row>
    <row r="1163">
      <c r="A1163" s="46" t="s">
        <v>161</v>
      </c>
      <c r="B1163" s="46" t="s">
        <v>5689</v>
      </c>
      <c r="C1163" s="46" t="s">
        <v>2419</v>
      </c>
      <c r="D1163" s="46" t="s">
        <v>18</v>
      </c>
      <c r="E1163" s="46" t="s">
        <v>15</v>
      </c>
      <c r="F1163" s="48">
        <v>115.6</v>
      </c>
    </row>
    <row r="1164">
      <c r="A1164" s="46" t="s">
        <v>161</v>
      </c>
      <c r="B1164" s="46" t="s">
        <v>5693</v>
      </c>
      <c r="C1164" s="46" t="s">
        <v>2414</v>
      </c>
      <c r="D1164" s="46" t="s">
        <v>17</v>
      </c>
      <c r="E1164" s="46" t="s">
        <v>15</v>
      </c>
      <c r="F1164" s="48">
        <v>111.8</v>
      </c>
    </row>
    <row r="1165">
      <c r="A1165" s="46" t="s">
        <v>161</v>
      </c>
      <c r="B1165" s="46" t="s">
        <v>2197</v>
      </c>
      <c r="C1165" s="46" t="s">
        <v>411</v>
      </c>
      <c r="D1165" s="46" t="s">
        <v>17</v>
      </c>
      <c r="E1165" s="46" t="s">
        <v>15</v>
      </c>
      <c r="F1165" s="48">
        <v>124.1</v>
      </c>
    </row>
    <row r="1166">
      <c r="A1166" s="46" t="s">
        <v>269</v>
      </c>
      <c r="B1166" s="46" t="s">
        <v>5705</v>
      </c>
      <c r="C1166" s="46" t="s">
        <v>429</v>
      </c>
      <c r="D1166" s="46" t="s">
        <v>18</v>
      </c>
      <c r="E1166" s="46" t="s">
        <v>15</v>
      </c>
      <c r="F1166" s="48">
        <v>110.3</v>
      </c>
    </row>
    <row r="1167">
      <c r="A1167" s="46" t="s">
        <v>269</v>
      </c>
      <c r="B1167" s="46" t="s">
        <v>5707</v>
      </c>
      <c r="C1167" s="46" t="s">
        <v>2433</v>
      </c>
      <c r="D1167" s="46" t="s">
        <v>18</v>
      </c>
      <c r="E1167" s="46" t="s">
        <v>15</v>
      </c>
      <c r="F1167" s="48">
        <v>114.9</v>
      </c>
    </row>
    <row r="1168">
      <c r="A1168" s="46" t="s">
        <v>313</v>
      </c>
      <c r="B1168" s="46" t="s">
        <v>1617</v>
      </c>
      <c r="C1168" s="46" t="s">
        <v>437</v>
      </c>
      <c r="D1168" s="46" t="s">
        <v>17</v>
      </c>
      <c r="E1168" s="46" t="s">
        <v>15</v>
      </c>
      <c r="F1168" s="48">
        <v>134.4</v>
      </c>
    </row>
    <row r="1169">
      <c r="A1169" s="46" t="s">
        <v>313</v>
      </c>
      <c r="B1169" s="46" t="s">
        <v>5717</v>
      </c>
      <c r="C1169" s="46" t="s">
        <v>437</v>
      </c>
      <c r="D1169" s="46" t="s">
        <v>18</v>
      </c>
      <c r="E1169" s="46" t="s">
        <v>15</v>
      </c>
      <c r="F1169" s="48">
        <v>111.1</v>
      </c>
    </row>
    <row r="1170">
      <c r="A1170" s="46" t="s">
        <v>354</v>
      </c>
      <c r="B1170" s="46" t="s">
        <v>5719</v>
      </c>
      <c r="C1170" s="46" t="s">
        <v>449</v>
      </c>
      <c r="D1170" s="46" t="s">
        <v>18</v>
      </c>
      <c r="E1170" s="46" t="s">
        <v>15</v>
      </c>
      <c r="F1170" s="48">
        <v>107.7</v>
      </c>
    </row>
    <row r="1171">
      <c r="A1171" s="46" t="s">
        <v>354</v>
      </c>
      <c r="B1171" s="46" t="s">
        <v>5721</v>
      </c>
      <c r="C1171" s="46" t="s">
        <v>466</v>
      </c>
      <c r="D1171" s="46" t="s">
        <v>18</v>
      </c>
      <c r="E1171" s="46" t="s">
        <v>15</v>
      </c>
      <c r="F1171" s="48">
        <v>124.6</v>
      </c>
    </row>
    <row r="1172">
      <c r="A1172" s="46" t="s">
        <v>354</v>
      </c>
      <c r="B1172" s="46" t="s">
        <v>5725</v>
      </c>
      <c r="C1172" s="46" t="s">
        <v>466</v>
      </c>
      <c r="D1172" s="46" t="s">
        <v>17</v>
      </c>
      <c r="E1172" s="46" t="s">
        <v>15</v>
      </c>
      <c r="F1172" s="48">
        <v>127.1</v>
      </c>
    </row>
    <row r="1173">
      <c r="A1173" s="46" t="s">
        <v>354</v>
      </c>
      <c r="B1173" s="46" t="s">
        <v>5727</v>
      </c>
      <c r="C1173" s="46" t="s">
        <v>5728</v>
      </c>
      <c r="D1173" s="46" t="s">
        <v>17</v>
      </c>
      <c r="E1173" s="46" t="s">
        <v>15</v>
      </c>
      <c r="F1173" s="48">
        <v>110.2</v>
      </c>
    </row>
    <row r="1174">
      <c r="A1174" s="46" t="s">
        <v>354</v>
      </c>
      <c r="B1174" s="46" t="s">
        <v>5730</v>
      </c>
      <c r="C1174" s="46" t="s">
        <v>5731</v>
      </c>
      <c r="D1174" s="46" t="s">
        <v>17</v>
      </c>
      <c r="E1174" s="46" t="s">
        <v>15</v>
      </c>
      <c r="F1174" s="48">
        <v>106.9</v>
      </c>
    </row>
    <row r="1175">
      <c r="A1175" s="46" t="s">
        <v>354</v>
      </c>
      <c r="B1175" s="46" t="s">
        <v>5733</v>
      </c>
      <c r="C1175" s="46" t="s">
        <v>4207</v>
      </c>
      <c r="D1175" s="46" t="s">
        <v>17</v>
      </c>
      <c r="E1175" s="46" t="s">
        <v>15</v>
      </c>
      <c r="F1175" s="48">
        <v>114.5</v>
      </c>
    </row>
    <row r="1176">
      <c r="A1176" s="46" t="s">
        <v>354</v>
      </c>
      <c r="B1176" s="46" t="s">
        <v>5737</v>
      </c>
      <c r="C1176" s="46" t="s">
        <v>449</v>
      </c>
      <c r="D1176" s="46" t="s">
        <v>17</v>
      </c>
      <c r="E1176" s="46" t="s">
        <v>15</v>
      </c>
      <c r="F1176" s="48">
        <v>129.0</v>
      </c>
    </row>
    <row r="1177">
      <c r="A1177" s="46" t="s">
        <v>354</v>
      </c>
      <c r="B1177" s="46" t="s">
        <v>5743</v>
      </c>
      <c r="C1177" s="46" t="s">
        <v>466</v>
      </c>
      <c r="D1177" s="46" t="s">
        <v>17</v>
      </c>
      <c r="E1177" s="46" t="s">
        <v>13</v>
      </c>
      <c r="F1177" s="48">
        <v>104.3</v>
      </c>
    </row>
    <row r="1178">
      <c r="A1178" s="46" t="s">
        <v>483</v>
      </c>
      <c r="B1178" s="46" t="s">
        <v>4004</v>
      </c>
      <c r="C1178" s="46" t="s">
        <v>490</v>
      </c>
      <c r="D1178" s="46" t="s">
        <v>18</v>
      </c>
      <c r="E1178" s="46" t="s">
        <v>15</v>
      </c>
      <c r="F1178" s="48">
        <v>116.1</v>
      </c>
    </row>
    <row r="1179">
      <c r="A1179" s="46" t="s">
        <v>483</v>
      </c>
      <c r="B1179" s="46" t="s">
        <v>5748</v>
      </c>
      <c r="C1179" s="46" t="s">
        <v>490</v>
      </c>
      <c r="D1179" s="46" t="s">
        <v>18</v>
      </c>
      <c r="E1179" s="46" t="s">
        <v>15</v>
      </c>
      <c r="F1179" s="48">
        <v>108.5</v>
      </c>
    </row>
    <row r="1180">
      <c r="A1180" s="46" t="s">
        <v>483</v>
      </c>
      <c r="B1180" s="46" t="s">
        <v>5750</v>
      </c>
      <c r="C1180" s="46" t="s">
        <v>490</v>
      </c>
      <c r="D1180" s="46" t="s">
        <v>18</v>
      </c>
      <c r="E1180" s="46" t="s">
        <v>14</v>
      </c>
      <c r="F1180" s="48">
        <v>104.3</v>
      </c>
    </row>
    <row r="1181">
      <c r="A1181" s="46" t="s">
        <v>182</v>
      </c>
      <c r="B1181" s="46" t="s">
        <v>5760</v>
      </c>
      <c r="C1181" s="46" t="s">
        <v>4267</v>
      </c>
      <c r="D1181" s="46" t="s">
        <v>18</v>
      </c>
      <c r="E1181" s="46" t="s">
        <v>14</v>
      </c>
      <c r="F1181" s="48">
        <v>112.9</v>
      </c>
    </row>
    <row r="1182">
      <c r="A1182" s="46" t="s">
        <v>182</v>
      </c>
      <c r="B1182" s="46" t="s">
        <v>5762</v>
      </c>
      <c r="C1182" s="46" t="s">
        <v>182</v>
      </c>
      <c r="D1182" s="46" t="s">
        <v>18</v>
      </c>
      <c r="E1182" s="46" t="s">
        <v>14</v>
      </c>
      <c r="F1182" s="48">
        <v>113.3</v>
      </c>
    </row>
    <row r="1183">
      <c r="A1183" s="46" t="s">
        <v>182</v>
      </c>
      <c r="B1183" s="46" t="s">
        <v>5764</v>
      </c>
      <c r="C1183" s="46" t="s">
        <v>182</v>
      </c>
      <c r="D1183" s="46" t="s">
        <v>18</v>
      </c>
      <c r="E1183" s="46" t="s">
        <v>15</v>
      </c>
      <c r="F1183" s="48">
        <v>138.8</v>
      </c>
    </row>
    <row r="1184">
      <c r="A1184" s="46" t="s">
        <v>182</v>
      </c>
      <c r="B1184" s="46" t="s">
        <v>5772</v>
      </c>
      <c r="C1184" s="46" t="s">
        <v>182</v>
      </c>
      <c r="D1184" s="46" t="s">
        <v>17</v>
      </c>
      <c r="E1184" s="46" t="s">
        <v>15</v>
      </c>
      <c r="F1184" s="48">
        <v>137.3</v>
      </c>
    </row>
    <row r="1185">
      <c r="A1185" s="46" t="s">
        <v>182</v>
      </c>
      <c r="B1185" s="46" t="s">
        <v>5774</v>
      </c>
      <c r="C1185" s="46" t="s">
        <v>182</v>
      </c>
      <c r="D1185" s="46" t="s">
        <v>17</v>
      </c>
      <c r="E1185" s="46" t="s">
        <v>15</v>
      </c>
      <c r="F1185" s="48">
        <v>125.4</v>
      </c>
    </row>
    <row r="1186">
      <c r="A1186" s="46" t="s">
        <v>182</v>
      </c>
      <c r="B1186" s="46" t="s">
        <v>5778</v>
      </c>
      <c r="C1186" s="46" t="s">
        <v>182</v>
      </c>
      <c r="D1186" s="46" t="s">
        <v>17</v>
      </c>
      <c r="E1186" s="46" t="s">
        <v>13</v>
      </c>
      <c r="F1186" s="48">
        <v>120.8</v>
      </c>
    </row>
    <row r="1187">
      <c r="A1187" s="46" t="s">
        <v>182</v>
      </c>
      <c r="B1187" s="46" t="s">
        <v>5780</v>
      </c>
      <c r="C1187" s="46" t="s">
        <v>5781</v>
      </c>
      <c r="D1187" s="46" t="s">
        <v>18</v>
      </c>
      <c r="E1187" s="46" t="s">
        <v>14</v>
      </c>
      <c r="F1187" s="48">
        <v>120.8</v>
      </c>
    </row>
    <row r="1188">
      <c r="A1188" s="46" t="s">
        <v>182</v>
      </c>
      <c r="B1188" s="46" t="s">
        <v>5783</v>
      </c>
      <c r="C1188" s="46" t="s">
        <v>182</v>
      </c>
      <c r="D1188" s="46" t="s">
        <v>17</v>
      </c>
      <c r="E1188" s="46" t="s">
        <v>13</v>
      </c>
      <c r="F1188" s="48">
        <v>110.9</v>
      </c>
    </row>
    <row r="1189">
      <c r="A1189" s="46" t="s">
        <v>182</v>
      </c>
      <c r="B1189" s="46" t="s">
        <v>5785</v>
      </c>
      <c r="C1189" s="46" t="s">
        <v>521</v>
      </c>
      <c r="D1189" s="46" t="s">
        <v>18</v>
      </c>
      <c r="E1189" s="46" t="s">
        <v>15</v>
      </c>
      <c r="F1189" s="48">
        <v>126.8</v>
      </c>
    </row>
    <row r="1190">
      <c r="A1190" s="46" t="s">
        <v>182</v>
      </c>
      <c r="B1190" s="46" t="s">
        <v>5490</v>
      </c>
      <c r="C1190" s="46" t="s">
        <v>5787</v>
      </c>
      <c r="D1190" s="46" t="s">
        <v>18</v>
      </c>
      <c r="E1190" s="46" t="s">
        <v>15</v>
      </c>
      <c r="F1190" s="48">
        <v>122.6</v>
      </c>
    </row>
    <row r="1191">
      <c r="A1191" s="46" t="s">
        <v>182</v>
      </c>
      <c r="B1191" s="46" t="s">
        <v>5789</v>
      </c>
      <c r="C1191" s="46" t="s">
        <v>5790</v>
      </c>
      <c r="D1191" s="46" t="s">
        <v>17</v>
      </c>
      <c r="E1191" s="46" t="s">
        <v>15</v>
      </c>
      <c r="F1191" s="48">
        <v>120.8</v>
      </c>
    </row>
    <row r="1192">
      <c r="A1192" s="46" t="s">
        <v>377</v>
      </c>
      <c r="B1192" s="46" t="s">
        <v>968</v>
      </c>
      <c r="C1192" s="46" t="s">
        <v>586</v>
      </c>
      <c r="D1192" s="46" t="s">
        <v>18</v>
      </c>
      <c r="E1192" s="46" t="s">
        <v>14</v>
      </c>
      <c r="F1192" s="48">
        <v>117.4</v>
      </c>
    </row>
    <row r="1193">
      <c r="A1193" s="46" t="s">
        <v>377</v>
      </c>
      <c r="B1193" s="46" t="s">
        <v>5801</v>
      </c>
      <c r="C1193" s="46" t="s">
        <v>377</v>
      </c>
      <c r="D1193" s="46" t="s">
        <v>17</v>
      </c>
      <c r="E1193" s="46" t="s">
        <v>15</v>
      </c>
      <c r="F1193" s="48">
        <v>128.9</v>
      </c>
    </row>
    <row r="1194">
      <c r="A1194" s="46" t="s">
        <v>377</v>
      </c>
      <c r="B1194" s="46" t="s">
        <v>5803</v>
      </c>
      <c r="C1194" s="46" t="s">
        <v>377</v>
      </c>
      <c r="D1194" s="46" t="s">
        <v>17</v>
      </c>
      <c r="E1194" s="46" t="s">
        <v>15</v>
      </c>
      <c r="F1194" s="48">
        <v>131.4</v>
      </c>
    </row>
    <row r="1195">
      <c r="A1195" s="46" t="s">
        <v>377</v>
      </c>
      <c r="B1195" s="46" t="s">
        <v>5805</v>
      </c>
      <c r="C1195" s="46" t="s">
        <v>377</v>
      </c>
      <c r="D1195" s="46" t="s">
        <v>17</v>
      </c>
      <c r="E1195" s="46" t="s">
        <v>15</v>
      </c>
      <c r="F1195" s="48">
        <v>126.0</v>
      </c>
    </row>
    <row r="1196">
      <c r="A1196" s="46" t="s">
        <v>377</v>
      </c>
      <c r="B1196" s="46" t="s">
        <v>5807</v>
      </c>
      <c r="C1196" s="46" t="s">
        <v>377</v>
      </c>
      <c r="D1196" s="46" t="s">
        <v>17</v>
      </c>
      <c r="E1196" s="46" t="s">
        <v>13</v>
      </c>
      <c r="F1196" s="48">
        <v>108.9</v>
      </c>
    </row>
    <row r="1197">
      <c r="A1197" s="46" t="s">
        <v>377</v>
      </c>
      <c r="B1197" s="46" t="s">
        <v>5809</v>
      </c>
      <c r="C1197" s="46" t="s">
        <v>4299</v>
      </c>
      <c r="D1197" s="46" t="s">
        <v>18</v>
      </c>
      <c r="E1197" s="46" t="s">
        <v>15</v>
      </c>
      <c r="F1197" s="48">
        <v>124.2</v>
      </c>
    </row>
    <row r="1198">
      <c r="A1198" s="46" t="s">
        <v>377</v>
      </c>
      <c r="B1198" s="46" t="s">
        <v>5811</v>
      </c>
      <c r="C1198" s="46" t="s">
        <v>377</v>
      </c>
      <c r="D1198" s="46" t="s">
        <v>18</v>
      </c>
      <c r="E1198" s="46" t="s">
        <v>15</v>
      </c>
      <c r="F1198" s="48">
        <v>107.3</v>
      </c>
    </row>
    <row r="1199">
      <c r="A1199" s="46" t="s">
        <v>377</v>
      </c>
      <c r="B1199" s="46" t="s">
        <v>5813</v>
      </c>
      <c r="C1199" s="46" t="s">
        <v>377</v>
      </c>
      <c r="D1199" s="46" t="s">
        <v>17</v>
      </c>
      <c r="E1199" s="46" t="s">
        <v>13</v>
      </c>
      <c r="F1199" s="48">
        <v>107.5</v>
      </c>
    </row>
    <row r="1200">
      <c r="A1200" s="46" t="s">
        <v>377</v>
      </c>
      <c r="B1200" s="46" t="s">
        <v>5815</v>
      </c>
      <c r="C1200" s="46" t="s">
        <v>5816</v>
      </c>
      <c r="D1200" s="46" t="s">
        <v>18</v>
      </c>
      <c r="E1200" s="46" t="s">
        <v>15</v>
      </c>
      <c r="F1200" s="48">
        <v>124.8</v>
      </c>
    </row>
    <row r="1201">
      <c r="A1201" s="46" t="s">
        <v>377</v>
      </c>
      <c r="B1201" s="46" t="s">
        <v>5822</v>
      </c>
      <c r="C1201" s="46" t="s">
        <v>5823</v>
      </c>
      <c r="D1201" s="46" t="s">
        <v>17</v>
      </c>
      <c r="E1201" s="46" t="s">
        <v>15</v>
      </c>
      <c r="F1201" s="48">
        <v>123.4</v>
      </c>
    </row>
    <row r="1202">
      <c r="A1202" s="46" t="s">
        <v>483</v>
      </c>
      <c r="B1202" s="46" t="s">
        <v>5827</v>
      </c>
      <c r="C1202" s="46" t="s">
        <v>5828</v>
      </c>
      <c r="D1202" s="46" t="s">
        <v>18</v>
      </c>
      <c r="E1202" s="46" t="s">
        <v>14</v>
      </c>
      <c r="F1202" s="48">
        <v>104.0</v>
      </c>
    </row>
    <row r="1203">
      <c r="A1203" s="46" t="s">
        <v>483</v>
      </c>
      <c r="B1203" s="46" t="s">
        <v>3558</v>
      </c>
      <c r="C1203" s="46" t="s">
        <v>483</v>
      </c>
      <c r="D1203" s="46" t="s">
        <v>18</v>
      </c>
      <c r="E1203" s="46" t="s">
        <v>15</v>
      </c>
      <c r="F1203" s="48">
        <v>107.9</v>
      </c>
    </row>
    <row r="1204">
      <c r="A1204" s="46" t="s">
        <v>483</v>
      </c>
      <c r="B1204" s="46" t="s">
        <v>456</v>
      </c>
      <c r="C1204" s="46" t="s">
        <v>4323</v>
      </c>
      <c r="D1204" s="46" t="s">
        <v>18</v>
      </c>
      <c r="E1204" s="46" t="s">
        <v>15</v>
      </c>
      <c r="F1204" s="48">
        <v>113.9</v>
      </c>
    </row>
    <row r="1205">
      <c r="A1205" s="46" t="s">
        <v>483</v>
      </c>
      <c r="B1205" s="46" t="s">
        <v>5834</v>
      </c>
      <c r="C1205" s="46" t="s">
        <v>2545</v>
      </c>
      <c r="D1205" s="46" t="s">
        <v>17</v>
      </c>
      <c r="E1205" s="46" t="s">
        <v>15</v>
      </c>
      <c r="F1205" s="48">
        <v>126.1</v>
      </c>
    </row>
    <row r="1206">
      <c r="A1206" s="46" t="s">
        <v>483</v>
      </c>
      <c r="B1206" s="46" t="s">
        <v>5836</v>
      </c>
      <c r="C1206" s="46" t="s">
        <v>5837</v>
      </c>
      <c r="D1206" s="46" t="s">
        <v>17</v>
      </c>
      <c r="E1206" s="46" t="s">
        <v>14</v>
      </c>
      <c r="F1206" s="48">
        <v>123.8</v>
      </c>
    </row>
    <row r="1207">
      <c r="A1207" s="46" t="s">
        <v>483</v>
      </c>
      <c r="B1207" s="46" t="s">
        <v>5840</v>
      </c>
      <c r="C1207" s="46" t="s">
        <v>5841</v>
      </c>
      <c r="D1207" s="46" t="s">
        <v>18</v>
      </c>
      <c r="E1207" s="46" t="s">
        <v>14</v>
      </c>
      <c r="F1207" s="48">
        <v>116.2</v>
      </c>
    </row>
    <row r="1208">
      <c r="A1208" s="46" t="s">
        <v>483</v>
      </c>
      <c r="B1208" s="46" t="s">
        <v>5843</v>
      </c>
      <c r="C1208" s="46" t="s">
        <v>5844</v>
      </c>
      <c r="D1208" s="46" t="s">
        <v>18</v>
      </c>
      <c r="E1208" s="46" t="s">
        <v>14</v>
      </c>
      <c r="F1208" s="48">
        <v>121.8</v>
      </c>
    </row>
    <row r="1209">
      <c r="A1209" s="46" t="s">
        <v>483</v>
      </c>
      <c r="B1209" s="46" t="s">
        <v>5846</v>
      </c>
      <c r="C1209" s="46" t="s">
        <v>4316</v>
      </c>
      <c r="D1209" s="46" t="s">
        <v>18</v>
      </c>
      <c r="E1209" s="46" t="s">
        <v>14</v>
      </c>
      <c r="F1209" s="48">
        <v>118.4</v>
      </c>
    </row>
    <row r="1210">
      <c r="A1210" s="46" t="s">
        <v>354</v>
      </c>
      <c r="B1210" s="46" t="s">
        <v>5850</v>
      </c>
      <c r="C1210" s="46" t="s">
        <v>2563</v>
      </c>
      <c r="D1210" s="46" t="s">
        <v>18</v>
      </c>
      <c r="E1210" s="46" t="s">
        <v>15</v>
      </c>
      <c r="F1210" s="48">
        <v>110.9</v>
      </c>
    </row>
    <row r="1211">
      <c r="A1211" s="46" t="s">
        <v>354</v>
      </c>
      <c r="B1211" s="46" t="s">
        <v>5857</v>
      </c>
      <c r="C1211" s="46" t="s">
        <v>354</v>
      </c>
      <c r="D1211" s="46" t="s">
        <v>17</v>
      </c>
      <c r="E1211" s="46" t="s">
        <v>14</v>
      </c>
      <c r="F1211" s="48">
        <v>136.6</v>
      </c>
    </row>
    <row r="1212">
      <c r="A1212" s="46" t="s">
        <v>354</v>
      </c>
      <c r="B1212" s="46" t="s">
        <v>5859</v>
      </c>
      <c r="C1212" s="46" t="s">
        <v>354</v>
      </c>
      <c r="D1212" s="46" t="s">
        <v>17</v>
      </c>
      <c r="E1212" s="46" t="s">
        <v>14</v>
      </c>
      <c r="F1212" s="48">
        <v>108.2</v>
      </c>
    </row>
    <row r="1213">
      <c r="A1213" s="46" t="s">
        <v>354</v>
      </c>
      <c r="B1213" s="46" t="s">
        <v>555</v>
      </c>
      <c r="C1213" s="46" t="s">
        <v>5861</v>
      </c>
      <c r="D1213" s="46" t="s">
        <v>17</v>
      </c>
      <c r="E1213" s="46" t="s">
        <v>15</v>
      </c>
      <c r="F1213" s="48">
        <v>135.5</v>
      </c>
    </row>
    <row r="1214">
      <c r="A1214" s="46" t="s">
        <v>354</v>
      </c>
      <c r="B1214" s="46" t="s">
        <v>5863</v>
      </c>
      <c r="C1214" s="46" t="s">
        <v>5864</v>
      </c>
      <c r="D1214" s="46" t="s">
        <v>18</v>
      </c>
      <c r="E1214" s="46" t="s">
        <v>15</v>
      </c>
      <c r="F1214" s="48">
        <v>126.9</v>
      </c>
    </row>
    <row r="1215">
      <c r="A1215" s="46" t="s">
        <v>313</v>
      </c>
      <c r="B1215" s="46" t="s">
        <v>146</v>
      </c>
      <c r="C1215" s="46" t="s">
        <v>634</v>
      </c>
      <c r="D1215" s="46" t="s">
        <v>18</v>
      </c>
      <c r="E1215" s="46" t="s">
        <v>15</v>
      </c>
      <c r="F1215" s="48">
        <v>104.4</v>
      </c>
    </row>
    <row r="1216">
      <c r="A1216" s="46" t="s">
        <v>313</v>
      </c>
      <c r="B1216" s="46" t="s">
        <v>1379</v>
      </c>
      <c r="C1216" s="46" t="s">
        <v>656</v>
      </c>
      <c r="D1216" s="46" t="s">
        <v>18</v>
      </c>
      <c r="E1216" s="46" t="s">
        <v>14</v>
      </c>
      <c r="F1216" s="48">
        <v>114.2</v>
      </c>
    </row>
    <row r="1217">
      <c r="A1217" s="46" t="s">
        <v>313</v>
      </c>
      <c r="B1217" s="46" t="s">
        <v>5870</v>
      </c>
      <c r="C1217" s="46" t="s">
        <v>640</v>
      </c>
      <c r="D1217" s="46" t="s">
        <v>18</v>
      </c>
      <c r="E1217" s="46" t="s">
        <v>15</v>
      </c>
      <c r="F1217" s="48">
        <v>118.6</v>
      </c>
    </row>
    <row r="1218">
      <c r="A1218" s="46" t="s">
        <v>313</v>
      </c>
      <c r="B1218" s="46" t="s">
        <v>5872</v>
      </c>
      <c r="C1218" s="46" t="s">
        <v>5873</v>
      </c>
      <c r="D1218" s="46" t="s">
        <v>17</v>
      </c>
      <c r="E1218" s="46" t="s">
        <v>15</v>
      </c>
      <c r="F1218" s="48">
        <v>134.7</v>
      </c>
    </row>
    <row r="1219">
      <c r="A1219" s="46" t="s">
        <v>313</v>
      </c>
      <c r="B1219" s="46" t="s">
        <v>5875</v>
      </c>
      <c r="C1219" s="46" t="s">
        <v>640</v>
      </c>
      <c r="D1219" s="46" t="s">
        <v>18</v>
      </c>
      <c r="E1219" s="46" t="s">
        <v>15</v>
      </c>
      <c r="F1219" s="48">
        <v>124.8</v>
      </c>
    </row>
    <row r="1220">
      <c r="A1220" s="46" t="s">
        <v>161</v>
      </c>
      <c r="B1220" s="46" t="s">
        <v>5880</v>
      </c>
      <c r="C1220" s="46" t="s">
        <v>161</v>
      </c>
      <c r="D1220" s="46" t="s">
        <v>18</v>
      </c>
      <c r="E1220" s="46" t="s">
        <v>15</v>
      </c>
      <c r="F1220" s="48">
        <v>124.2</v>
      </c>
    </row>
    <row r="1221">
      <c r="A1221" s="46" t="s">
        <v>161</v>
      </c>
      <c r="B1221" s="46" t="s">
        <v>5882</v>
      </c>
      <c r="C1221" s="46" t="s">
        <v>161</v>
      </c>
      <c r="D1221" s="46" t="s">
        <v>18</v>
      </c>
      <c r="E1221" s="46" t="s">
        <v>14</v>
      </c>
      <c r="F1221" s="48">
        <v>106.3</v>
      </c>
    </row>
    <row r="1222">
      <c r="A1222" s="46" t="s">
        <v>161</v>
      </c>
      <c r="B1222" s="46" t="s">
        <v>5884</v>
      </c>
      <c r="C1222" s="46" t="s">
        <v>695</v>
      </c>
      <c r="D1222" s="46" t="s">
        <v>18</v>
      </c>
      <c r="E1222" s="46" t="s">
        <v>14</v>
      </c>
      <c r="F1222" s="48">
        <v>106.6</v>
      </c>
    </row>
    <row r="1223">
      <c r="A1223" s="46" t="s">
        <v>161</v>
      </c>
      <c r="B1223" s="46" t="s">
        <v>5886</v>
      </c>
      <c r="C1223" s="46" t="s">
        <v>2609</v>
      </c>
      <c r="D1223" s="46" t="s">
        <v>18</v>
      </c>
      <c r="E1223" s="46" t="s">
        <v>14</v>
      </c>
      <c r="F1223" s="48">
        <v>120.1</v>
      </c>
    </row>
    <row r="1224">
      <c r="A1224" s="46" t="s">
        <v>161</v>
      </c>
      <c r="B1224" s="46" t="s">
        <v>5891</v>
      </c>
      <c r="C1224" s="46" t="s">
        <v>2609</v>
      </c>
      <c r="D1224" s="46" t="s">
        <v>17</v>
      </c>
      <c r="E1224" s="46" t="s">
        <v>15</v>
      </c>
      <c r="F1224" s="48">
        <v>131.1</v>
      </c>
    </row>
    <row r="1225">
      <c r="A1225" s="46" t="s">
        <v>161</v>
      </c>
      <c r="B1225" s="46" t="s">
        <v>5899</v>
      </c>
      <c r="C1225" s="46" t="s">
        <v>5900</v>
      </c>
      <c r="D1225" s="46" t="s">
        <v>18</v>
      </c>
      <c r="E1225" s="46" t="s">
        <v>15</v>
      </c>
      <c r="F1225" s="48">
        <v>133.7</v>
      </c>
    </row>
    <row r="1226">
      <c r="A1226" s="46" t="s">
        <v>161</v>
      </c>
      <c r="B1226" s="46" t="s">
        <v>5902</v>
      </c>
      <c r="C1226" s="46" t="s">
        <v>5903</v>
      </c>
      <c r="D1226" s="46" t="s">
        <v>17</v>
      </c>
      <c r="E1226" s="46" t="s">
        <v>14</v>
      </c>
      <c r="F1226" s="48">
        <v>128.5</v>
      </c>
    </row>
    <row r="1227">
      <c r="A1227" s="46" t="s">
        <v>161</v>
      </c>
      <c r="B1227" s="46" t="s">
        <v>5905</v>
      </c>
      <c r="C1227" s="46" t="s">
        <v>5906</v>
      </c>
      <c r="D1227" s="46" t="s">
        <v>17</v>
      </c>
      <c r="E1227" s="46" t="s">
        <v>15</v>
      </c>
      <c r="F1227" s="48">
        <v>115.0</v>
      </c>
    </row>
    <row r="1228">
      <c r="A1228" s="46" t="s">
        <v>393</v>
      </c>
      <c r="B1228" s="46" t="s">
        <v>5908</v>
      </c>
      <c r="C1228" s="46" t="s">
        <v>2634</v>
      </c>
      <c r="D1228" s="46" t="s">
        <v>18</v>
      </c>
      <c r="E1228" s="46" t="s">
        <v>15</v>
      </c>
      <c r="F1228" s="48">
        <v>119.0</v>
      </c>
    </row>
    <row r="1229">
      <c r="A1229" s="46" t="s">
        <v>377</v>
      </c>
      <c r="B1229" s="46" t="s">
        <v>5914</v>
      </c>
      <c r="C1229" s="46" t="s">
        <v>4427</v>
      </c>
      <c r="D1229" s="46" t="s">
        <v>18</v>
      </c>
      <c r="E1229" s="46" t="s">
        <v>15</v>
      </c>
      <c r="F1229" s="48">
        <v>112.3</v>
      </c>
    </row>
    <row r="1230">
      <c r="A1230" s="46" t="s">
        <v>377</v>
      </c>
      <c r="B1230" s="46" t="s">
        <v>5916</v>
      </c>
      <c r="C1230" s="46" t="s">
        <v>4427</v>
      </c>
      <c r="D1230" s="46" t="s">
        <v>18</v>
      </c>
      <c r="E1230" s="46" t="s">
        <v>15</v>
      </c>
      <c r="F1230" s="48">
        <v>113.5</v>
      </c>
    </row>
    <row r="1231">
      <c r="A1231" s="46" t="s">
        <v>71</v>
      </c>
      <c r="B1231" s="46" t="s">
        <v>5923</v>
      </c>
      <c r="C1231" s="46" t="s">
        <v>2678</v>
      </c>
      <c r="D1231" s="46" t="s">
        <v>18</v>
      </c>
      <c r="E1231" s="46" t="s">
        <v>15</v>
      </c>
      <c r="F1231" s="48">
        <v>119.3</v>
      </c>
    </row>
    <row r="1232">
      <c r="A1232" s="46" t="s">
        <v>71</v>
      </c>
      <c r="B1232" s="46" t="s">
        <v>5925</v>
      </c>
      <c r="C1232" s="46" t="s">
        <v>4450</v>
      </c>
      <c r="D1232" s="46" t="s">
        <v>18</v>
      </c>
      <c r="E1232" s="46" t="s">
        <v>15</v>
      </c>
      <c r="F1232" s="48">
        <v>104.7</v>
      </c>
    </row>
    <row r="1233">
      <c r="A1233" s="46" t="s">
        <v>71</v>
      </c>
      <c r="B1233" s="46" t="s">
        <v>5932</v>
      </c>
      <c r="C1233" s="46" t="s">
        <v>2678</v>
      </c>
      <c r="D1233" s="46" t="s">
        <v>17</v>
      </c>
      <c r="E1233" s="46" t="s">
        <v>15</v>
      </c>
      <c r="F1233" s="48">
        <v>114.2</v>
      </c>
    </row>
    <row r="1234">
      <c r="A1234" s="46" t="s">
        <v>71</v>
      </c>
      <c r="B1234" s="46" t="s">
        <v>5934</v>
      </c>
      <c r="C1234" s="46" t="s">
        <v>5935</v>
      </c>
      <c r="D1234" s="46" t="s">
        <v>17</v>
      </c>
      <c r="E1234" s="46" t="s">
        <v>13</v>
      </c>
      <c r="F1234" s="48">
        <v>104.4</v>
      </c>
    </row>
    <row r="1235">
      <c r="A1235" s="46" t="s">
        <v>71</v>
      </c>
      <c r="B1235" s="46" t="s">
        <v>5941</v>
      </c>
      <c r="C1235" s="46" t="s">
        <v>748</v>
      </c>
      <c r="D1235" s="46" t="s">
        <v>17</v>
      </c>
      <c r="E1235" s="46" t="s">
        <v>15</v>
      </c>
      <c r="F1235" s="48">
        <v>105.2</v>
      </c>
    </row>
    <row r="1236">
      <c r="A1236" s="46" t="s">
        <v>71</v>
      </c>
      <c r="B1236" s="46" t="s">
        <v>5943</v>
      </c>
      <c r="C1236" s="46" t="s">
        <v>748</v>
      </c>
      <c r="D1236" s="46" t="s">
        <v>17</v>
      </c>
      <c r="E1236" s="46" t="s">
        <v>15</v>
      </c>
      <c r="F1236" s="48">
        <v>122.6</v>
      </c>
    </row>
    <row r="1237">
      <c r="A1237" s="46" t="s">
        <v>71</v>
      </c>
      <c r="B1237" s="46" t="s">
        <v>2197</v>
      </c>
      <c r="C1237" s="46" t="s">
        <v>2662</v>
      </c>
      <c r="D1237" s="46" t="s">
        <v>17</v>
      </c>
      <c r="E1237" s="46" t="s">
        <v>15</v>
      </c>
      <c r="F1237" s="48">
        <v>109.5</v>
      </c>
    </row>
    <row r="1238">
      <c r="A1238" s="46" t="s">
        <v>71</v>
      </c>
      <c r="B1238" s="46" t="s">
        <v>5946</v>
      </c>
      <c r="C1238" s="46" t="s">
        <v>5947</v>
      </c>
      <c r="D1238" s="46" t="s">
        <v>18</v>
      </c>
      <c r="E1238" s="46" t="s">
        <v>15</v>
      </c>
      <c r="F1238" s="48">
        <v>118.3</v>
      </c>
    </row>
    <row r="1239">
      <c r="A1239" s="46" t="s">
        <v>116</v>
      </c>
      <c r="B1239" s="46" t="s">
        <v>5952</v>
      </c>
      <c r="C1239" s="46" t="s">
        <v>776</v>
      </c>
      <c r="D1239" s="46" t="s">
        <v>17</v>
      </c>
      <c r="E1239" s="46" t="s">
        <v>15</v>
      </c>
      <c r="F1239" s="48">
        <v>114.2</v>
      </c>
    </row>
    <row r="1240">
      <c r="A1240" s="46" t="s">
        <v>779</v>
      </c>
      <c r="B1240" s="46" t="s">
        <v>419</v>
      </c>
      <c r="C1240" s="46" t="s">
        <v>801</v>
      </c>
      <c r="D1240" s="46" t="s">
        <v>18</v>
      </c>
      <c r="E1240" s="46" t="s">
        <v>15</v>
      </c>
      <c r="F1240" s="48">
        <v>111.6</v>
      </c>
    </row>
    <row r="1241">
      <c r="A1241" s="46" t="s">
        <v>779</v>
      </c>
      <c r="B1241" s="46" t="s">
        <v>80</v>
      </c>
      <c r="C1241" s="46" t="s">
        <v>2703</v>
      </c>
      <c r="D1241" s="46" t="s">
        <v>17</v>
      </c>
      <c r="E1241" s="46" t="s">
        <v>15</v>
      </c>
      <c r="F1241" s="48">
        <v>117.3</v>
      </c>
    </row>
    <row r="1242">
      <c r="A1242" s="46" t="s">
        <v>779</v>
      </c>
      <c r="B1242" s="46" t="s">
        <v>80</v>
      </c>
      <c r="C1242" s="46" t="s">
        <v>795</v>
      </c>
      <c r="D1242" s="46" t="s">
        <v>17</v>
      </c>
      <c r="E1242" s="46" t="s">
        <v>15</v>
      </c>
      <c r="F1242" s="48">
        <v>113.1</v>
      </c>
    </row>
    <row r="1243">
      <c r="A1243" s="46" t="s">
        <v>779</v>
      </c>
      <c r="B1243" s="46" t="s">
        <v>502</v>
      </c>
      <c r="C1243" s="46" t="s">
        <v>779</v>
      </c>
      <c r="D1243" s="46" t="s">
        <v>17</v>
      </c>
      <c r="E1243" s="46" t="s">
        <v>15</v>
      </c>
      <c r="F1243" s="48">
        <v>142.1</v>
      </c>
    </row>
    <row r="1244">
      <c r="A1244" s="46" t="s">
        <v>779</v>
      </c>
      <c r="B1244" s="46" t="s">
        <v>5960</v>
      </c>
      <c r="C1244" s="46" t="s">
        <v>779</v>
      </c>
      <c r="D1244" s="46" t="s">
        <v>17</v>
      </c>
      <c r="E1244" s="46" t="s">
        <v>15</v>
      </c>
      <c r="F1244" s="48">
        <v>143.5</v>
      </c>
    </row>
    <row r="1245">
      <c r="A1245" s="46" t="s">
        <v>779</v>
      </c>
      <c r="B1245" s="46" t="s">
        <v>5962</v>
      </c>
      <c r="C1245" s="46" t="s">
        <v>2703</v>
      </c>
      <c r="D1245" s="46" t="s">
        <v>17</v>
      </c>
      <c r="E1245" s="46" t="s">
        <v>13</v>
      </c>
      <c r="F1245" s="48">
        <v>105.9</v>
      </c>
    </row>
    <row r="1246">
      <c r="A1246" s="46" t="s">
        <v>779</v>
      </c>
      <c r="B1246" s="46" t="s">
        <v>5964</v>
      </c>
      <c r="C1246" s="46" t="s">
        <v>790</v>
      </c>
      <c r="D1246" s="46" t="s">
        <v>17</v>
      </c>
      <c r="E1246" s="46" t="s">
        <v>13</v>
      </c>
      <c r="F1246" s="48">
        <v>105.7</v>
      </c>
    </row>
    <row r="1247">
      <c r="A1247" s="46" t="s">
        <v>779</v>
      </c>
      <c r="B1247" s="46" t="s">
        <v>5971</v>
      </c>
      <c r="C1247" s="46" t="s">
        <v>779</v>
      </c>
      <c r="D1247" s="46" t="s">
        <v>18</v>
      </c>
      <c r="E1247" s="46" t="s">
        <v>14</v>
      </c>
      <c r="F1247" s="48">
        <v>112.8</v>
      </c>
    </row>
    <row r="1248">
      <c r="A1248" s="46" t="s">
        <v>779</v>
      </c>
      <c r="B1248" s="46" t="s">
        <v>5975</v>
      </c>
      <c r="C1248" s="46" t="s">
        <v>5976</v>
      </c>
      <c r="D1248" s="46" t="s">
        <v>18</v>
      </c>
      <c r="E1248" s="46" t="s">
        <v>15</v>
      </c>
      <c r="F1248" s="48">
        <v>119.6</v>
      </c>
    </row>
    <row r="1249">
      <c r="A1249" s="46" t="s">
        <v>779</v>
      </c>
      <c r="B1249" s="46" t="s">
        <v>5978</v>
      </c>
      <c r="C1249" s="46" t="s">
        <v>818</v>
      </c>
      <c r="D1249" s="46" t="s">
        <v>18</v>
      </c>
      <c r="E1249" s="46" t="s">
        <v>15</v>
      </c>
      <c r="F1249" s="48">
        <v>117.9</v>
      </c>
    </row>
    <row r="1250">
      <c r="A1250" s="46" t="s">
        <v>779</v>
      </c>
      <c r="B1250" s="46" t="s">
        <v>5980</v>
      </c>
      <c r="C1250" s="46" t="s">
        <v>779</v>
      </c>
      <c r="D1250" s="46" t="s">
        <v>17</v>
      </c>
      <c r="E1250" s="46" t="s">
        <v>15</v>
      </c>
      <c r="F1250" s="48">
        <v>142.5</v>
      </c>
    </row>
    <row r="1251">
      <c r="A1251" s="46" t="s">
        <v>779</v>
      </c>
      <c r="B1251" s="46" t="s">
        <v>1597</v>
      </c>
      <c r="C1251" s="46" t="s">
        <v>5982</v>
      </c>
      <c r="D1251" s="46" t="s">
        <v>17</v>
      </c>
      <c r="E1251" s="46" t="s">
        <v>15</v>
      </c>
      <c r="F1251" s="48">
        <v>122.6</v>
      </c>
    </row>
    <row r="1252">
      <c r="A1252" s="46" t="s">
        <v>313</v>
      </c>
      <c r="B1252" s="46" t="s">
        <v>694</v>
      </c>
      <c r="C1252" s="46" t="s">
        <v>830</v>
      </c>
      <c r="D1252" s="46" t="s">
        <v>17</v>
      </c>
      <c r="E1252" s="46" t="s">
        <v>15</v>
      </c>
      <c r="F1252" s="48">
        <v>135.4</v>
      </c>
    </row>
    <row r="1253">
      <c r="A1253" s="46" t="s">
        <v>313</v>
      </c>
      <c r="B1253" s="46" t="s">
        <v>3451</v>
      </c>
      <c r="C1253" s="46" t="s">
        <v>4516</v>
      </c>
      <c r="D1253" s="46" t="s">
        <v>18</v>
      </c>
      <c r="E1253" s="46" t="s">
        <v>15</v>
      </c>
      <c r="F1253" s="48">
        <v>117.4</v>
      </c>
    </row>
    <row r="1254">
      <c r="A1254" s="46" t="s">
        <v>313</v>
      </c>
      <c r="B1254" s="46" t="s">
        <v>6003</v>
      </c>
      <c r="C1254" s="46" t="s">
        <v>830</v>
      </c>
      <c r="D1254" s="46" t="s">
        <v>18</v>
      </c>
      <c r="E1254" s="46" t="s">
        <v>15</v>
      </c>
      <c r="F1254" s="48">
        <v>122.0</v>
      </c>
    </row>
    <row r="1255">
      <c r="A1255" s="46" t="s">
        <v>182</v>
      </c>
      <c r="B1255" s="46" t="s">
        <v>6005</v>
      </c>
      <c r="C1255" s="46" t="s">
        <v>2748</v>
      </c>
      <c r="D1255" s="46" t="s">
        <v>18</v>
      </c>
      <c r="E1255" s="46" t="s">
        <v>15</v>
      </c>
      <c r="F1255" s="48">
        <v>116.8</v>
      </c>
    </row>
    <row r="1256">
      <c r="A1256" s="46" t="s">
        <v>779</v>
      </c>
      <c r="B1256" s="46" t="s">
        <v>6017</v>
      </c>
      <c r="C1256" s="46" t="s">
        <v>867</v>
      </c>
      <c r="D1256" s="46" t="s">
        <v>18</v>
      </c>
      <c r="E1256" s="46" t="s">
        <v>14</v>
      </c>
      <c r="F1256" s="48">
        <v>105.8</v>
      </c>
    </row>
    <row r="1257">
      <c r="A1257" s="46" t="s">
        <v>779</v>
      </c>
      <c r="B1257" s="46" t="s">
        <v>555</v>
      </c>
      <c r="C1257" s="46" t="s">
        <v>6022</v>
      </c>
      <c r="D1257" s="46" t="s">
        <v>17</v>
      </c>
      <c r="E1257" s="46" t="s">
        <v>15</v>
      </c>
      <c r="F1257" s="48">
        <v>119.2</v>
      </c>
    </row>
    <row r="1258">
      <c r="A1258" s="46" t="s">
        <v>779</v>
      </c>
      <c r="B1258" s="46" t="s">
        <v>6027</v>
      </c>
      <c r="C1258" s="46" t="s">
        <v>6028</v>
      </c>
      <c r="D1258" s="46" t="s">
        <v>18</v>
      </c>
      <c r="E1258" s="46" t="s">
        <v>15</v>
      </c>
      <c r="F1258" s="48">
        <v>117.6</v>
      </c>
    </row>
    <row r="1259">
      <c r="A1259" s="46" t="s">
        <v>269</v>
      </c>
      <c r="B1259" s="46" t="s">
        <v>6030</v>
      </c>
      <c r="C1259" s="46" t="s">
        <v>890</v>
      </c>
      <c r="D1259" s="46" t="s">
        <v>18</v>
      </c>
      <c r="E1259" s="46" t="s">
        <v>15</v>
      </c>
      <c r="F1259" s="48">
        <v>112.6</v>
      </c>
    </row>
    <row r="1260">
      <c r="A1260" s="46" t="s">
        <v>269</v>
      </c>
      <c r="B1260" s="46" t="s">
        <v>6040</v>
      </c>
      <c r="C1260" s="46" t="s">
        <v>4570</v>
      </c>
      <c r="D1260" s="46" t="s">
        <v>17</v>
      </c>
      <c r="E1260" s="46" t="s">
        <v>13</v>
      </c>
      <c r="F1260" s="48">
        <v>106.5</v>
      </c>
    </row>
    <row r="1261">
      <c r="A1261" s="46" t="s">
        <v>169</v>
      </c>
      <c r="B1261" s="46" t="s">
        <v>4969</v>
      </c>
      <c r="C1261" s="46" t="s">
        <v>6050</v>
      </c>
      <c r="D1261" s="46" t="s">
        <v>18</v>
      </c>
      <c r="E1261" s="46" t="s">
        <v>14</v>
      </c>
      <c r="F1261" s="48">
        <v>104.6</v>
      </c>
    </row>
    <row r="1262">
      <c r="A1262" s="46" t="s">
        <v>169</v>
      </c>
      <c r="B1262" s="46" t="s">
        <v>6052</v>
      </c>
      <c r="C1262" s="46" t="s">
        <v>4587</v>
      </c>
      <c r="D1262" s="46" t="s">
        <v>17</v>
      </c>
      <c r="E1262" s="46" t="s">
        <v>15</v>
      </c>
      <c r="F1262" s="48">
        <v>110.5</v>
      </c>
    </row>
    <row r="1263">
      <c r="A1263" s="46" t="s">
        <v>169</v>
      </c>
      <c r="B1263" s="46" t="s">
        <v>6054</v>
      </c>
      <c r="C1263" s="46" t="s">
        <v>4587</v>
      </c>
      <c r="D1263" s="46" t="s">
        <v>18</v>
      </c>
      <c r="E1263" s="46" t="s">
        <v>15</v>
      </c>
      <c r="F1263" s="48">
        <v>105.3</v>
      </c>
    </row>
    <row r="1264">
      <c r="A1264" s="46" t="s">
        <v>779</v>
      </c>
      <c r="B1264" s="46" t="s">
        <v>1733</v>
      </c>
      <c r="C1264" s="46" t="s">
        <v>4591</v>
      </c>
      <c r="D1264" s="46" t="s">
        <v>18</v>
      </c>
      <c r="E1264" s="46" t="s">
        <v>15</v>
      </c>
      <c r="F1264" s="48">
        <v>114.2</v>
      </c>
    </row>
    <row r="1265">
      <c r="A1265" s="46" t="s">
        <v>779</v>
      </c>
      <c r="B1265" s="46" t="s">
        <v>6059</v>
      </c>
      <c r="C1265" s="46" t="s">
        <v>2808</v>
      </c>
      <c r="D1265" s="46" t="s">
        <v>18</v>
      </c>
      <c r="E1265" s="46" t="s">
        <v>15</v>
      </c>
      <c r="F1265" s="48">
        <v>112.3</v>
      </c>
    </row>
    <row r="1266">
      <c r="A1266" s="46" t="s">
        <v>779</v>
      </c>
      <c r="B1266" s="46" t="s">
        <v>1167</v>
      </c>
      <c r="C1266" s="46" t="s">
        <v>927</v>
      </c>
      <c r="D1266" s="46" t="s">
        <v>18</v>
      </c>
      <c r="E1266" s="46" t="s">
        <v>15</v>
      </c>
      <c r="F1266" s="48">
        <v>111.5</v>
      </c>
    </row>
    <row r="1267">
      <c r="A1267" s="46" t="s">
        <v>779</v>
      </c>
      <c r="B1267" s="46" t="s">
        <v>6064</v>
      </c>
      <c r="C1267" s="46" t="s">
        <v>4591</v>
      </c>
      <c r="D1267" s="46" t="s">
        <v>17</v>
      </c>
      <c r="E1267" s="46" t="s">
        <v>15</v>
      </c>
      <c r="F1267" s="48">
        <v>111.9</v>
      </c>
    </row>
    <row r="1268">
      <c r="A1268" s="46" t="s">
        <v>930</v>
      </c>
      <c r="B1268" s="46" t="s">
        <v>6085</v>
      </c>
      <c r="C1268" s="46" t="s">
        <v>937</v>
      </c>
      <c r="D1268" s="46" t="s">
        <v>17</v>
      </c>
      <c r="E1268" s="46" t="s">
        <v>15</v>
      </c>
      <c r="F1268" s="48">
        <v>134.3</v>
      </c>
    </row>
    <row r="1269">
      <c r="A1269" s="46" t="s">
        <v>354</v>
      </c>
      <c r="B1269" s="46" t="s">
        <v>6093</v>
      </c>
      <c r="C1269" s="46" t="s">
        <v>6094</v>
      </c>
      <c r="D1269" s="46" t="s">
        <v>18</v>
      </c>
      <c r="E1269" s="46" t="s">
        <v>15</v>
      </c>
      <c r="F1269" s="48">
        <v>121.4</v>
      </c>
    </row>
    <row r="1270">
      <c r="A1270" s="46" t="s">
        <v>354</v>
      </c>
      <c r="B1270" s="46" t="s">
        <v>6096</v>
      </c>
      <c r="C1270" s="46" t="s">
        <v>6094</v>
      </c>
      <c r="D1270" s="46" t="s">
        <v>18</v>
      </c>
      <c r="E1270" s="46" t="s">
        <v>14</v>
      </c>
      <c r="F1270" s="48">
        <v>113.7</v>
      </c>
    </row>
    <row r="1271">
      <c r="A1271" s="46" t="s">
        <v>354</v>
      </c>
      <c r="B1271" s="46" t="s">
        <v>307</v>
      </c>
      <c r="C1271" s="46" t="s">
        <v>6094</v>
      </c>
      <c r="D1271" s="46" t="s">
        <v>17</v>
      </c>
      <c r="E1271" s="46" t="s">
        <v>15</v>
      </c>
      <c r="F1271" s="48">
        <v>124.4</v>
      </c>
    </row>
    <row r="1272">
      <c r="A1272" s="46" t="s">
        <v>354</v>
      </c>
      <c r="B1272" s="46" t="s">
        <v>6103</v>
      </c>
      <c r="C1272" s="46" t="s">
        <v>6094</v>
      </c>
      <c r="D1272" s="46" t="s">
        <v>17</v>
      </c>
      <c r="E1272" s="46" t="s">
        <v>14</v>
      </c>
      <c r="F1272" s="48">
        <v>110.6</v>
      </c>
    </row>
    <row r="1273">
      <c r="A1273" s="46" t="s">
        <v>354</v>
      </c>
      <c r="B1273" s="46" t="s">
        <v>6105</v>
      </c>
      <c r="C1273" s="46" t="s">
        <v>978</v>
      </c>
      <c r="D1273" s="46" t="s">
        <v>17</v>
      </c>
      <c r="E1273" s="46" t="s">
        <v>14</v>
      </c>
      <c r="F1273" s="48">
        <v>114.0</v>
      </c>
    </row>
    <row r="1274">
      <c r="A1274" s="46" t="s">
        <v>354</v>
      </c>
      <c r="B1274" s="46" t="s">
        <v>6107</v>
      </c>
      <c r="C1274" s="46" t="s">
        <v>978</v>
      </c>
      <c r="D1274" s="46" t="s">
        <v>17</v>
      </c>
      <c r="E1274" s="46" t="s">
        <v>14</v>
      </c>
      <c r="F1274" s="48">
        <v>104.9</v>
      </c>
    </row>
    <row r="1275">
      <c r="A1275" s="46" t="s">
        <v>354</v>
      </c>
      <c r="B1275" s="46" t="s">
        <v>6112</v>
      </c>
      <c r="C1275" s="46" t="s">
        <v>6113</v>
      </c>
      <c r="D1275" s="46" t="s">
        <v>18</v>
      </c>
      <c r="E1275" s="46" t="s">
        <v>14</v>
      </c>
      <c r="F1275" s="48">
        <v>110.8</v>
      </c>
    </row>
    <row r="1276">
      <c r="A1276" s="46" t="s">
        <v>930</v>
      </c>
      <c r="B1276" s="46" t="s">
        <v>6119</v>
      </c>
      <c r="C1276" s="46" t="s">
        <v>989</v>
      </c>
      <c r="D1276" s="46" t="s">
        <v>18</v>
      </c>
      <c r="E1276" s="46" t="s">
        <v>15</v>
      </c>
      <c r="F1276" s="48">
        <v>127.8</v>
      </c>
    </row>
    <row r="1277">
      <c r="A1277" s="46" t="s">
        <v>930</v>
      </c>
      <c r="B1277" s="46" t="s">
        <v>3345</v>
      </c>
      <c r="C1277" s="46" t="s">
        <v>995</v>
      </c>
      <c r="D1277" s="46" t="s">
        <v>18</v>
      </c>
      <c r="E1277" s="46" t="s">
        <v>15</v>
      </c>
      <c r="F1277" s="48">
        <v>117.4</v>
      </c>
    </row>
    <row r="1278">
      <c r="A1278" s="46" t="s">
        <v>930</v>
      </c>
      <c r="B1278" s="46" t="s">
        <v>4871</v>
      </c>
      <c r="C1278" s="46" t="s">
        <v>6126</v>
      </c>
      <c r="D1278" s="46" t="s">
        <v>17</v>
      </c>
      <c r="E1278" s="46" t="s">
        <v>15</v>
      </c>
      <c r="F1278" s="48">
        <v>107.7</v>
      </c>
    </row>
    <row r="1279">
      <c r="A1279" s="46" t="s">
        <v>930</v>
      </c>
      <c r="B1279" s="46" t="s">
        <v>6128</v>
      </c>
      <c r="C1279" s="46" t="s">
        <v>2885</v>
      </c>
      <c r="D1279" s="46" t="s">
        <v>17</v>
      </c>
      <c r="E1279" s="46" t="s">
        <v>15</v>
      </c>
      <c r="F1279" s="48">
        <v>117.8</v>
      </c>
    </row>
    <row r="1280">
      <c r="A1280" s="46" t="s">
        <v>930</v>
      </c>
      <c r="B1280" s="46" t="s">
        <v>1938</v>
      </c>
      <c r="C1280" s="46" t="s">
        <v>995</v>
      </c>
      <c r="D1280" s="46" t="s">
        <v>17</v>
      </c>
      <c r="E1280" s="46" t="s">
        <v>15</v>
      </c>
      <c r="F1280" s="48">
        <v>124.6</v>
      </c>
    </row>
    <row r="1281">
      <c r="A1281" s="46" t="s">
        <v>930</v>
      </c>
      <c r="B1281" s="46" t="s">
        <v>6139</v>
      </c>
      <c r="C1281" s="46" t="s">
        <v>6140</v>
      </c>
      <c r="D1281" s="46" t="s">
        <v>18</v>
      </c>
      <c r="E1281" s="46" t="s">
        <v>14</v>
      </c>
      <c r="F1281" s="48">
        <v>104.1</v>
      </c>
    </row>
    <row r="1282">
      <c r="A1282" s="46" t="s">
        <v>333</v>
      </c>
      <c r="B1282" s="46" t="s">
        <v>6146</v>
      </c>
      <c r="C1282" s="46" t="s">
        <v>2900</v>
      </c>
      <c r="D1282" s="46" t="s">
        <v>18</v>
      </c>
      <c r="E1282" s="46" t="s">
        <v>15</v>
      </c>
      <c r="F1282" s="48">
        <v>107.6</v>
      </c>
    </row>
    <row r="1283">
      <c r="A1283" s="46" t="s">
        <v>333</v>
      </c>
      <c r="B1283" s="46" t="s">
        <v>6151</v>
      </c>
      <c r="C1283" s="46" t="s">
        <v>2900</v>
      </c>
      <c r="D1283" s="46" t="s">
        <v>18</v>
      </c>
      <c r="E1283" s="46" t="s">
        <v>15</v>
      </c>
      <c r="F1283" s="48">
        <v>115.3</v>
      </c>
    </row>
    <row r="1284">
      <c r="A1284" s="46" t="s">
        <v>46</v>
      </c>
      <c r="B1284" s="46" t="s">
        <v>6156</v>
      </c>
      <c r="C1284" s="46" t="s">
        <v>1039</v>
      </c>
      <c r="D1284" s="46" t="s">
        <v>18</v>
      </c>
      <c r="E1284" s="46" t="s">
        <v>15</v>
      </c>
      <c r="F1284" s="48">
        <v>114.8</v>
      </c>
    </row>
    <row r="1285">
      <c r="A1285" s="46" t="s">
        <v>46</v>
      </c>
      <c r="B1285" s="46" t="s">
        <v>6158</v>
      </c>
      <c r="C1285" s="46" t="s">
        <v>1099</v>
      </c>
      <c r="D1285" s="46" t="s">
        <v>18</v>
      </c>
      <c r="E1285" s="46" t="s">
        <v>15</v>
      </c>
      <c r="F1285" s="48">
        <v>121.3</v>
      </c>
    </row>
    <row r="1286">
      <c r="A1286" s="46" t="s">
        <v>46</v>
      </c>
      <c r="B1286" s="46" t="s">
        <v>6160</v>
      </c>
      <c r="C1286" s="46" t="s">
        <v>46</v>
      </c>
      <c r="D1286" s="46" t="s">
        <v>18</v>
      </c>
      <c r="E1286" s="46" t="s">
        <v>15</v>
      </c>
      <c r="F1286" s="48">
        <v>114.7</v>
      </c>
    </row>
    <row r="1287">
      <c r="A1287" s="46" t="s">
        <v>46</v>
      </c>
      <c r="B1287" s="46" t="s">
        <v>6162</v>
      </c>
      <c r="C1287" s="46" t="s">
        <v>46</v>
      </c>
      <c r="D1287" s="46" t="s">
        <v>18</v>
      </c>
      <c r="E1287" s="46" t="s">
        <v>15</v>
      </c>
      <c r="F1287" s="48">
        <v>113.8</v>
      </c>
    </row>
    <row r="1288">
      <c r="A1288" s="46" t="s">
        <v>46</v>
      </c>
      <c r="B1288" s="46" t="s">
        <v>6166</v>
      </c>
      <c r="C1288" s="46" t="s">
        <v>2923</v>
      </c>
      <c r="D1288" s="46" t="s">
        <v>18</v>
      </c>
      <c r="E1288" s="46" t="s">
        <v>15</v>
      </c>
      <c r="F1288" s="48">
        <v>127.1</v>
      </c>
    </row>
    <row r="1289">
      <c r="A1289" s="46" t="s">
        <v>46</v>
      </c>
      <c r="B1289" s="46" t="s">
        <v>6178</v>
      </c>
      <c r="C1289" s="46" t="s">
        <v>6179</v>
      </c>
      <c r="D1289" s="46" t="s">
        <v>17</v>
      </c>
      <c r="E1289" s="46" t="s">
        <v>15</v>
      </c>
      <c r="F1289" s="48">
        <v>141.7</v>
      </c>
    </row>
    <row r="1290">
      <c r="A1290" s="46" t="s">
        <v>46</v>
      </c>
      <c r="B1290" s="46" t="s">
        <v>6181</v>
      </c>
      <c r="C1290" s="46" t="s">
        <v>1110</v>
      </c>
      <c r="D1290" s="46" t="s">
        <v>17</v>
      </c>
      <c r="E1290" s="46" t="s">
        <v>15</v>
      </c>
      <c r="F1290" s="48">
        <v>142.1</v>
      </c>
    </row>
    <row r="1291">
      <c r="A1291" s="46" t="s">
        <v>46</v>
      </c>
      <c r="B1291" s="46" t="s">
        <v>6186</v>
      </c>
      <c r="C1291" s="46" t="s">
        <v>1036</v>
      </c>
      <c r="D1291" s="46" t="s">
        <v>17</v>
      </c>
      <c r="E1291" s="46" t="s">
        <v>14</v>
      </c>
      <c r="F1291" s="48">
        <v>109.0</v>
      </c>
    </row>
    <row r="1292">
      <c r="A1292" s="46" t="s">
        <v>46</v>
      </c>
      <c r="B1292" s="46" t="s">
        <v>6193</v>
      </c>
      <c r="C1292" s="46" t="s">
        <v>46</v>
      </c>
      <c r="D1292" s="46" t="s">
        <v>17</v>
      </c>
      <c r="E1292" s="46" t="s">
        <v>15</v>
      </c>
      <c r="F1292" s="48">
        <v>128.8</v>
      </c>
    </row>
    <row r="1293">
      <c r="A1293" s="46" t="s">
        <v>46</v>
      </c>
      <c r="B1293" s="46" t="s">
        <v>2197</v>
      </c>
      <c r="C1293" s="46" t="s">
        <v>1072</v>
      </c>
      <c r="D1293" s="46" t="s">
        <v>17</v>
      </c>
      <c r="E1293" s="46" t="s">
        <v>15</v>
      </c>
      <c r="F1293" s="48">
        <v>125.5</v>
      </c>
    </row>
    <row r="1294">
      <c r="A1294" s="46" t="s">
        <v>46</v>
      </c>
      <c r="B1294" s="46" t="s">
        <v>6206</v>
      </c>
      <c r="C1294" s="46" t="s">
        <v>6207</v>
      </c>
      <c r="D1294" s="46" t="s">
        <v>17</v>
      </c>
      <c r="E1294" s="46" t="s">
        <v>15</v>
      </c>
      <c r="F1294" s="48">
        <v>121.8</v>
      </c>
    </row>
    <row r="1295">
      <c r="A1295" s="46" t="s">
        <v>269</v>
      </c>
      <c r="B1295" s="46" t="s">
        <v>6222</v>
      </c>
      <c r="C1295" s="46" t="s">
        <v>6223</v>
      </c>
      <c r="D1295" s="46" t="s">
        <v>18</v>
      </c>
      <c r="E1295" s="46" t="s">
        <v>15</v>
      </c>
      <c r="F1295" s="48">
        <v>114.4</v>
      </c>
    </row>
    <row r="1296">
      <c r="A1296" s="46" t="s">
        <v>269</v>
      </c>
      <c r="B1296" s="46" t="s">
        <v>6230</v>
      </c>
      <c r="C1296" s="46" t="s">
        <v>6231</v>
      </c>
      <c r="D1296" s="46" t="s">
        <v>17</v>
      </c>
      <c r="E1296" s="46" t="s">
        <v>15</v>
      </c>
      <c r="F1296" s="48">
        <v>115.5</v>
      </c>
    </row>
    <row r="1297">
      <c r="A1297" s="46" t="s">
        <v>46</v>
      </c>
      <c r="B1297" s="46" t="s">
        <v>2443</v>
      </c>
      <c r="C1297" s="46" t="s">
        <v>3022</v>
      </c>
      <c r="D1297" s="46" t="s">
        <v>18</v>
      </c>
      <c r="E1297" s="46" t="s">
        <v>15</v>
      </c>
      <c r="F1297" s="48">
        <v>105.0</v>
      </c>
    </row>
    <row r="1298">
      <c r="A1298" s="46" t="s">
        <v>46</v>
      </c>
      <c r="B1298" s="46" t="s">
        <v>6246</v>
      </c>
      <c r="C1298" s="46" t="s">
        <v>1855</v>
      </c>
      <c r="D1298" s="46" t="s">
        <v>18</v>
      </c>
      <c r="E1298" s="46" t="s">
        <v>14</v>
      </c>
      <c r="F1298" s="48">
        <v>105.6</v>
      </c>
    </row>
    <row r="1299">
      <c r="A1299" s="46" t="s">
        <v>46</v>
      </c>
      <c r="B1299" s="46" t="s">
        <v>363</v>
      </c>
      <c r="C1299" s="46" t="s">
        <v>3025</v>
      </c>
      <c r="D1299" s="46" t="s">
        <v>17</v>
      </c>
      <c r="E1299" s="46" t="s">
        <v>15</v>
      </c>
      <c r="F1299" s="48">
        <v>122.9</v>
      </c>
    </row>
    <row r="1300">
      <c r="A1300" s="46" t="s">
        <v>46</v>
      </c>
      <c r="B1300" s="46" t="s">
        <v>6261</v>
      </c>
      <c r="C1300" s="46" t="s">
        <v>4757</v>
      </c>
      <c r="D1300" s="46" t="s">
        <v>17</v>
      </c>
      <c r="E1300" s="46" t="s">
        <v>14</v>
      </c>
      <c r="F1300" s="48">
        <v>104.1</v>
      </c>
    </row>
    <row r="1301">
      <c r="A1301" s="46" t="s">
        <v>46</v>
      </c>
      <c r="B1301" s="46" t="s">
        <v>6263</v>
      </c>
      <c r="C1301" s="46" t="s">
        <v>6264</v>
      </c>
      <c r="D1301" s="46" t="s">
        <v>18</v>
      </c>
      <c r="E1301" s="46" t="s">
        <v>14</v>
      </c>
      <c r="F1301" s="48">
        <v>114.0</v>
      </c>
    </row>
    <row r="1302">
      <c r="A1302" s="46" t="s">
        <v>46</v>
      </c>
      <c r="B1302" s="46" t="s">
        <v>4518</v>
      </c>
      <c r="C1302" s="46" t="s">
        <v>3052</v>
      </c>
      <c r="D1302" s="46" t="s">
        <v>18</v>
      </c>
      <c r="E1302" s="46" t="s">
        <v>15</v>
      </c>
      <c r="F1302" s="48">
        <v>109.4</v>
      </c>
    </row>
    <row r="1303">
      <c r="A1303" s="46" t="s">
        <v>116</v>
      </c>
      <c r="B1303" s="46" t="s">
        <v>6272</v>
      </c>
      <c r="C1303" s="46" t="s">
        <v>1205</v>
      </c>
      <c r="D1303" s="46" t="s">
        <v>18</v>
      </c>
      <c r="E1303" s="46" t="s">
        <v>15</v>
      </c>
      <c r="F1303" s="48">
        <v>111.8</v>
      </c>
    </row>
    <row r="1304">
      <c r="A1304" s="46" t="s">
        <v>116</v>
      </c>
      <c r="B1304" s="46" t="s">
        <v>6274</v>
      </c>
      <c r="C1304" s="46" t="s">
        <v>4766</v>
      </c>
      <c r="D1304" s="46" t="s">
        <v>17</v>
      </c>
      <c r="E1304" s="46" t="s">
        <v>15</v>
      </c>
      <c r="F1304" s="48">
        <v>112.7</v>
      </c>
    </row>
    <row r="1305">
      <c r="A1305" s="46" t="s">
        <v>116</v>
      </c>
      <c r="B1305" s="46" t="s">
        <v>6276</v>
      </c>
      <c r="C1305" s="46" t="s">
        <v>1199</v>
      </c>
      <c r="D1305" s="46" t="s">
        <v>17</v>
      </c>
      <c r="E1305" s="46" t="s">
        <v>15</v>
      </c>
      <c r="F1305" s="48">
        <v>132.7</v>
      </c>
    </row>
    <row r="1306">
      <c r="A1306" s="46" t="s">
        <v>377</v>
      </c>
      <c r="B1306" s="46" t="s">
        <v>6286</v>
      </c>
      <c r="C1306" s="46" t="s">
        <v>1232</v>
      </c>
      <c r="D1306" s="46" t="s">
        <v>18</v>
      </c>
      <c r="E1306" s="46" t="s">
        <v>15</v>
      </c>
      <c r="F1306" s="48">
        <v>113.4</v>
      </c>
    </row>
    <row r="1307">
      <c r="A1307" s="46" t="s">
        <v>377</v>
      </c>
      <c r="B1307" s="46" t="s">
        <v>6288</v>
      </c>
      <c r="C1307" s="46" t="s">
        <v>1225</v>
      </c>
      <c r="D1307" s="46" t="s">
        <v>18</v>
      </c>
      <c r="E1307" s="46" t="s">
        <v>15</v>
      </c>
      <c r="F1307" s="48">
        <v>127.6</v>
      </c>
    </row>
    <row r="1308">
      <c r="A1308" s="46" t="s">
        <v>377</v>
      </c>
      <c r="B1308" s="46" t="s">
        <v>6296</v>
      </c>
      <c r="C1308" s="46" t="s">
        <v>6297</v>
      </c>
      <c r="D1308" s="46" t="s">
        <v>18</v>
      </c>
      <c r="E1308" s="46" t="s">
        <v>14</v>
      </c>
      <c r="F1308" s="48">
        <v>112.3</v>
      </c>
    </row>
    <row r="1309">
      <c r="A1309" s="46" t="s">
        <v>182</v>
      </c>
      <c r="B1309" s="46" t="s">
        <v>6299</v>
      </c>
      <c r="C1309" s="46" t="s">
        <v>1252</v>
      </c>
      <c r="D1309" s="46" t="s">
        <v>18</v>
      </c>
      <c r="E1309" s="46" t="s">
        <v>15</v>
      </c>
      <c r="F1309" s="48">
        <v>117.8</v>
      </c>
    </row>
    <row r="1310">
      <c r="A1310" s="46" t="s">
        <v>182</v>
      </c>
      <c r="B1310" s="46" t="s">
        <v>6301</v>
      </c>
      <c r="C1310" s="46" t="s">
        <v>1252</v>
      </c>
      <c r="D1310" s="46" t="s">
        <v>18</v>
      </c>
      <c r="E1310" s="46" t="s">
        <v>15</v>
      </c>
      <c r="F1310" s="48">
        <v>118.3</v>
      </c>
    </row>
    <row r="1311">
      <c r="A1311" s="46" t="s">
        <v>182</v>
      </c>
      <c r="B1311" s="46" t="s">
        <v>6305</v>
      </c>
      <c r="C1311" s="46" t="s">
        <v>6303</v>
      </c>
      <c r="D1311" s="46" t="s">
        <v>18</v>
      </c>
      <c r="E1311" s="46" t="s">
        <v>15</v>
      </c>
      <c r="F1311" s="48">
        <v>112.0</v>
      </c>
    </row>
    <row r="1312">
      <c r="A1312" s="46" t="s">
        <v>182</v>
      </c>
      <c r="B1312" s="46" t="s">
        <v>6307</v>
      </c>
      <c r="C1312" s="46" t="s">
        <v>6308</v>
      </c>
      <c r="D1312" s="46" t="s">
        <v>17</v>
      </c>
      <c r="E1312" s="46" t="s">
        <v>14</v>
      </c>
      <c r="F1312" s="48">
        <v>108.3</v>
      </c>
    </row>
    <row r="1313">
      <c r="A1313" s="46" t="s">
        <v>483</v>
      </c>
      <c r="B1313" s="46" t="s">
        <v>6315</v>
      </c>
      <c r="C1313" s="46" t="s">
        <v>6316</v>
      </c>
      <c r="D1313" s="46" t="s">
        <v>18</v>
      </c>
      <c r="E1313" s="46" t="s">
        <v>14</v>
      </c>
      <c r="F1313" s="48">
        <v>118.6</v>
      </c>
    </row>
    <row r="1314">
      <c r="A1314" s="46" t="s">
        <v>483</v>
      </c>
      <c r="B1314" s="46" t="s">
        <v>6318</v>
      </c>
      <c r="C1314" s="46" t="s">
        <v>1258</v>
      </c>
      <c r="D1314" s="46" t="s">
        <v>17</v>
      </c>
      <c r="E1314" s="46" t="s">
        <v>15</v>
      </c>
      <c r="F1314" s="48">
        <v>124.6</v>
      </c>
    </row>
    <row r="1315">
      <c r="A1315" s="46" t="s">
        <v>1259</v>
      </c>
      <c r="B1315" s="46" t="s">
        <v>6322</v>
      </c>
      <c r="C1315" s="46" t="s">
        <v>3163</v>
      </c>
      <c r="D1315" s="46" t="s">
        <v>18</v>
      </c>
      <c r="E1315" s="46" t="s">
        <v>15</v>
      </c>
      <c r="F1315" s="48">
        <v>121.3</v>
      </c>
    </row>
    <row r="1316">
      <c r="A1316" s="46" t="s">
        <v>1259</v>
      </c>
      <c r="B1316" s="46" t="s">
        <v>6330</v>
      </c>
      <c r="C1316" s="46" t="s">
        <v>4836</v>
      </c>
      <c r="D1316" s="46" t="s">
        <v>18</v>
      </c>
      <c r="E1316" s="46" t="s">
        <v>15</v>
      </c>
      <c r="F1316" s="48">
        <v>122.3</v>
      </c>
    </row>
    <row r="1317">
      <c r="A1317" s="46" t="s">
        <v>1259</v>
      </c>
      <c r="B1317" s="46" t="s">
        <v>6333</v>
      </c>
      <c r="C1317" s="46" t="s">
        <v>1259</v>
      </c>
      <c r="D1317" s="46" t="s">
        <v>18</v>
      </c>
      <c r="E1317" s="46" t="s">
        <v>15</v>
      </c>
      <c r="F1317" s="48">
        <v>132.7</v>
      </c>
    </row>
    <row r="1318">
      <c r="A1318" s="46" t="s">
        <v>1259</v>
      </c>
      <c r="B1318" s="46" t="s">
        <v>6335</v>
      </c>
      <c r="C1318" s="46" t="s">
        <v>1259</v>
      </c>
      <c r="D1318" s="46" t="s">
        <v>18</v>
      </c>
      <c r="E1318" s="46" t="s">
        <v>15</v>
      </c>
      <c r="F1318" s="48">
        <v>120.8</v>
      </c>
    </row>
    <row r="1319">
      <c r="A1319" s="46" t="s">
        <v>1259</v>
      </c>
      <c r="B1319" s="46" t="s">
        <v>6337</v>
      </c>
      <c r="C1319" s="46" t="s">
        <v>1259</v>
      </c>
      <c r="D1319" s="46" t="s">
        <v>18</v>
      </c>
      <c r="E1319" s="46" t="s">
        <v>15</v>
      </c>
      <c r="F1319" s="48">
        <v>127.0</v>
      </c>
    </row>
    <row r="1320">
      <c r="A1320" s="46" t="s">
        <v>1259</v>
      </c>
      <c r="B1320" s="46" t="s">
        <v>6345</v>
      </c>
      <c r="C1320" s="46" t="s">
        <v>3148</v>
      </c>
      <c r="D1320" s="46" t="s">
        <v>17</v>
      </c>
      <c r="E1320" s="46" t="s">
        <v>15</v>
      </c>
      <c r="F1320" s="48">
        <v>121.5</v>
      </c>
    </row>
    <row r="1321">
      <c r="A1321" s="46" t="s">
        <v>1259</v>
      </c>
      <c r="B1321" s="46" t="s">
        <v>6347</v>
      </c>
      <c r="C1321" s="46" t="s">
        <v>6348</v>
      </c>
      <c r="D1321" s="46" t="s">
        <v>17</v>
      </c>
      <c r="E1321" s="46" t="s">
        <v>15</v>
      </c>
      <c r="F1321" s="48">
        <v>123.9</v>
      </c>
    </row>
    <row r="1322">
      <c r="A1322" s="46" t="s">
        <v>1259</v>
      </c>
      <c r="B1322" s="46" t="s">
        <v>6350</v>
      </c>
      <c r="C1322" s="46" t="s">
        <v>1259</v>
      </c>
      <c r="D1322" s="46" t="s">
        <v>17</v>
      </c>
      <c r="E1322" s="46" t="s">
        <v>15</v>
      </c>
      <c r="F1322" s="48">
        <v>120.0</v>
      </c>
    </row>
    <row r="1323">
      <c r="A1323" s="46" t="s">
        <v>1259</v>
      </c>
      <c r="B1323" s="46" t="s">
        <v>6357</v>
      </c>
      <c r="C1323" s="46" t="s">
        <v>4852</v>
      </c>
      <c r="D1323" s="46" t="s">
        <v>18</v>
      </c>
      <c r="E1323" s="46" t="s">
        <v>15</v>
      </c>
      <c r="F1323" s="48">
        <v>117.3</v>
      </c>
    </row>
    <row r="1324">
      <c r="A1324" s="46" t="s">
        <v>1259</v>
      </c>
      <c r="B1324" s="46" t="s">
        <v>6359</v>
      </c>
      <c r="C1324" s="46" t="s">
        <v>4852</v>
      </c>
      <c r="D1324" s="46" t="s">
        <v>18</v>
      </c>
      <c r="E1324" s="46" t="s">
        <v>14</v>
      </c>
      <c r="F1324" s="48">
        <v>115.9</v>
      </c>
    </row>
    <row r="1325">
      <c r="A1325" s="46" t="s">
        <v>71</v>
      </c>
      <c r="B1325" s="46" t="s">
        <v>6381</v>
      </c>
      <c r="C1325" s="46" t="s">
        <v>6382</v>
      </c>
      <c r="D1325" s="46" t="s">
        <v>17</v>
      </c>
      <c r="E1325" s="46" t="s">
        <v>15</v>
      </c>
      <c r="F1325" s="48">
        <v>127.3</v>
      </c>
    </row>
    <row r="1326">
      <c r="A1326" s="46" t="s">
        <v>71</v>
      </c>
      <c r="B1326" s="46" t="s">
        <v>6384</v>
      </c>
      <c r="C1326" s="46" t="s">
        <v>1345</v>
      </c>
      <c r="D1326" s="46" t="s">
        <v>17</v>
      </c>
      <c r="E1326" s="46" t="s">
        <v>15</v>
      </c>
      <c r="F1326" s="48">
        <v>113.8</v>
      </c>
    </row>
    <row r="1327">
      <c r="A1327" s="46" t="s">
        <v>71</v>
      </c>
      <c r="B1327" s="46" t="s">
        <v>6386</v>
      </c>
      <c r="C1327" s="46" t="s">
        <v>1334</v>
      </c>
      <c r="D1327" s="46" t="s">
        <v>17</v>
      </c>
      <c r="E1327" s="46" t="s">
        <v>15</v>
      </c>
      <c r="F1327" s="48">
        <v>145.3</v>
      </c>
    </row>
    <row r="1328">
      <c r="A1328" s="46" t="s">
        <v>71</v>
      </c>
      <c r="B1328" s="46" t="s">
        <v>6388</v>
      </c>
      <c r="C1328" s="46" t="s">
        <v>1350</v>
      </c>
      <c r="D1328" s="46" t="s">
        <v>17</v>
      </c>
      <c r="E1328" s="46" t="s">
        <v>15</v>
      </c>
      <c r="F1328" s="48">
        <v>135.5</v>
      </c>
    </row>
    <row r="1329">
      <c r="A1329" s="46" t="s">
        <v>71</v>
      </c>
      <c r="B1329" s="46" t="s">
        <v>6390</v>
      </c>
      <c r="C1329" s="46" t="s">
        <v>1353</v>
      </c>
      <c r="D1329" s="46" t="s">
        <v>17</v>
      </c>
      <c r="E1329" s="46" t="s">
        <v>15</v>
      </c>
      <c r="F1329" s="48">
        <v>125.6</v>
      </c>
    </row>
    <row r="1330">
      <c r="A1330" s="46" t="s">
        <v>71</v>
      </c>
      <c r="B1330" s="46" t="s">
        <v>6392</v>
      </c>
      <c r="C1330" s="46" t="s">
        <v>1328</v>
      </c>
      <c r="D1330" s="46" t="s">
        <v>17</v>
      </c>
      <c r="E1330" s="46" t="s">
        <v>15</v>
      </c>
      <c r="F1330" s="48">
        <v>132.3</v>
      </c>
    </row>
    <row r="1331">
      <c r="A1331" s="46" t="s">
        <v>71</v>
      </c>
      <c r="B1331" s="46" t="s">
        <v>6394</v>
      </c>
      <c r="C1331" s="46" t="s">
        <v>1334</v>
      </c>
      <c r="D1331" s="46" t="s">
        <v>17</v>
      </c>
      <c r="E1331" s="46" t="s">
        <v>15</v>
      </c>
      <c r="F1331" s="48">
        <v>118.5</v>
      </c>
    </row>
    <row r="1332">
      <c r="A1332" s="46" t="s">
        <v>71</v>
      </c>
      <c r="B1332" s="46" t="s">
        <v>6396</v>
      </c>
      <c r="C1332" s="46" t="s">
        <v>6397</v>
      </c>
      <c r="D1332" s="46" t="s">
        <v>17</v>
      </c>
      <c r="E1332" s="46" t="s">
        <v>13</v>
      </c>
      <c r="F1332" s="48">
        <v>111.1</v>
      </c>
    </row>
    <row r="1333">
      <c r="A1333" s="46" t="s">
        <v>71</v>
      </c>
      <c r="B1333" s="46" t="s">
        <v>6399</v>
      </c>
      <c r="C1333" s="46" t="s">
        <v>6400</v>
      </c>
      <c r="D1333" s="46" t="s">
        <v>17</v>
      </c>
      <c r="E1333" s="46" t="s">
        <v>15</v>
      </c>
      <c r="F1333" s="48">
        <v>121.8</v>
      </c>
    </row>
    <row r="1334">
      <c r="A1334" s="46" t="s">
        <v>333</v>
      </c>
      <c r="B1334" s="46" t="s">
        <v>6418</v>
      </c>
      <c r="C1334" s="46" t="s">
        <v>3254</v>
      </c>
      <c r="D1334" s="46" t="s">
        <v>18</v>
      </c>
      <c r="E1334" s="46" t="s">
        <v>14</v>
      </c>
      <c r="F1334" s="48">
        <v>127.6</v>
      </c>
    </row>
    <row r="1335">
      <c r="A1335" s="46" t="s">
        <v>333</v>
      </c>
      <c r="B1335" s="46" t="s">
        <v>6420</v>
      </c>
      <c r="C1335" s="46" t="s">
        <v>3254</v>
      </c>
      <c r="D1335" s="46" t="s">
        <v>18</v>
      </c>
      <c r="E1335" s="46" t="s">
        <v>14</v>
      </c>
      <c r="F1335" s="48">
        <v>108.9</v>
      </c>
    </row>
    <row r="1336">
      <c r="A1336" s="46" t="s">
        <v>333</v>
      </c>
      <c r="B1336" s="46" t="s">
        <v>6422</v>
      </c>
      <c r="C1336" s="46" t="s">
        <v>6423</v>
      </c>
      <c r="D1336" s="46" t="s">
        <v>18</v>
      </c>
      <c r="E1336" s="46" t="s">
        <v>15</v>
      </c>
      <c r="F1336" s="48">
        <v>123.7</v>
      </c>
    </row>
    <row r="1337">
      <c r="A1337" s="46" t="s">
        <v>333</v>
      </c>
      <c r="B1337" s="46" t="s">
        <v>6430</v>
      </c>
      <c r="C1337" s="46" t="s">
        <v>3254</v>
      </c>
      <c r="D1337" s="46" t="s">
        <v>18</v>
      </c>
      <c r="E1337" s="46" t="s">
        <v>14</v>
      </c>
      <c r="F1337" s="48">
        <v>104.2</v>
      </c>
    </row>
    <row r="1338">
      <c r="A1338" s="46" t="s">
        <v>779</v>
      </c>
      <c r="B1338" s="46" t="s">
        <v>6434</v>
      </c>
      <c r="C1338" s="46" t="s">
        <v>3259</v>
      </c>
      <c r="D1338" s="46" t="s">
        <v>18</v>
      </c>
      <c r="E1338" s="46" t="s">
        <v>15</v>
      </c>
      <c r="F1338" s="48">
        <v>109.1</v>
      </c>
    </row>
    <row r="1339">
      <c r="A1339" s="46" t="s">
        <v>779</v>
      </c>
      <c r="B1339" s="46" t="s">
        <v>2443</v>
      </c>
      <c r="C1339" s="46" t="s">
        <v>6438</v>
      </c>
      <c r="D1339" s="46" t="s">
        <v>18</v>
      </c>
      <c r="E1339" s="46" t="s">
        <v>15</v>
      </c>
      <c r="F1339" s="48">
        <v>112.4</v>
      </c>
    </row>
    <row r="1340">
      <c r="A1340" s="46" t="s">
        <v>779</v>
      </c>
      <c r="B1340" s="46" t="s">
        <v>6440</v>
      </c>
      <c r="C1340" s="46" t="s">
        <v>6441</v>
      </c>
      <c r="D1340" s="46" t="s">
        <v>17</v>
      </c>
      <c r="E1340" s="46" t="s">
        <v>15</v>
      </c>
      <c r="F1340" s="48">
        <v>110.7</v>
      </c>
    </row>
    <row r="1341">
      <c r="A1341" s="46" t="s">
        <v>161</v>
      </c>
      <c r="B1341" s="46" t="s">
        <v>6443</v>
      </c>
      <c r="C1341" s="46" t="s">
        <v>6444</v>
      </c>
      <c r="D1341" s="46" t="s">
        <v>18</v>
      </c>
      <c r="E1341" s="46" t="s">
        <v>14</v>
      </c>
      <c r="F1341" s="48">
        <v>104.4</v>
      </c>
    </row>
    <row r="1342">
      <c r="A1342" s="46" t="s">
        <v>161</v>
      </c>
      <c r="B1342" s="46" t="s">
        <v>210</v>
      </c>
      <c r="C1342" s="46" t="s">
        <v>3285</v>
      </c>
      <c r="D1342" s="46" t="s">
        <v>17</v>
      </c>
      <c r="E1342" s="46" t="s">
        <v>15</v>
      </c>
      <c r="F1342" s="48">
        <v>105.3</v>
      </c>
    </row>
    <row r="1343">
      <c r="A1343" s="46" t="s">
        <v>161</v>
      </c>
      <c r="B1343" s="46" t="s">
        <v>6447</v>
      </c>
      <c r="C1343" s="46" t="s">
        <v>1410</v>
      </c>
      <c r="D1343" s="46" t="s">
        <v>17</v>
      </c>
      <c r="E1343" s="46" t="s">
        <v>15</v>
      </c>
      <c r="F1343" s="48">
        <v>133.0</v>
      </c>
    </row>
    <row r="1344">
      <c r="A1344" s="46" t="s">
        <v>161</v>
      </c>
      <c r="B1344" s="46" t="s">
        <v>6450</v>
      </c>
      <c r="C1344" s="46" t="s">
        <v>1413</v>
      </c>
      <c r="D1344" s="46" t="s">
        <v>17</v>
      </c>
      <c r="E1344" s="46" t="s">
        <v>15</v>
      </c>
      <c r="F1344" s="48">
        <v>104.8</v>
      </c>
    </row>
    <row r="1345">
      <c r="A1345" s="46" t="s">
        <v>161</v>
      </c>
      <c r="B1345" s="46" t="s">
        <v>6452</v>
      </c>
      <c r="C1345" s="46" t="s">
        <v>1440</v>
      </c>
      <c r="D1345" s="46" t="s">
        <v>18</v>
      </c>
      <c r="E1345" s="46" t="s">
        <v>15</v>
      </c>
      <c r="F1345" s="48">
        <v>131.7</v>
      </c>
    </row>
    <row r="1346">
      <c r="A1346" s="46" t="s">
        <v>161</v>
      </c>
      <c r="B1346" s="46" t="s">
        <v>6457</v>
      </c>
      <c r="C1346" s="46" t="s">
        <v>1431</v>
      </c>
      <c r="D1346" s="46" t="s">
        <v>18</v>
      </c>
      <c r="E1346" s="46" t="s">
        <v>15</v>
      </c>
      <c r="F1346" s="48">
        <v>118.9</v>
      </c>
    </row>
    <row r="1347">
      <c r="A1347" s="46" t="s">
        <v>161</v>
      </c>
      <c r="B1347" s="46" t="s">
        <v>6459</v>
      </c>
      <c r="C1347" s="46" t="s">
        <v>1428</v>
      </c>
      <c r="D1347" s="46" t="s">
        <v>18</v>
      </c>
      <c r="E1347" s="46" t="s">
        <v>14</v>
      </c>
      <c r="F1347" s="48">
        <v>116.3</v>
      </c>
    </row>
    <row r="1348">
      <c r="A1348" s="46" t="s">
        <v>161</v>
      </c>
      <c r="B1348" s="46" t="s">
        <v>5098</v>
      </c>
      <c r="C1348" s="46" t="s">
        <v>4945</v>
      </c>
      <c r="D1348" s="46" t="s">
        <v>17</v>
      </c>
      <c r="E1348" s="46" t="s">
        <v>15</v>
      </c>
      <c r="F1348" s="48">
        <v>125.5</v>
      </c>
    </row>
    <row r="1349">
      <c r="A1349" s="46" t="s">
        <v>161</v>
      </c>
      <c r="B1349" s="46" t="s">
        <v>80</v>
      </c>
      <c r="C1349" s="46" t="s">
        <v>6462</v>
      </c>
      <c r="D1349" s="46" t="s">
        <v>17</v>
      </c>
      <c r="E1349" s="46" t="s">
        <v>15</v>
      </c>
      <c r="F1349" s="48">
        <v>114.8</v>
      </c>
    </row>
    <row r="1350">
      <c r="A1350" s="46" t="s">
        <v>161</v>
      </c>
      <c r="B1350" s="46" t="s">
        <v>6469</v>
      </c>
      <c r="C1350" s="46" t="s">
        <v>3301</v>
      </c>
      <c r="D1350" s="46" t="s">
        <v>17</v>
      </c>
      <c r="E1350" s="46" t="s">
        <v>14</v>
      </c>
      <c r="F1350" s="48">
        <v>113.2</v>
      </c>
    </row>
    <row r="1351">
      <c r="A1351" s="46" t="s">
        <v>1441</v>
      </c>
      <c r="B1351" s="46" t="s">
        <v>6475</v>
      </c>
      <c r="C1351" s="46" t="s">
        <v>1474</v>
      </c>
      <c r="D1351" s="46" t="s">
        <v>18</v>
      </c>
      <c r="E1351" s="46" t="s">
        <v>15</v>
      </c>
      <c r="F1351" s="48">
        <v>138.3</v>
      </c>
    </row>
    <row r="1352">
      <c r="A1352" s="46" t="s">
        <v>1441</v>
      </c>
      <c r="B1352" s="46" t="s">
        <v>6477</v>
      </c>
      <c r="C1352" s="46" t="s">
        <v>1444</v>
      </c>
      <c r="D1352" s="46" t="s">
        <v>18</v>
      </c>
      <c r="E1352" s="46" t="s">
        <v>15</v>
      </c>
      <c r="F1352" s="48">
        <v>137.1</v>
      </c>
    </row>
    <row r="1353">
      <c r="A1353" s="46" t="s">
        <v>1441</v>
      </c>
      <c r="B1353" s="46" t="s">
        <v>6479</v>
      </c>
      <c r="C1353" s="46" t="s">
        <v>1477</v>
      </c>
      <c r="D1353" s="46" t="s">
        <v>18</v>
      </c>
      <c r="E1353" s="46" t="s">
        <v>15</v>
      </c>
      <c r="F1353" s="48">
        <v>129.1</v>
      </c>
    </row>
    <row r="1354">
      <c r="A1354" s="46" t="s">
        <v>1441</v>
      </c>
      <c r="B1354" s="46" t="s">
        <v>6481</v>
      </c>
      <c r="C1354" s="46" t="s">
        <v>1477</v>
      </c>
      <c r="D1354" s="46" t="s">
        <v>18</v>
      </c>
      <c r="E1354" s="46" t="s">
        <v>15</v>
      </c>
      <c r="F1354" s="48">
        <v>127.4</v>
      </c>
    </row>
    <row r="1355">
      <c r="A1355" s="46" t="s">
        <v>1441</v>
      </c>
      <c r="B1355" s="46" t="s">
        <v>6485</v>
      </c>
      <c r="C1355" s="46" t="s">
        <v>1466</v>
      </c>
      <c r="D1355" s="46" t="s">
        <v>18</v>
      </c>
      <c r="E1355" s="46" t="s">
        <v>15</v>
      </c>
      <c r="F1355" s="48">
        <v>139.4</v>
      </c>
    </row>
    <row r="1356">
      <c r="A1356" s="46" t="s">
        <v>1441</v>
      </c>
      <c r="B1356" s="46" t="s">
        <v>6487</v>
      </c>
      <c r="C1356" s="46" t="s">
        <v>1466</v>
      </c>
      <c r="D1356" s="46" t="s">
        <v>18</v>
      </c>
      <c r="E1356" s="46" t="s">
        <v>15</v>
      </c>
      <c r="F1356" s="48">
        <v>124.8</v>
      </c>
    </row>
    <row r="1357">
      <c r="A1357" s="46" t="s">
        <v>1441</v>
      </c>
      <c r="B1357" s="46" t="s">
        <v>6489</v>
      </c>
      <c r="C1357" s="46" t="s">
        <v>1463</v>
      </c>
      <c r="D1357" s="46" t="s">
        <v>18</v>
      </c>
      <c r="E1357" s="46" t="s">
        <v>15</v>
      </c>
      <c r="F1357" s="48">
        <v>134.1</v>
      </c>
    </row>
    <row r="1358">
      <c r="A1358" s="46" t="s">
        <v>1441</v>
      </c>
      <c r="B1358" s="46" t="s">
        <v>6507</v>
      </c>
      <c r="C1358" s="46" t="s">
        <v>1452</v>
      </c>
      <c r="D1358" s="46" t="s">
        <v>17</v>
      </c>
      <c r="E1358" s="46" t="s">
        <v>15</v>
      </c>
      <c r="F1358" s="48">
        <v>153.0</v>
      </c>
    </row>
    <row r="1359">
      <c r="A1359" s="46" t="s">
        <v>1441</v>
      </c>
      <c r="B1359" s="46" t="s">
        <v>6509</v>
      </c>
      <c r="C1359" s="46" t="s">
        <v>1466</v>
      </c>
      <c r="D1359" s="46" t="s">
        <v>17</v>
      </c>
      <c r="E1359" s="46" t="s">
        <v>15</v>
      </c>
      <c r="F1359" s="48">
        <v>145.2</v>
      </c>
    </row>
    <row r="1360">
      <c r="A1360" s="46" t="s">
        <v>1441</v>
      </c>
      <c r="B1360" s="46" t="s">
        <v>6511</v>
      </c>
      <c r="C1360" s="46" t="s">
        <v>1466</v>
      </c>
      <c r="D1360" s="46" t="s">
        <v>17</v>
      </c>
      <c r="E1360" s="46" t="s">
        <v>15</v>
      </c>
      <c r="F1360" s="48">
        <v>151.9</v>
      </c>
    </row>
    <row r="1361">
      <c r="A1361" s="46" t="s">
        <v>1441</v>
      </c>
      <c r="B1361" s="46" t="s">
        <v>6513</v>
      </c>
      <c r="C1361" s="46" t="s">
        <v>1469</v>
      </c>
      <c r="D1361" s="46" t="s">
        <v>17</v>
      </c>
      <c r="E1361" s="46" t="s">
        <v>15</v>
      </c>
      <c r="F1361" s="48">
        <v>139.8</v>
      </c>
    </row>
    <row r="1362">
      <c r="A1362" s="46" t="s">
        <v>1441</v>
      </c>
      <c r="B1362" s="46" t="s">
        <v>6515</v>
      </c>
      <c r="C1362" s="46" t="s">
        <v>1477</v>
      </c>
      <c r="D1362" s="46" t="s">
        <v>17</v>
      </c>
      <c r="E1362" s="46" t="s">
        <v>14</v>
      </c>
      <c r="F1362" s="48">
        <v>118.3</v>
      </c>
    </row>
    <row r="1363">
      <c r="A1363" s="46" t="s">
        <v>1441</v>
      </c>
      <c r="B1363" s="46" t="s">
        <v>6517</v>
      </c>
      <c r="C1363" s="46" t="s">
        <v>1469</v>
      </c>
      <c r="D1363" s="46" t="s">
        <v>17</v>
      </c>
      <c r="E1363" s="46" t="s">
        <v>15</v>
      </c>
      <c r="F1363" s="48">
        <v>148.6</v>
      </c>
    </row>
    <row r="1364">
      <c r="A1364" s="46" t="s">
        <v>1441</v>
      </c>
      <c r="B1364" s="46" t="s">
        <v>6521</v>
      </c>
      <c r="C1364" s="46" t="s">
        <v>3331</v>
      </c>
      <c r="D1364" s="46" t="s">
        <v>18</v>
      </c>
      <c r="E1364" s="46" t="s">
        <v>14</v>
      </c>
      <c r="F1364" s="48">
        <v>104.2</v>
      </c>
    </row>
    <row r="1365">
      <c r="A1365" s="46" t="s">
        <v>1441</v>
      </c>
      <c r="B1365" s="46" t="s">
        <v>6523</v>
      </c>
      <c r="C1365" s="46" t="s">
        <v>1466</v>
      </c>
      <c r="D1365" s="46" t="s">
        <v>17</v>
      </c>
      <c r="E1365" s="46" t="s">
        <v>15</v>
      </c>
      <c r="F1365" s="48">
        <v>139.0</v>
      </c>
    </row>
    <row r="1366">
      <c r="A1366" s="46" t="s">
        <v>1441</v>
      </c>
      <c r="B1366" s="46" t="s">
        <v>6525</v>
      </c>
      <c r="C1366" s="46" t="s">
        <v>1488</v>
      </c>
      <c r="D1366" s="46" t="s">
        <v>17</v>
      </c>
      <c r="E1366" s="46" t="s">
        <v>15</v>
      </c>
      <c r="F1366" s="48">
        <v>113.4</v>
      </c>
    </row>
    <row r="1367">
      <c r="A1367" s="46" t="s">
        <v>1441</v>
      </c>
      <c r="B1367" s="46" t="s">
        <v>6527</v>
      </c>
      <c r="C1367" s="46" t="s">
        <v>1488</v>
      </c>
      <c r="D1367" s="46" t="s">
        <v>17</v>
      </c>
      <c r="E1367" s="46" t="s">
        <v>15</v>
      </c>
      <c r="F1367" s="48">
        <v>128.4</v>
      </c>
    </row>
    <row r="1368">
      <c r="A1368" s="46" t="s">
        <v>269</v>
      </c>
      <c r="B1368" s="46" t="s">
        <v>6529</v>
      </c>
      <c r="C1368" s="46" t="s">
        <v>6530</v>
      </c>
      <c r="D1368" s="46" t="s">
        <v>18</v>
      </c>
      <c r="E1368" s="46" t="s">
        <v>15</v>
      </c>
      <c r="F1368" s="48">
        <v>115.1</v>
      </c>
    </row>
    <row r="1369">
      <c r="A1369" s="46" t="s">
        <v>269</v>
      </c>
      <c r="B1369" s="46" t="s">
        <v>6535</v>
      </c>
      <c r="C1369" s="46" t="s">
        <v>1529</v>
      </c>
      <c r="D1369" s="46" t="s">
        <v>18</v>
      </c>
      <c r="E1369" s="46" t="s">
        <v>15</v>
      </c>
      <c r="F1369" s="48">
        <v>110.5</v>
      </c>
    </row>
    <row r="1370">
      <c r="A1370" s="46" t="s">
        <v>269</v>
      </c>
      <c r="B1370" s="46" t="s">
        <v>6537</v>
      </c>
      <c r="C1370" s="46" t="s">
        <v>6538</v>
      </c>
      <c r="D1370" s="46" t="s">
        <v>18</v>
      </c>
      <c r="E1370" s="46" t="s">
        <v>14</v>
      </c>
      <c r="F1370" s="48">
        <v>107.0</v>
      </c>
    </row>
    <row r="1371">
      <c r="A1371" s="46" t="s">
        <v>269</v>
      </c>
      <c r="B1371" s="46" t="s">
        <v>6542</v>
      </c>
      <c r="C1371" s="46" t="s">
        <v>6543</v>
      </c>
      <c r="D1371" s="46" t="s">
        <v>18</v>
      </c>
      <c r="E1371" s="46" t="s">
        <v>15</v>
      </c>
      <c r="F1371" s="48">
        <v>107.6</v>
      </c>
    </row>
    <row r="1372">
      <c r="A1372" s="46" t="s">
        <v>269</v>
      </c>
      <c r="B1372" s="46" t="s">
        <v>6545</v>
      </c>
      <c r="C1372" s="46" t="s">
        <v>1534</v>
      </c>
      <c r="D1372" s="46" t="s">
        <v>18</v>
      </c>
      <c r="E1372" s="46" t="s">
        <v>15</v>
      </c>
      <c r="F1372" s="48">
        <v>143.1</v>
      </c>
    </row>
    <row r="1373">
      <c r="A1373" s="46" t="s">
        <v>269</v>
      </c>
      <c r="B1373" s="46" t="s">
        <v>6549</v>
      </c>
      <c r="C1373" s="46" t="s">
        <v>6550</v>
      </c>
      <c r="D1373" s="46" t="s">
        <v>17</v>
      </c>
      <c r="E1373" s="46" t="s">
        <v>15</v>
      </c>
      <c r="F1373" s="48">
        <v>129.4</v>
      </c>
    </row>
    <row r="1374">
      <c r="A1374" s="46" t="s">
        <v>269</v>
      </c>
      <c r="B1374" s="46" t="s">
        <v>6552</v>
      </c>
      <c r="C1374" s="46" t="s">
        <v>1529</v>
      </c>
      <c r="D1374" s="46" t="s">
        <v>18</v>
      </c>
      <c r="E1374" s="46" t="s">
        <v>15</v>
      </c>
      <c r="F1374" s="48">
        <v>108.8</v>
      </c>
    </row>
    <row r="1375">
      <c r="A1375" s="46" t="s">
        <v>1545</v>
      </c>
      <c r="B1375" s="46" t="s">
        <v>6562</v>
      </c>
      <c r="C1375" s="46" t="s">
        <v>6563</v>
      </c>
      <c r="D1375" s="46" t="s">
        <v>18</v>
      </c>
      <c r="E1375" s="46" t="s">
        <v>14</v>
      </c>
      <c r="F1375" s="48">
        <v>104.5</v>
      </c>
    </row>
    <row r="1376">
      <c r="A1376" s="46" t="s">
        <v>1545</v>
      </c>
      <c r="B1376" s="46" t="s">
        <v>6573</v>
      </c>
      <c r="C1376" s="46" t="s">
        <v>1555</v>
      </c>
      <c r="D1376" s="46" t="s">
        <v>17</v>
      </c>
      <c r="E1376" s="46" t="s">
        <v>15</v>
      </c>
      <c r="F1376" s="48">
        <v>139.0</v>
      </c>
    </row>
    <row r="1377">
      <c r="A1377" s="46" t="s">
        <v>1545</v>
      </c>
      <c r="B1377" s="46" t="s">
        <v>6575</v>
      </c>
      <c r="C1377" s="46" t="s">
        <v>6576</v>
      </c>
      <c r="D1377" s="46" t="s">
        <v>17</v>
      </c>
      <c r="E1377" s="46" t="s">
        <v>15</v>
      </c>
      <c r="F1377" s="48">
        <v>131.2</v>
      </c>
    </row>
    <row r="1378">
      <c r="A1378" s="46" t="s">
        <v>1545</v>
      </c>
      <c r="B1378" s="46" t="s">
        <v>6578</v>
      </c>
      <c r="C1378" s="46" t="s">
        <v>1552</v>
      </c>
      <c r="D1378" s="46" t="s">
        <v>17</v>
      </c>
      <c r="E1378" s="46" t="s">
        <v>14</v>
      </c>
      <c r="F1378" s="48">
        <v>127.1</v>
      </c>
    </row>
    <row r="1379">
      <c r="A1379" s="46" t="s">
        <v>1545</v>
      </c>
      <c r="B1379" s="46" t="s">
        <v>6580</v>
      </c>
      <c r="C1379" s="46" t="s">
        <v>6581</v>
      </c>
      <c r="D1379" s="46" t="s">
        <v>17</v>
      </c>
      <c r="E1379" s="46" t="s">
        <v>15</v>
      </c>
      <c r="F1379" s="48">
        <v>122.1</v>
      </c>
    </row>
    <row r="1380">
      <c r="A1380" s="46" t="s">
        <v>1545</v>
      </c>
      <c r="B1380" s="46" t="s">
        <v>6592</v>
      </c>
      <c r="C1380" s="46" t="s">
        <v>1572</v>
      </c>
      <c r="D1380" s="46" t="s">
        <v>17</v>
      </c>
      <c r="E1380" s="46" t="s">
        <v>14</v>
      </c>
      <c r="F1380" s="48">
        <v>129.4</v>
      </c>
    </row>
    <row r="1381">
      <c r="A1381" s="46" t="s">
        <v>1545</v>
      </c>
      <c r="B1381" s="46" t="s">
        <v>6597</v>
      </c>
      <c r="C1381" s="46" t="s">
        <v>5045</v>
      </c>
      <c r="D1381" s="46" t="s">
        <v>17</v>
      </c>
      <c r="E1381" s="46" t="s">
        <v>15</v>
      </c>
      <c r="F1381" s="48">
        <v>128.1</v>
      </c>
    </row>
    <row r="1382">
      <c r="A1382" s="46" t="s">
        <v>1545</v>
      </c>
      <c r="B1382" s="46" t="s">
        <v>6599</v>
      </c>
      <c r="C1382" s="46" t="s">
        <v>6600</v>
      </c>
      <c r="D1382" s="46" t="s">
        <v>18</v>
      </c>
      <c r="E1382" s="46" t="s">
        <v>14</v>
      </c>
      <c r="F1382" s="48">
        <v>104.2</v>
      </c>
    </row>
    <row r="1383">
      <c r="A1383" s="46" t="s">
        <v>1545</v>
      </c>
      <c r="B1383" s="46" t="s">
        <v>6602</v>
      </c>
      <c r="C1383" s="46" t="s">
        <v>3446</v>
      </c>
      <c r="D1383" s="46" t="s">
        <v>18</v>
      </c>
      <c r="E1383" s="46" t="s">
        <v>15</v>
      </c>
      <c r="F1383" s="48">
        <v>106.2</v>
      </c>
    </row>
    <row r="1384">
      <c r="A1384" s="46" t="s">
        <v>1579</v>
      </c>
      <c r="B1384" s="46" t="s">
        <v>6604</v>
      </c>
      <c r="C1384" s="46" t="s">
        <v>1579</v>
      </c>
      <c r="D1384" s="46" t="s">
        <v>17</v>
      </c>
      <c r="E1384" s="46" t="s">
        <v>13</v>
      </c>
      <c r="F1384" s="48">
        <v>127.9</v>
      </c>
    </row>
    <row r="1385">
      <c r="A1385" s="46" t="s">
        <v>1579</v>
      </c>
      <c r="B1385" s="46" t="s">
        <v>6606</v>
      </c>
      <c r="C1385" s="46" t="s">
        <v>6607</v>
      </c>
      <c r="D1385" s="46" t="s">
        <v>18</v>
      </c>
      <c r="E1385" s="46" t="s">
        <v>15</v>
      </c>
      <c r="F1385" s="48">
        <v>144.5</v>
      </c>
    </row>
    <row r="1386">
      <c r="A1386" s="46" t="s">
        <v>1579</v>
      </c>
      <c r="B1386" s="46" t="s">
        <v>6613</v>
      </c>
      <c r="C1386" s="46" t="s">
        <v>1592</v>
      </c>
      <c r="D1386" s="46" t="s">
        <v>18</v>
      </c>
      <c r="E1386" s="46" t="s">
        <v>15</v>
      </c>
      <c r="F1386" s="48">
        <v>141.3</v>
      </c>
    </row>
    <row r="1387">
      <c r="A1387" s="46" t="s">
        <v>1579</v>
      </c>
      <c r="B1387" s="46" t="s">
        <v>6617</v>
      </c>
      <c r="C1387" s="46" t="s">
        <v>1579</v>
      </c>
      <c r="D1387" s="46" t="s">
        <v>18</v>
      </c>
      <c r="E1387" s="46" t="s">
        <v>15</v>
      </c>
      <c r="F1387" s="48">
        <v>151.7</v>
      </c>
    </row>
    <row r="1388">
      <c r="A1388" s="46" t="s">
        <v>1579</v>
      </c>
      <c r="B1388" s="46" t="s">
        <v>1554</v>
      </c>
      <c r="C1388" s="46" t="s">
        <v>6621</v>
      </c>
      <c r="D1388" s="46" t="s">
        <v>17</v>
      </c>
      <c r="E1388" s="46" t="s">
        <v>15</v>
      </c>
      <c r="F1388" s="48">
        <v>145.7</v>
      </c>
    </row>
    <row r="1389">
      <c r="A1389" s="46" t="s">
        <v>1579</v>
      </c>
      <c r="B1389" s="46" t="s">
        <v>6623</v>
      </c>
      <c r="C1389" s="46" t="s">
        <v>1592</v>
      </c>
      <c r="D1389" s="46" t="s">
        <v>17</v>
      </c>
      <c r="E1389" s="46" t="s">
        <v>15</v>
      </c>
      <c r="F1389" s="48">
        <v>148.9</v>
      </c>
    </row>
    <row r="1390">
      <c r="A1390" s="46" t="s">
        <v>1579</v>
      </c>
      <c r="B1390" s="46" t="s">
        <v>1617</v>
      </c>
      <c r="C1390" s="46" t="s">
        <v>3478</v>
      </c>
      <c r="D1390" s="46" t="s">
        <v>17</v>
      </c>
      <c r="E1390" s="46" t="s">
        <v>15</v>
      </c>
      <c r="F1390" s="48">
        <v>140.2</v>
      </c>
    </row>
    <row r="1391">
      <c r="A1391" s="46" t="s">
        <v>1579</v>
      </c>
      <c r="B1391" s="46" t="s">
        <v>6626</v>
      </c>
      <c r="C1391" s="46" t="s">
        <v>1579</v>
      </c>
      <c r="D1391" s="46" t="s">
        <v>17</v>
      </c>
      <c r="E1391" s="46" t="s">
        <v>15</v>
      </c>
      <c r="F1391" s="48">
        <v>126.3</v>
      </c>
    </row>
    <row r="1392">
      <c r="A1392" s="46" t="s">
        <v>1579</v>
      </c>
      <c r="B1392" s="46" t="s">
        <v>6628</v>
      </c>
      <c r="C1392" s="46" t="s">
        <v>1592</v>
      </c>
      <c r="D1392" s="46" t="s">
        <v>18</v>
      </c>
      <c r="E1392" s="46" t="s">
        <v>15</v>
      </c>
      <c r="F1392" s="48">
        <v>151.1</v>
      </c>
    </row>
    <row r="1393">
      <c r="A1393" s="46" t="s">
        <v>284</v>
      </c>
      <c r="B1393" s="46" t="s">
        <v>6630</v>
      </c>
      <c r="C1393" s="46" t="s">
        <v>6631</v>
      </c>
      <c r="D1393" s="46" t="s">
        <v>18</v>
      </c>
      <c r="E1393" s="46" t="s">
        <v>15</v>
      </c>
      <c r="F1393" s="48">
        <v>113.1</v>
      </c>
    </row>
    <row r="1394">
      <c r="A1394" s="46" t="s">
        <v>284</v>
      </c>
      <c r="B1394" s="46" t="s">
        <v>4342</v>
      </c>
      <c r="C1394" s="46" t="s">
        <v>1625</v>
      </c>
      <c r="D1394" s="46" t="s">
        <v>18</v>
      </c>
      <c r="E1394" s="46" t="s">
        <v>15</v>
      </c>
      <c r="F1394" s="48">
        <v>123.0</v>
      </c>
    </row>
    <row r="1395">
      <c r="A1395" s="46" t="s">
        <v>88</v>
      </c>
      <c r="B1395" s="46" t="s">
        <v>363</v>
      </c>
      <c r="C1395" s="46" t="s">
        <v>3488</v>
      </c>
      <c r="D1395" s="46" t="s">
        <v>17</v>
      </c>
      <c r="E1395" s="46" t="s">
        <v>15</v>
      </c>
      <c r="F1395" s="48">
        <v>118.4</v>
      </c>
    </row>
    <row r="1396">
      <c r="A1396" s="46" t="s">
        <v>88</v>
      </c>
      <c r="B1396" s="46" t="s">
        <v>6635</v>
      </c>
      <c r="C1396" s="46" t="s">
        <v>5109</v>
      </c>
      <c r="D1396" s="46" t="s">
        <v>17</v>
      </c>
      <c r="E1396" s="46" t="s">
        <v>15</v>
      </c>
      <c r="F1396" s="48">
        <v>109.0</v>
      </c>
    </row>
    <row r="1397">
      <c r="A1397" s="46" t="s">
        <v>182</v>
      </c>
      <c r="B1397" s="46" t="s">
        <v>1402</v>
      </c>
      <c r="C1397" s="46" t="s">
        <v>1653</v>
      </c>
      <c r="D1397" s="46" t="s">
        <v>18</v>
      </c>
      <c r="E1397" s="46" t="s">
        <v>15</v>
      </c>
      <c r="F1397" s="48">
        <v>122.5</v>
      </c>
    </row>
    <row r="1398">
      <c r="A1398" s="46" t="s">
        <v>182</v>
      </c>
      <c r="B1398" s="46" t="s">
        <v>6651</v>
      </c>
      <c r="C1398" s="46" t="s">
        <v>1664</v>
      </c>
      <c r="D1398" s="46" t="s">
        <v>18</v>
      </c>
      <c r="E1398" s="46" t="s">
        <v>15</v>
      </c>
      <c r="F1398" s="48">
        <v>104.6</v>
      </c>
    </row>
    <row r="1399">
      <c r="A1399" s="46" t="s">
        <v>182</v>
      </c>
      <c r="B1399" s="46" t="s">
        <v>6653</v>
      </c>
      <c r="C1399" s="46" t="s">
        <v>1664</v>
      </c>
      <c r="D1399" s="46" t="s">
        <v>17</v>
      </c>
      <c r="E1399" s="46" t="s">
        <v>15</v>
      </c>
      <c r="F1399" s="48">
        <v>106.6</v>
      </c>
    </row>
    <row r="1400">
      <c r="A1400" s="46" t="s">
        <v>182</v>
      </c>
      <c r="B1400" s="46" t="s">
        <v>6655</v>
      </c>
      <c r="C1400" s="46" t="s">
        <v>1653</v>
      </c>
      <c r="D1400" s="46" t="s">
        <v>17</v>
      </c>
      <c r="E1400" s="46" t="s">
        <v>15</v>
      </c>
      <c r="F1400" s="48">
        <v>104.3</v>
      </c>
    </row>
    <row r="1401">
      <c r="A1401" s="46" t="s">
        <v>182</v>
      </c>
      <c r="B1401" s="46" t="s">
        <v>6663</v>
      </c>
      <c r="C1401" s="46" t="s">
        <v>1674</v>
      </c>
      <c r="D1401" s="46" t="s">
        <v>17</v>
      </c>
      <c r="E1401" s="46" t="s">
        <v>15</v>
      </c>
      <c r="F1401" s="48">
        <v>122.6</v>
      </c>
    </row>
    <row r="1402">
      <c r="A1402" s="46" t="s">
        <v>134</v>
      </c>
      <c r="B1402" s="46" t="s">
        <v>6665</v>
      </c>
      <c r="C1402" s="46" t="s">
        <v>6666</v>
      </c>
      <c r="D1402" s="46" t="s">
        <v>18</v>
      </c>
      <c r="E1402" s="46" t="s">
        <v>14</v>
      </c>
      <c r="F1402" s="48">
        <v>106.3</v>
      </c>
    </row>
    <row r="1403">
      <c r="A1403" s="46" t="s">
        <v>134</v>
      </c>
      <c r="B1403" s="46" t="s">
        <v>6669</v>
      </c>
      <c r="C1403" s="46" t="s">
        <v>6670</v>
      </c>
      <c r="D1403" s="46" t="s">
        <v>18</v>
      </c>
      <c r="E1403" s="46" t="s">
        <v>15</v>
      </c>
      <c r="F1403" s="48">
        <v>110.3</v>
      </c>
    </row>
    <row r="1404">
      <c r="A1404" s="46" t="s">
        <v>134</v>
      </c>
      <c r="B1404" s="46" t="s">
        <v>6672</v>
      </c>
      <c r="C1404" s="46" t="s">
        <v>6666</v>
      </c>
      <c r="D1404" s="46" t="s">
        <v>17</v>
      </c>
      <c r="E1404" s="46" t="s">
        <v>14</v>
      </c>
      <c r="F1404" s="48">
        <v>117.3</v>
      </c>
    </row>
    <row r="1405">
      <c r="A1405" s="46" t="s">
        <v>129</v>
      </c>
      <c r="B1405" s="46" t="s">
        <v>6676</v>
      </c>
      <c r="C1405" s="46" t="s">
        <v>1707</v>
      </c>
      <c r="D1405" s="46" t="s">
        <v>18</v>
      </c>
      <c r="E1405" s="46" t="s">
        <v>15</v>
      </c>
      <c r="F1405" s="48">
        <v>111.4</v>
      </c>
    </row>
    <row r="1406">
      <c r="A1406" s="46" t="s">
        <v>129</v>
      </c>
      <c r="B1406" s="46" t="s">
        <v>6682</v>
      </c>
      <c r="C1406" s="46" t="s">
        <v>6683</v>
      </c>
      <c r="D1406" s="46" t="s">
        <v>17</v>
      </c>
      <c r="E1406" s="46" t="s">
        <v>15</v>
      </c>
      <c r="F1406" s="48">
        <v>123.0</v>
      </c>
    </row>
    <row r="1407">
      <c r="A1407" s="46" t="s">
        <v>129</v>
      </c>
      <c r="B1407" s="46" t="s">
        <v>6690</v>
      </c>
      <c r="C1407" s="46" t="s">
        <v>6691</v>
      </c>
      <c r="D1407" s="46" t="s">
        <v>18</v>
      </c>
      <c r="E1407" s="46" t="s">
        <v>15</v>
      </c>
      <c r="F1407" s="48">
        <v>105.0</v>
      </c>
    </row>
    <row r="1408">
      <c r="A1408" s="46" t="s">
        <v>779</v>
      </c>
      <c r="B1408" s="46" t="s">
        <v>6699</v>
      </c>
      <c r="C1408" s="46" t="s">
        <v>6700</v>
      </c>
      <c r="D1408" s="46" t="s">
        <v>17</v>
      </c>
      <c r="E1408" s="46" t="s">
        <v>15</v>
      </c>
      <c r="F1408" s="48">
        <v>119.9</v>
      </c>
    </row>
    <row r="1409">
      <c r="A1409" s="46" t="s">
        <v>284</v>
      </c>
      <c r="B1409" s="46" t="s">
        <v>6704</v>
      </c>
      <c r="C1409" s="46" t="s">
        <v>284</v>
      </c>
      <c r="D1409" s="46" t="s">
        <v>17</v>
      </c>
      <c r="E1409" s="46" t="s">
        <v>15</v>
      </c>
      <c r="F1409" s="48">
        <v>124.8</v>
      </c>
    </row>
    <row r="1410">
      <c r="A1410" s="46" t="s">
        <v>322</v>
      </c>
      <c r="B1410" s="46" t="s">
        <v>6709</v>
      </c>
      <c r="C1410" s="46" t="s">
        <v>322</v>
      </c>
      <c r="D1410" s="46" t="s">
        <v>18</v>
      </c>
      <c r="E1410" s="46" t="s">
        <v>15</v>
      </c>
      <c r="F1410" s="48">
        <v>125.9</v>
      </c>
    </row>
    <row r="1411">
      <c r="A1411" s="46" t="s">
        <v>322</v>
      </c>
      <c r="B1411" s="46" t="s">
        <v>6711</v>
      </c>
      <c r="C1411" s="46" t="s">
        <v>3588</v>
      </c>
      <c r="D1411" s="46" t="s">
        <v>18</v>
      </c>
      <c r="E1411" s="46" t="s">
        <v>15</v>
      </c>
      <c r="F1411" s="48">
        <v>112.3</v>
      </c>
    </row>
    <row r="1412">
      <c r="A1412" s="46" t="s">
        <v>322</v>
      </c>
      <c r="B1412" s="46" t="s">
        <v>6713</v>
      </c>
      <c r="C1412" s="46" t="s">
        <v>6714</v>
      </c>
      <c r="D1412" s="46" t="s">
        <v>18</v>
      </c>
      <c r="E1412" s="46" t="s">
        <v>15</v>
      </c>
      <c r="F1412" s="48">
        <v>117.1</v>
      </c>
    </row>
    <row r="1413">
      <c r="A1413" s="46" t="s">
        <v>322</v>
      </c>
      <c r="B1413" s="46" t="s">
        <v>6720</v>
      </c>
      <c r="C1413" s="46" t="s">
        <v>322</v>
      </c>
      <c r="D1413" s="46" t="s">
        <v>17</v>
      </c>
      <c r="E1413" s="46" t="s">
        <v>15</v>
      </c>
      <c r="F1413" s="48">
        <v>129.6</v>
      </c>
    </row>
    <row r="1414">
      <c r="A1414" s="46" t="s">
        <v>322</v>
      </c>
      <c r="B1414" s="46" t="s">
        <v>6724</v>
      </c>
      <c r="C1414" s="46" t="s">
        <v>322</v>
      </c>
      <c r="D1414" s="46" t="s">
        <v>17</v>
      </c>
      <c r="E1414" s="46" t="s">
        <v>15</v>
      </c>
      <c r="F1414" s="48">
        <v>134.3</v>
      </c>
    </row>
    <row r="1415">
      <c r="A1415" s="46" t="s">
        <v>930</v>
      </c>
      <c r="B1415" s="46" t="s">
        <v>6729</v>
      </c>
      <c r="C1415" s="46" t="s">
        <v>1756</v>
      </c>
      <c r="D1415" s="46" t="s">
        <v>18</v>
      </c>
      <c r="E1415" s="46" t="s">
        <v>15</v>
      </c>
      <c r="F1415" s="48">
        <v>105.5</v>
      </c>
    </row>
    <row r="1416">
      <c r="A1416" s="46" t="s">
        <v>930</v>
      </c>
      <c r="B1416" s="46" t="s">
        <v>6735</v>
      </c>
      <c r="C1416" s="46" t="s">
        <v>1762</v>
      </c>
      <c r="D1416" s="46" t="s">
        <v>18</v>
      </c>
      <c r="E1416" s="46" t="s">
        <v>15</v>
      </c>
      <c r="F1416" s="48">
        <v>123.1</v>
      </c>
    </row>
    <row r="1417">
      <c r="A1417" s="46" t="s">
        <v>393</v>
      </c>
      <c r="B1417" s="46" t="s">
        <v>6146</v>
      </c>
      <c r="C1417" s="46" t="s">
        <v>1781</v>
      </c>
      <c r="D1417" s="46" t="s">
        <v>18</v>
      </c>
      <c r="E1417" s="46" t="s">
        <v>15</v>
      </c>
      <c r="F1417" s="48">
        <v>105.5</v>
      </c>
    </row>
    <row r="1418">
      <c r="A1418" s="46" t="s">
        <v>393</v>
      </c>
      <c r="B1418" s="46" t="s">
        <v>6742</v>
      </c>
      <c r="C1418" s="46" t="s">
        <v>1781</v>
      </c>
      <c r="D1418" s="46" t="s">
        <v>17</v>
      </c>
      <c r="E1418" s="46" t="s">
        <v>15</v>
      </c>
      <c r="F1418" s="48">
        <v>111.9</v>
      </c>
    </row>
    <row r="1419">
      <c r="A1419" s="46" t="s">
        <v>1579</v>
      </c>
      <c r="B1419" s="46" t="s">
        <v>6744</v>
      </c>
      <c r="C1419" s="46" t="s">
        <v>6745</v>
      </c>
      <c r="D1419" s="46" t="s">
        <v>18</v>
      </c>
      <c r="E1419" s="46" t="s">
        <v>15</v>
      </c>
      <c r="F1419" s="48">
        <v>110.4</v>
      </c>
    </row>
    <row r="1420">
      <c r="A1420" s="46" t="s">
        <v>1579</v>
      </c>
      <c r="B1420" s="46" t="s">
        <v>6752</v>
      </c>
      <c r="C1420" s="46" t="s">
        <v>6753</v>
      </c>
      <c r="D1420" s="46" t="s">
        <v>18</v>
      </c>
      <c r="E1420" s="46" t="s">
        <v>15</v>
      </c>
      <c r="F1420" s="48">
        <v>106.9</v>
      </c>
    </row>
    <row r="1421">
      <c r="A1421" s="46" t="s">
        <v>1579</v>
      </c>
      <c r="B1421" s="46" t="s">
        <v>4185</v>
      </c>
      <c r="C1421" s="46" t="s">
        <v>6757</v>
      </c>
      <c r="D1421" s="46" t="s">
        <v>18</v>
      </c>
      <c r="E1421" s="46" t="s">
        <v>15</v>
      </c>
      <c r="F1421" s="48">
        <v>118.9</v>
      </c>
    </row>
    <row r="1422">
      <c r="A1422" s="46" t="s">
        <v>1579</v>
      </c>
      <c r="B1422" s="46" t="s">
        <v>6761</v>
      </c>
      <c r="C1422" s="46" t="s">
        <v>6762</v>
      </c>
      <c r="D1422" s="46" t="s">
        <v>18</v>
      </c>
      <c r="E1422" s="46" t="s">
        <v>15</v>
      </c>
      <c r="F1422" s="48">
        <v>142.3</v>
      </c>
    </row>
    <row r="1423">
      <c r="A1423" s="46" t="s">
        <v>1579</v>
      </c>
      <c r="B1423" s="46" t="s">
        <v>6764</v>
      </c>
      <c r="C1423" s="46" t="s">
        <v>6765</v>
      </c>
      <c r="D1423" s="46" t="s">
        <v>17</v>
      </c>
      <c r="E1423" s="46" t="s">
        <v>15</v>
      </c>
      <c r="F1423" s="48">
        <v>133.8</v>
      </c>
    </row>
    <row r="1424">
      <c r="A1424" s="46" t="s">
        <v>1579</v>
      </c>
      <c r="B1424" s="46" t="s">
        <v>6769</v>
      </c>
      <c r="C1424" s="46" t="s">
        <v>5243</v>
      </c>
      <c r="D1424" s="46" t="s">
        <v>18</v>
      </c>
      <c r="E1424" s="46" t="s">
        <v>15</v>
      </c>
      <c r="F1424" s="48">
        <v>114.6</v>
      </c>
    </row>
    <row r="1425">
      <c r="A1425" s="46" t="s">
        <v>1579</v>
      </c>
      <c r="B1425" s="46" t="s">
        <v>6771</v>
      </c>
      <c r="C1425" s="46" t="s">
        <v>5256</v>
      </c>
      <c r="D1425" s="46" t="s">
        <v>18</v>
      </c>
      <c r="E1425" s="46" t="s">
        <v>15</v>
      </c>
      <c r="F1425" s="48">
        <v>135.8</v>
      </c>
    </row>
    <row r="1426">
      <c r="A1426" s="46" t="s">
        <v>1579</v>
      </c>
      <c r="B1426" s="46" t="s">
        <v>6776</v>
      </c>
      <c r="C1426" s="46" t="s">
        <v>1842</v>
      </c>
      <c r="D1426" s="46" t="s">
        <v>18</v>
      </c>
      <c r="E1426" s="46" t="s">
        <v>15</v>
      </c>
      <c r="F1426" s="48">
        <v>134.0</v>
      </c>
    </row>
    <row r="1427">
      <c r="A1427" s="46" t="s">
        <v>1579</v>
      </c>
      <c r="B1427" s="46" t="s">
        <v>6778</v>
      </c>
      <c r="C1427" s="46" t="s">
        <v>6779</v>
      </c>
      <c r="D1427" s="46" t="s">
        <v>18</v>
      </c>
      <c r="E1427" s="46" t="s">
        <v>15</v>
      </c>
      <c r="F1427" s="48">
        <v>138.8</v>
      </c>
    </row>
    <row r="1428">
      <c r="A1428" s="46" t="s">
        <v>1579</v>
      </c>
      <c r="B1428" s="46" t="s">
        <v>6781</v>
      </c>
      <c r="C1428" s="46" t="s">
        <v>3638</v>
      </c>
      <c r="D1428" s="46" t="s">
        <v>17</v>
      </c>
      <c r="E1428" s="46" t="s">
        <v>15</v>
      </c>
      <c r="F1428" s="48">
        <v>151.5</v>
      </c>
    </row>
    <row r="1429">
      <c r="A1429" s="46" t="s">
        <v>1579</v>
      </c>
      <c r="B1429" s="46" t="s">
        <v>6783</v>
      </c>
      <c r="C1429" s="46" t="s">
        <v>1818</v>
      </c>
      <c r="D1429" s="46" t="s">
        <v>17</v>
      </c>
      <c r="E1429" s="46" t="s">
        <v>15</v>
      </c>
      <c r="F1429" s="48">
        <v>143.5</v>
      </c>
    </row>
    <row r="1430">
      <c r="A1430" s="46" t="s">
        <v>1579</v>
      </c>
      <c r="B1430" s="46" t="s">
        <v>6785</v>
      </c>
      <c r="C1430" s="46" t="s">
        <v>1842</v>
      </c>
      <c r="D1430" s="46" t="s">
        <v>17</v>
      </c>
      <c r="E1430" s="46" t="s">
        <v>15</v>
      </c>
      <c r="F1430" s="48">
        <v>149.4</v>
      </c>
    </row>
    <row r="1431">
      <c r="A1431" s="46" t="s">
        <v>1545</v>
      </c>
      <c r="B1431" s="46" t="s">
        <v>6806</v>
      </c>
      <c r="C1431" s="46" t="s">
        <v>1871</v>
      </c>
      <c r="D1431" s="46" t="s">
        <v>18</v>
      </c>
      <c r="E1431" s="46" t="s">
        <v>15</v>
      </c>
      <c r="F1431" s="48">
        <v>107.0</v>
      </c>
    </row>
    <row r="1432">
      <c r="A1432" s="46" t="s">
        <v>1545</v>
      </c>
      <c r="B1432" s="46" t="s">
        <v>6815</v>
      </c>
      <c r="C1432" s="46" t="s">
        <v>1861</v>
      </c>
      <c r="D1432" s="46" t="s">
        <v>17</v>
      </c>
      <c r="E1432" s="46" t="s">
        <v>15</v>
      </c>
      <c r="F1432" s="48">
        <v>125.3</v>
      </c>
    </row>
    <row r="1433">
      <c r="A1433" s="46" t="s">
        <v>1545</v>
      </c>
      <c r="B1433" s="46" t="s">
        <v>6822</v>
      </c>
      <c r="C1433" s="46" t="s">
        <v>3698</v>
      </c>
      <c r="D1433" s="46" t="s">
        <v>18</v>
      </c>
      <c r="E1433" s="46" t="s">
        <v>15</v>
      </c>
      <c r="F1433" s="48">
        <v>110.2</v>
      </c>
    </row>
    <row r="1434">
      <c r="A1434" s="46" t="s">
        <v>1545</v>
      </c>
      <c r="B1434" s="46" t="s">
        <v>6824</v>
      </c>
      <c r="C1434" s="46" t="s">
        <v>3678</v>
      </c>
      <c r="D1434" s="46" t="s">
        <v>17</v>
      </c>
      <c r="E1434" s="46" t="s">
        <v>15</v>
      </c>
      <c r="F1434" s="48">
        <v>127.0</v>
      </c>
    </row>
    <row r="1435">
      <c r="A1435" s="46" t="s">
        <v>1545</v>
      </c>
      <c r="B1435" s="46" t="s">
        <v>6826</v>
      </c>
      <c r="C1435" s="46" t="s">
        <v>6813</v>
      </c>
      <c r="D1435" s="46" t="s">
        <v>17</v>
      </c>
      <c r="E1435" s="46" t="s">
        <v>15</v>
      </c>
      <c r="F1435" s="48">
        <v>128.4</v>
      </c>
    </row>
    <row r="1436">
      <c r="A1436" s="46" t="s">
        <v>1545</v>
      </c>
      <c r="B1436" s="46" t="s">
        <v>6844</v>
      </c>
      <c r="C1436" s="46" t="s">
        <v>3698</v>
      </c>
      <c r="D1436" s="46" t="s">
        <v>18</v>
      </c>
      <c r="E1436" s="46" t="s">
        <v>15</v>
      </c>
      <c r="F1436" s="48">
        <v>120.3</v>
      </c>
    </row>
    <row r="1437">
      <c r="A1437" s="46" t="s">
        <v>1545</v>
      </c>
      <c r="B1437" s="46" t="s">
        <v>2485</v>
      </c>
      <c r="C1437" s="46" t="s">
        <v>3735</v>
      </c>
      <c r="D1437" s="46" t="s">
        <v>18</v>
      </c>
      <c r="E1437" s="46" t="s">
        <v>15</v>
      </c>
      <c r="F1437" s="48">
        <v>141.8</v>
      </c>
    </row>
    <row r="1438">
      <c r="A1438" s="46" t="s">
        <v>1545</v>
      </c>
      <c r="B1438" s="46" t="s">
        <v>6848</v>
      </c>
      <c r="C1438" s="46" t="s">
        <v>3735</v>
      </c>
      <c r="D1438" s="46" t="s">
        <v>18</v>
      </c>
      <c r="E1438" s="46" t="s">
        <v>14</v>
      </c>
      <c r="F1438" s="48">
        <v>114.5</v>
      </c>
    </row>
    <row r="1439">
      <c r="A1439" s="46" t="s">
        <v>1545</v>
      </c>
      <c r="B1439" s="46" t="s">
        <v>6850</v>
      </c>
      <c r="C1439" s="46" t="s">
        <v>3732</v>
      </c>
      <c r="D1439" s="46" t="s">
        <v>17</v>
      </c>
      <c r="E1439" s="46" t="s">
        <v>15</v>
      </c>
      <c r="F1439" s="48">
        <v>123.0</v>
      </c>
    </row>
    <row r="1440">
      <c r="A1440" s="46" t="s">
        <v>1545</v>
      </c>
      <c r="B1440" s="46" t="s">
        <v>6852</v>
      </c>
      <c r="C1440" s="46" t="s">
        <v>3732</v>
      </c>
      <c r="D1440" s="46" t="s">
        <v>17</v>
      </c>
      <c r="E1440" s="46" t="s">
        <v>15</v>
      </c>
      <c r="F1440" s="48">
        <v>125.8</v>
      </c>
    </row>
    <row r="1441">
      <c r="A1441" s="46" t="s">
        <v>1545</v>
      </c>
      <c r="B1441" s="46" t="s">
        <v>6854</v>
      </c>
      <c r="C1441" s="46" t="s">
        <v>6855</v>
      </c>
      <c r="D1441" s="46" t="s">
        <v>17</v>
      </c>
      <c r="E1441" s="46" t="s">
        <v>15</v>
      </c>
      <c r="F1441" s="48">
        <v>135.2</v>
      </c>
    </row>
    <row r="1442">
      <c r="A1442" s="46" t="s">
        <v>1545</v>
      </c>
      <c r="B1442" s="46" t="s">
        <v>6863</v>
      </c>
      <c r="C1442" s="46" t="s">
        <v>6864</v>
      </c>
      <c r="D1442" s="46" t="s">
        <v>17</v>
      </c>
      <c r="E1442" s="46" t="s">
        <v>13</v>
      </c>
      <c r="F1442" s="48">
        <v>124.8</v>
      </c>
    </row>
    <row r="1443">
      <c r="A1443" s="46" t="s">
        <v>1579</v>
      </c>
      <c r="B1443" s="46" t="s">
        <v>6869</v>
      </c>
      <c r="C1443" s="46" t="s">
        <v>1942</v>
      </c>
      <c r="D1443" s="46" t="s">
        <v>18</v>
      </c>
      <c r="E1443" s="46" t="s">
        <v>14</v>
      </c>
      <c r="F1443" s="48">
        <v>108.5</v>
      </c>
    </row>
    <row r="1444">
      <c r="A1444" s="46" t="s">
        <v>1579</v>
      </c>
      <c r="B1444" s="46" t="s">
        <v>6874</v>
      </c>
      <c r="C1444" s="46" t="s">
        <v>6875</v>
      </c>
      <c r="D1444" s="46" t="s">
        <v>17</v>
      </c>
      <c r="E1444" s="46" t="s">
        <v>15</v>
      </c>
      <c r="F1444" s="48">
        <v>139.9</v>
      </c>
    </row>
    <row r="1445">
      <c r="A1445" s="46" t="s">
        <v>1579</v>
      </c>
      <c r="B1445" s="46" t="s">
        <v>6877</v>
      </c>
      <c r="C1445" s="46" t="s">
        <v>1942</v>
      </c>
      <c r="D1445" s="46" t="s">
        <v>17</v>
      </c>
      <c r="E1445" s="46" t="s">
        <v>15</v>
      </c>
      <c r="F1445" s="48">
        <v>128.7</v>
      </c>
    </row>
    <row r="1446">
      <c r="A1446" s="46" t="s">
        <v>1579</v>
      </c>
      <c r="B1446" s="46" t="s">
        <v>6879</v>
      </c>
      <c r="C1446" s="46" t="s">
        <v>1933</v>
      </c>
      <c r="D1446" s="46" t="s">
        <v>17</v>
      </c>
      <c r="E1446" s="46" t="s">
        <v>15</v>
      </c>
      <c r="F1446" s="48">
        <v>110.1</v>
      </c>
    </row>
    <row r="1447">
      <c r="A1447" s="46" t="s">
        <v>1579</v>
      </c>
      <c r="B1447" s="46" t="s">
        <v>6357</v>
      </c>
      <c r="C1447" s="46" t="s">
        <v>1951</v>
      </c>
      <c r="D1447" s="46" t="s">
        <v>18</v>
      </c>
      <c r="E1447" s="46" t="s">
        <v>15</v>
      </c>
      <c r="F1447" s="48">
        <v>107.2</v>
      </c>
    </row>
    <row r="1448">
      <c r="A1448" s="46" t="s">
        <v>1579</v>
      </c>
      <c r="B1448" s="46" t="s">
        <v>2316</v>
      </c>
      <c r="C1448" s="46" t="s">
        <v>5349</v>
      </c>
      <c r="D1448" s="46" t="s">
        <v>18</v>
      </c>
      <c r="E1448" s="46" t="s">
        <v>15</v>
      </c>
      <c r="F1448" s="48">
        <v>104.0</v>
      </c>
    </row>
    <row r="1449">
      <c r="A1449" s="46" t="s">
        <v>1579</v>
      </c>
      <c r="B1449" s="46" t="s">
        <v>2581</v>
      </c>
      <c r="C1449" s="46" t="s">
        <v>6885</v>
      </c>
      <c r="D1449" s="46" t="s">
        <v>18</v>
      </c>
      <c r="E1449" s="46" t="s">
        <v>15</v>
      </c>
      <c r="F1449" s="48">
        <v>112.0</v>
      </c>
    </row>
    <row r="1450">
      <c r="A1450" s="46" t="s">
        <v>2013</v>
      </c>
      <c r="B1450" s="46" t="s">
        <v>6907</v>
      </c>
      <c r="C1450" s="46" t="s">
        <v>2016</v>
      </c>
      <c r="D1450" s="46" t="s">
        <v>17</v>
      </c>
      <c r="E1450" s="46" t="s">
        <v>15</v>
      </c>
      <c r="F1450" s="48">
        <v>128.3</v>
      </c>
    </row>
    <row r="1451">
      <c r="A1451" s="46" t="s">
        <v>2054</v>
      </c>
      <c r="B1451" s="46" t="s">
        <v>6936</v>
      </c>
      <c r="C1451" s="46" t="s">
        <v>2077</v>
      </c>
      <c r="D1451" s="46" t="s">
        <v>17</v>
      </c>
      <c r="E1451" s="46" t="s">
        <v>15</v>
      </c>
      <c r="F1451" s="48">
        <v>131.1</v>
      </c>
    </row>
    <row r="1452">
      <c r="A1452" s="46" t="s">
        <v>71</v>
      </c>
      <c r="B1452" s="46" t="s">
        <v>363</v>
      </c>
      <c r="C1452" s="46" t="s">
        <v>84</v>
      </c>
      <c r="D1452" s="46" t="s">
        <v>17</v>
      </c>
      <c r="E1452" s="46" t="s">
        <v>15</v>
      </c>
      <c r="F1452" s="48">
        <v>127.2</v>
      </c>
    </row>
    <row r="1453">
      <c r="A1453" s="46" t="s">
        <v>71</v>
      </c>
      <c r="B1453" s="46" t="s">
        <v>848</v>
      </c>
      <c r="C1453" s="46" t="s">
        <v>6942</v>
      </c>
      <c r="D1453" s="46" t="s">
        <v>17</v>
      </c>
      <c r="E1453" s="46" t="s">
        <v>14</v>
      </c>
      <c r="F1453" s="48">
        <v>119.1</v>
      </c>
    </row>
    <row r="1454">
      <c r="A1454" s="46" t="s">
        <v>88</v>
      </c>
      <c r="B1454" s="46" t="s">
        <v>6950</v>
      </c>
      <c r="C1454" s="46" t="s">
        <v>95</v>
      </c>
      <c r="D1454" s="46" t="s">
        <v>17</v>
      </c>
      <c r="E1454" s="46" t="s">
        <v>15</v>
      </c>
      <c r="F1454" s="48">
        <v>118.3</v>
      </c>
    </row>
    <row r="1455">
      <c r="A1455" s="46" t="s">
        <v>88</v>
      </c>
      <c r="B1455" s="46" t="s">
        <v>6954</v>
      </c>
      <c r="C1455" s="46" t="s">
        <v>6955</v>
      </c>
      <c r="D1455" s="46" t="s">
        <v>18</v>
      </c>
      <c r="E1455" s="46" t="s">
        <v>15</v>
      </c>
      <c r="F1455" s="48">
        <v>110.8</v>
      </c>
    </row>
    <row r="1456">
      <c r="A1456" s="46" t="s">
        <v>116</v>
      </c>
      <c r="B1456" s="46" t="s">
        <v>6957</v>
      </c>
      <c r="C1456" s="46" t="s">
        <v>6958</v>
      </c>
      <c r="D1456" s="46" t="s">
        <v>18</v>
      </c>
      <c r="E1456" s="46" t="s">
        <v>15</v>
      </c>
      <c r="F1456" s="48">
        <v>110.2</v>
      </c>
    </row>
    <row r="1457">
      <c r="A1457" s="46" t="s">
        <v>129</v>
      </c>
      <c r="B1457" s="46" t="s">
        <v>2544</v>
      </c>
      <c r="C1457" s="46" t="s">
        <v>2123</v>
      </c>
      <c r="D1457" s="46" t="s">
        <v>17</v>
      </c>
      <c r="E1457" s="46" t="s">
        <v>15</v>
      </c>
      <c r="F1457" s="48">
        <v>113.3</v>
      </c>
    </row>
    <row r="1458">
      <c r="A1458" s="46" t="s">
        <v>129</v>
      </c>
      <c r="B1458" s="46" t="s">
        <v>6972</v>
      </c>
      <c r="C1458" s="46" t="s">
        <v>2133</v>
      </c>
      <c r="D1458" s="46" t="s">
        <v>18</v>
      </c>
      <c r="E1458" s="46" t="s">
        <v>15</v>
      </c>
      <c r="F1458" s="48">
        <v>122.2</v>
      </c>
    </row>
    <row r="1459">
      <c r="A1459" s="46" t="s">
        <v>129</v>
      </c>
      <c r="B1459" s="46" t="s">
        <v>419</v>
      </c>
      <c r="C1459" s="46" t="s">
        <v>2133</v>
      </c>
      <c r="D1459" s="46" t="s">
        <v>18</v>
      </c>
      <c r="E1459" s="46" t="s">
        <v>15</v>
      </c>
      <c r="F1459" s="48">
        <v>115.8</v>
      </c>
    </row>
    <row r="1460">
      <c r="A1460" s="46" t="s">
        <v>134</v>
      </c>
      <c r="B1460" s="46" t="s">
        <v>6978</v>
      </c>
      <c r="C1460" s="46" t="s">
        <v>144</v>
      </c>
      <c r="D1460" s="46" t="s">
        <v>18</v>
      </c>
      <c r="E1460" s="46" t="s">
        <v>15</v>
      </c>
      <c r="F1460" s="48">
        <v>118.0</v>
      </c>
    </row>
    <row r="1461">
      <c r="A1461" s="46" t="s">
        <v>134</v>
      </c>
      <c r="B1461" s="46" t="s">
        <v>6984</v>
      </c>
      <c r="C1461" s="46" t="s">
        <v>134</v>
      </c>
      <c r="D1461" s="46" t="s">
        <v>18</v>
      </c>
      <c r="E1461" s="46" t="s">
        <v>14</v>
      </c>
      <c r="F1461" s="48">
        <v>106.8</v>
      </c>
    </row>
    <row r="1462">
      <c r="A1462" s="46" t="s">
        <v>134</v>
      </c>
      <c r="B1462" s="46" t="s">
        <v>3401</v>
      </c>
      <c r="C1462" s="46" t="s">
        <v>144</v>
      </c>
      <c r="D1462" s="46" t="s">
        <v>17</v>
      </c>
      <c r="E1462" s="46" t="s">
        <v>15</v>
      </c>
      <c r="F1462" s="48">
        <v>141.8</v>
      </c>
    </row>
    <row r="1463">
      <c r="A1463" s="46" t="s">
        <v>134</v>
      </c>
      <c r="B1463" s="46" t="s">
        <v>5863</v>
      </c>
      <c r="C1463" s="46" t="s">
        <v>3934</v>
      </c>
      <c r="D1463" s="46" t="s">
        <v>18</v>
      </c>
      <c r="E1463" s="46" t="s">
        <v>15</v>
      </c>
      <c r="F1463" s="48">
        <v>137.1</v>
      </c>
    </row>
    <row r="1464">
      <c r="A1464" s="46" t="s">
        <v>161</v>
      </c>
      <c r="B1464" s="46" t="s">
        <v>6999</v>
      </c>
      <c r="C1464" s="46" t="s">
        <v>2164</v>
      </c>
      <c r="D1464" s="46" t="s">
        <v>17</v>
      </c>
      <c r="E1464" s="46" t="s">
        <v>15</v>
      </c>
      <c r="F1464" s="48">
        <v>111.5</v>
      </c>
    </row>
    <row r="1465">
      <c r="A1465" s="46" t="s">
        <v>169</v>
      </c>
      <c r="B1465" s="46" t="s">
        <v>7003</v>
      </c>
      <c r="C1465" s="46" t="s">
        <v>173</v>
      </c>
      <c r="D1465" s="46" t="s">
        <v>18</v>
      </c>
      <c r="E1465" s="46" t="s">
        <v>15</v>
      </c>
      <c r="F1465" s="48">
        <v>116.5</v>
      </c>
    </row>
    <row r="1466">
      <c r="A1466" s="46" t="s">
        <v>169</v>
      </c>
      <c r="B1466" s="46" t="s">
        <v>7005</v>
      </c>
      <c r="C1466" s="46" t="s">
        <v>173</v>
      </c>
      <c r="D1466" s="46" t="s">
        <v>18</v>
      </c>
      <c r="E1466" s="46" t="s">
        <v>14</v>
      </c>
      <c r="F1466" s="48">
        <v>106.1</v>
      </c>
    </row>
    <row r="1467">
      <c r="A1467" s="46" t="s">
        <v>169</v>
      </c>
      <c r="B1467" s="46" t="s">
        <v>3180</v>
      </c>
      <c r="C1467" s="46" t="s">
        <v>3962</v>
      </c>
      <c r="D1467" s="46" t="s">
        <v>18</v>
      </c>
      <c r="E1467" s="46" t="s">
        <v>15</v>
      </c>
      <c r="F1467" s="48">
        <v>111.0</v>
      </c>
    </row>
    <row r="1468">
      <c r="A1468" s="46" t="s">
        <v>483</v>
      </c>
      <c r="B1468" s="46" t="s">
        <v>7017</v>
      </c>
      <c r="C1468" s="46" t="s">
        <v>3974</v>
      </c>
      <c r="D1468" s="46" t="s">
        <v>18</v>
      </c>
      <c r="E1468" s="46" t="s">
        <v>15</v>
      </c>
      <c r="F1468" s="48">
        <v>111.5</v>
      </c>
    </row>
    <row r="1469">
      <c r="A1469" s="46" t="s">
        <v>182</v>
      </c>
      <c r="B1469" s="46" t="s">
        <v>7022</v>
      </c>
      <c r="C1469" s="46" t="s">
        <v>216</v>
      </c>
      <c r="D1469" s="46" t="s">
        <v>18</v>
      </c>
      <c r="E1469" s="46" t="s">
        <v>15</v>
      </c>
      <c r="F1469" s="48">
        <v>108.2</v>
      </c>
    </row>
    <row r="1470">
      <c r="A1470" s="46" t="s">
        <v>182</v>
      </c>
      <c r="B1470" s="46" t="s">
        <v>80</v>
      </c>
      <c r="C1470" s="46" t="s">
        <v>216</v>
      </c>
      <c r="D1470" s="46" t="s">
        <v>17</v>
      </c>
      <c r="E1470" s="46" t="s">
        <v>15</v>
      </c>
      <c r="F1470" s="48">
        <v>104.0</v>
      </c>
    </row>
    <row r="1471">
      <c r="A1471" s="46" t="s">
        <v>129</v>
      </c>
      <c r="B1471" s="46" t="s">
        <v>7030</v>
      </c>
      <c r="C1471" s="46" t="s">
        <v>2239</v>
      </c>
      <c r="D1471" s="46" t="s">
        <v>18</v>
      </c>
      <c r="E1471" s="46" t="s">
        <v>15</v>
      </c>
      <c r="F1471" s="48">
        <v>126.0</v>
      </c>
    </row>
    <row r="1472">
      <c r="A1472" s="46" t="s">
        <v>129</v>
      </c>
      <c r="B1472" s="46" t="s">
        <v>7037</v>
      </c>
      <c r="C1472" s="46" t="s">
        <v>250</v>
      </c>
      <c r="D1472" s="46" t="s">
        <v>18</v>
      </c>
      <c r="E1472" s="46" t="s">
        <v>15</v>
      </c>
      <c r="F1472" s="48">
        <v>114.2</v>
      </c>
    </row>
    <row r="1473">
      <c r="A1473" s="46" t="s">
        <v>129</v>
      </c>
      <c r="B1473" s="46" t="s">
        <v>7041</v>
      </c>
      <c r="C1473" s="46" t="s">
        <v>225</v>
      </c>
      <c r="D1473" s="46" t="s">
        <v>17</v>
      </c>
      <c r="E1473" s="46" t="s">
        <v>15</v>
      </c>
      <c r="F1473" s="48">
        <v>148.2</v>
      </c>
    </row>
    <row r="1474">
      <c r="A1474" s="46" t="s">
        <v>129</v>
      </c>
      <c r="B1474" s="46" t="s">
        <v>3057</v>
      </c>
      <c r="C1474" s="46" t="s">
        <v>222</v>
      </c>
      <c r="D1474" s="46" t="s">
        <v>17</v>
      </c>
      <c r="E1474" s="46" t="s">
        <v>15</v>
      </c>
      <c r="F1474" s="48">
        <v>131.0</v>
      </c>
    </row>
    <row r="1475">
      <c r="A1475" s="46" t="s">
        <v>129</v>
      </c>
      <c r="B1475" s="46" t="s">
        <v>7046</v>
      </c>
      <c r="C1475" s="46" t="s">
        <v>242</v>
      </c>
      <c r="D1475" s="46" t="s">
        <v>17</v>
      </c>
      <c r="E1475" s="46" t="s">
        <v>14</v>
      </c>
      <c r="F1475" s="48">
        <v>116.3</v>
      </c>
    </row>
    <row r="1476">
      <c r="A1476" s="46" t="s">
        <v>129</v>
      </c>
      <c r="B1476" s="46" t="s">
        <v>7056</v>
      </c>
      <c r="C1476" s="46" t="s">
        <v>225</v>
      </c>
      <c r="D1476" s="46" t="s">
        <v>17</v>
      </c>
      <c r="E1476" s="46" t="s">
        <v>15</v>
      </c>
      <c r="F1476" s="48">
        <v>110.1</v>
      </c>
    </row>
    <row r="1477">
      <c r="A1477" s="46" t="s">
        <v>129</v>
      </c>
      <c r="B1477" s="46" t="s">
        <v>7061</v>
      </c>
      <c r="C1477" s="46" t="s">
        <v>7062</v>
      </c>
      <c r="D1477" s="46" t="s">
        <v>17</v>
      </c>
      <c r="E1477" s="46" t="s">
        <v>15</v>
      </c>
      <c r="F1477" s="48">
        <v>129.4</v>
      </c>
    </row>
    <row r="1478">
      <c r="A1478" s="46" t="s">
        <v>129</v>
      </c>
      <c r="B1478" s="46" t="s">
        <v>7064</v>
      </c>
      <c r="C1478" s="46" t="s">
        <v>242</v>
      </c>
      <c r="D1478" s="46" t="s">
        <v>17</v>
      </c>
      <c r="E1478" s="46" t="s">
        <v>14</v>
      </c>
      <c r="F1478" s="48">
        <v>110.2</v>
      </c>
    </row>
    <row r="1479">
      <c r="A1479" s="46" t="s">
        <v>129</v>
      </c>
      <c r="B1479" s="46" t="s">
        <v>7066</v>
      </c>
      <c r="C1479" s="46" t="s">
        <v>222</v>
      </c>
      <c r="D1479" s="46" t="s">
        <v>17</v>
      </c>
      <c r="E1479" s="46" t="s">
        <v>15</v>
      </c>
      <c r="F1479" s="48">
        <v>124.3</v>
      </c>
    </row>
    <row r="1480">
      <c r="A1480" s="46" t="s">
        <v>269</v>
      </c>
      <c r="B1480" s="46" t="s">
        <v>7072</v>
      </c>
      <c r="C1480" s="46" t="s">
        <v>4060</v>
      </c>
      <c r="D1480" s="46" t="s">
        <v>17</v>
      </c>
      <c r="E1480" s="46" t="s">
        <v>15</v>
      </c>
      <c r="F1480" s="48">
        <v>119.6</v>
      </c>
    </row>
    <row r="1481">
      <c r="A1481" s="46" t="s">
        <v>269</v>
      </c>
      <c r="B1481" s="46" t="s">
        <v>7074</v>
      </c>
      <c r="C1481" s="46" t="s">
        <v>273</v>
      </c>
      <c r="D1481" s="46" t="s">
        <v>17</v>
      </c>
      <c r="E1481" s="46" t="s">
        <v>15</v>
      </c>
      <c r="F1481" s="48">
        <v>113.3</v>
      </c>
    </row>
    <row r="1482">
      <c r="A1482" s="46" t="s">
        <v>269</v>
      </c>
      <c r="B1482" s="46" t="s">
        <v>6475</v>
      </c>
      <c r="C1482" s="46" t="s">
        <v>273</v>
      </c>
      <c r="D1482" s="46" t="s">
        <v>18</v>
      </c>
      <c r="E1482" s="46" t="s">
        <v>15</v>
      </c>
      <c r="F1482" s="48">
        <v>130.4</v>
      </c>
    </row>
    <row r="1483">
      <c r="A1483" s="46" t="s">
        <v>116</v>
      </c>
      <c r="B1483" s="46" t="s">
        <v>7088</v>
      </c>
      <c r="C1483" s="46" t="s">
        <v>2307</v>
      </c>
      <c r="D1483" s="46" t="s">
        <v>18</v>
      </c>
      <c r="E1483" s="46" t="s">
        <v>14</v>
      </c>
      <c r="F1483" s="48">
        <v>108.4</v>
      </c>
    </row>
    <row r="1484">
      <c r="A1484" s="46" t="s">
        <v>116</v>
      </c>
      <c r="B1484" s="46" t="s">
        <v>7090</v>
      </c>
      <c r="C1484" s="46" t="s">
        <v>2310</v>
      </c>
      <c r="D1484" s="46" t="s">
        <v>17</v>
      </c>
      <c r="E1484" s="46" t="s">
        <v>15</v>
      </c>
      <c r="F1484" s="48">
        <v>104.4</v>
      </c>
    </row>
    <row r="1485">
      <c r="A1485" s="46" t="s">
        <v>284</v>
      </c>
      <c r="B1485" s="46" t="s">
        <v>7092</v>
      </c>
      <c r="C1485" s="46" t="s">
        <v>288</v>
      </c>
      <c r="D1485" s="46" t="s">
        <v>18</v>
      </c>
      <c r="E1485" s="46" t="s">
        <v>15</v>
      </c>
      <c r="F1485" s="48">
        <v>115.0</v>
      </c>
    </row>
    <row r="1486">
      <c r="A1486" s="46" t="s">
        <v>284</v>
      </c>
      <c r="B1486" s="46" t="s">
        <v>7106</v>
      </c>
      <c r="C1486" s="46" t="s">
        <v>297</v>
      </c>
      <c r="D1486" s="46" t="s">
        <v>18</v>
      </c>
      <c r="E1486" s="46" t="s">
        <v>15</v>
      </c>
      <c r="F1486" s="48">
        <v>122.1</v>
      </c>
    </row>
    <row r="1487">
      <c r="A1487" s="46" t="s">
        <v>284</v>
      </c>
      <c r="B1487" s="46" t="s">
        <v>7108</v>
      </c>
      <c r="C1487" s="46" t="s">
        <v>2329</v>
      </c>
      <c r="D1487" s="46" t="s">
        <v>18</v>
      </c>
      <c r="E1487" s="46" t="s">
        <v>15</v>
      </c>
      <c r="F1487" s="48">
        <v>119.3</v>
      </c>
    </row>
    <row r="1488">
      <c r="A1488" s="46" t="s">
        <v>284</v>
      </c>
      <c r="B1488" s="46" t="s">
        <v>823</v>
      </c>
      <c r="C1488" s="46" t="s">
        <v>2329</v>
      </c>
      <c r="D1488" s="46" t="s">
        <v>18</v>
      </c>
      <c r="E1488" s="46" t="s">
        <v>15</v>
      </c>
      <c r="F1488" s="48">
        <v>114.5</v>
      </c>
    </row>
    <row r="1489">
      <c r="A1489" s="46" t="s">
        <v>313</v>
      </c>
      <c r="B1489" s="46" t="s">
        <v>7111</v>
      </c>
      <c r="C1489" s="46" t="s">
        <v>4105</v>
      </c>
      <c r="D1489" s="46" t="s">
        <v>18</v>
      </c>
      <c r="E1489" s="46" t="s">
        <v>15</v>
      </c>
      <c r="F1489" s="48">
        <v>116.3</v>
      </c>
    </row>
    <row r="1490">
      <c r="A1490" s="46" t="s">
        <v>313</v>
      </c>
      <c r="B1490" s="46" t="s">
        <v>7113</v>
      </c>
      <c r="C1490" s="46" t="s">
        <v>4105</v>
      </c>
      <c r="D1490" s="46" t="s">
        <v>18</v>
      </c>
      <c r="E1490" s="46" t="s">
        <v>14</v>
      </c>
      <c r="F1490" s="48">
        <v>105.3</v>
      </c>
    </row>
    <row r="1491">
      <c r="A1491" s="46" t="s">
        <v>322</v>
      </c>
      <c r="B1491" s="46" t="s">
        <v>7123</v>
      </c>
      <c r="C1491" s="46" t="s">
        <v>332</v>
      </c>
      <c r="D1491" s="46" t="s">
        <v>18</v>
      </c>
      <c r="E1491" s="46" t="s">
        <v>15</v>
      </c>
      <c r="F1491" s="48">
        <v>117.3</v>
      </c>
    </row>
    <row r="1492">
      <c r="A1492" s="46" t="s">
        <v>322</v>
      </c>
      <c r="B1492" s="46" t="s">
        <v>7125</v>
      </c>
      <c r="C1492" s="46" t="s">
        <v>332</v>
      </c>
      <c r="D1492" s="46" t="s">
        <v>17</v>
      </c>
      <c r="E1492" s="46" t="s">
        <v>14</v>
      </c>
      <c r="F1492" s="48">
        <v>105.3</v>
      </c>
    </row>
    <row r="1493">
      <c r="A1493" s="46" t="s">
        <v>333</v>
      </c>
      <c r="B1493" s="46" t="s">
        <v>2670</v>
      </c>
      <c r="C1493" s="46" t="s">
        <v>333</v>
      </c>
      <c r="D1493" s="46" t="s">
        <v>18</v>
      </c>
      <c r="E1493" s="46" t="s">
        <v>15</v>
      </c>
      <c r="F1493" s="48">
        <v>125.4</v>
      </c>
    </row>
    <row r="1494">
      <c r="A1494" s="46" t="s">
        <v>354</v>
      </c>
      <c r="B1494" s="46" t="s">
        <v>7137</v>
      </c>
      <c r="C1494" s="46" t="s">
        <v>358</v>
      </c>
      <c r="D1494" s="46" t="s">
        <v>18</v>
      </c>
      <c r="E1494" s="46" t="s">
        <v>15</v>
      </c>
      <c r="F1494" s="48">
        <v>128.0</v>
      </c>
    </row>
    <row r="1495">
      <c r="A1495" s="46" t="s">
        <v>377</v>
      </c>
      <c r="B1495" s="46" t="s">
        <v>7143</v>
      </c>
      <c r="C1495" s="46" t="s">
        <v>386</v>
      </c>
      <c r="D1495" s="46" t="s">
        <v>18</v>
      </c>
      <c r="E1495" s="46" t="s">
        <v>15</v>
      </c>
      <c r="F1495" s="48">
        <v>112.1</v>
      </c>
    </row>
    <row r="1496">
      <c r="A1496" s="46" t="s">
        <v>377</v>
      </c>
      <c r="B1496" s="46" t="s">
        <v>3119</v>
      </c>
      <c r="C1496" s="46" t="s">
        <v>2384</v>
      </c>
      <c r="D1496" s="46" t="s">
        <v>17</v>
      </c>
      <c r="E1496" s="46" t="s">
        <v>13</v>
      </c>
      <c r="F1496" s="48">
        <v>104.0</v>
      </c>
    </row>
    <row r="1497">
      <c r="A1497" s="46" t="s">
        <v>393</v>
      </c>
      <c r="B1497" s="46" t="s">
        <v>6160</v>
      </c>
      <c r="C1497" s="46" t="s">
        <v>393</v>
      </c>
      <c r="D1497" s="46" t="s">
        <v>18</v>
      </c>
      <c r="E1497" s="46" t="s">
        <v>15</v>
      </c>
      <c r="F1497" s="48">
        <v>122.7</v>
      </c>
    </row>
    <row r="1498">
      <c r="A1498" s="46" t="s">
        <v>393</v>
      </c>
      <c r="B1498" s="46" t="s">
        <v>7153</v>
      </c>
      <c r="C1498" s="46" t="s">
        <v>393</v>
      </c>
      <c r="D1498" s="46" t="s">
        <v>18</v>
      </c>
      <c r="E1498" s="46" t="s">
        <v>15</v>
      </c>
      <c r="F1498" s="48">
        <v>112.5</v>
      </c>
    </row>
    <row r="1499">
      <c r="A1499" s="46" t="s">
        <v>393</v>
      </c>
      <c r="B1499" s="46" t="s">
        <v>7155</v>
      </c>
      <c r="C1499" s="46" t="s">
        <v>2403</v>
      </c>
      <c r="D1499" s="46" t="s">
        <v>18</v>
      </c>
      <c r="E1499" s="46" t="s">
        <v>15</v>
      </c>
      <c r="F1499" s="48">
        <v>109.8</v>
      </c>
    </row>
    <row r="1500">
      <c r="A1500" s="46" t="s">
        <v>393</v>
      </c>
      <c r="B1500" s="46" t="s">
        <v>7165</v>
      </c>
      <c r="C1500" s="46" t="s">
        <v>393</v>
      </c>
      <c r="D1500" s="46" t="s">
        <v>18</v>
      </c>
      <c r="E1500" s="46" t="s">
        <v>14</v>
      </c>
      <c r="F1500" s="48">
        <v>119.5</v>
      </c>
    </row>
    <row r="1501">
      <c r="A1501" s="46" t="s">
        <v>161</v>
      </c>
      <c r="B1501" s="46" t="s">
        <v>7167</v>
      </c>
      <c r="C1501" s="46" t="s">
        <v>2414</v>
      </c>
      <c r="D1501" s="46" t="s">
        <v>18</v>
      </c>
      <c r="E1501" s="46" t="s">
        <v>15</v>
      </c>
      <c r="F1501" s="48">
        <v>117.7</v>
      </c>
    </row>
    <row r="1502">
      <c r="A1502" s="46" t="s">
        <v>269</v>
      </c>
      <c r="B1502" s="46" t="s">
        <v>7175</v>
      </c>
      <c r="C1502" s="46" t="s">
        <v>2427</v>
      </c>
      <c r="D1502" s="46" t="s">
        <v>17</v>
      </c>
      <c r="E1502" s="46" t="s">
        <v>15</v>
      </c>
      <c r="F1502" s="48">
        <v>110.4</v>
      </c>
    </row>
    <row r="1503">
      <c r="A1503" s="46" t="s">
        <v>269</v>
      </c>
      <c r="B1503" s="46" t="s">
        <v>7177</v>
      </c>
      <c r="C1503" s="46" t="s">
        <v>7178</v>
      </c>
      <c r="D1503" s="46" t="s">
        <v>18</v>
      </c>
      <c r="E1503" s="46" t="s">
        <v>15</v>
      </c>
      <c r="F1503" s="48">
        <v>105.0</v>
      </c>
    </row>
    <row r="1504">
      <c r="A1504" s="46" t="s">
        <v>313</v>
      </c>
      <c r="B1504" s="46" t="s">
        <v>7185</v>
      </c>
      <c r="C1504" s="46" t="s">
        <v>440</v>
      </c>
      <c r="D1504" s="46" t="s">
        <v>18</v>
      </c>
      <c r="E1504" s="46" t="s">
        <v>14</v>
      </c>
      <c r="F1504" s="48">
        <v>104.5</v>
      </c>
    </row>
    <row r="1505">
      <c r="A1505" s="46" t="s">
        <v>354</v>
      </c>
      <c r="B1505" s="46" t="s">
        <v>7189</v>
      </c>
      <c r="C1505" s="46" t="s">
        <v>466</v>
      </c>
      <c r="D1505" s="46" t="s">
        <v>18</v>
      </c>
      <c r="E1505" s="46" t="s">
        <v>14</v>
      </c>
      <c r="F1505" s="48">
        <v>106.0</v>
      </c>
    </row>
    <row r="1506">
      <c r="A1506" s="46" t="s">
        <v>354</v>
      </c>
      <c r="B1506" s="46" t="s">
        <v>7194</v>
      </c>
      <c r="C1506" s="46" t="s">
        <v>466</v>
      </c>
      <c r="D1506" s="46" t="s">
        <v>18</v>
      </c>
      <c r="E1506" s="46" t="s">
        <v>15</v>
      </c>
      <c r="F1506" s="48">
        <v>111.5</v>
      </c>
    </row>
    <row r="1507">
      <c r="A1507" s="46" t="s">
        <v>354</v>
      </c>
      <c r="B1507" s="46" t="s">
        <v>7196</v>
      </c>
      <c r="C1507" s="46" t="s">
        <v>460</v>
      </c>
      <c r="D1507" s="46" t="s">
        <v>17</v>
      </c>
      <c r="E1507" s="46" t="s">
        <v>15</v>
      </c>
      <c r="F1507" s="48">
        <v>120.7</v>
      </c>
    </row>
    <row r="1508">
      <c r="A1508" s="46" t="s">
        <v>354</v>
      </c>
      <c r="B1508" s="46" t="s">
        <v>7199</v>
      </c>
      <c r="C1508" s="46" t="s">
        <v>4207</v>
      </c>
      <c r="D1508" s="46" t="s">
        <v>17</v>
      </c>
      <c r="E1508" s="46" t="s">
        <v>15</v>
      </c>
      <c r="F1508" s="48">
        <v>113.8</v>
      </c>
    </row>
    <row r="1509">
      <c r="A1509" s="46" t="s">
        <v>354</v>
      </c>
      <c r="B1509" s="46" t="s">
        <v>7201</v>
      </c>
      <c r="C1509" s="46" t="s">
        <v>449</v>
      </c>
      <c r="D1509" s="46" t="s">
        <v>17</v>
      </c>
      <c r="E1509" s="46" t="s">
        <v>15</v>
      </c>
      <c r="F1509" s="48">
        <v>116.0</v>
      </c>
    </row>
    <row r="1510">
      <c r="A1510" s="46" t="s">
        <v>354</v>
      </c>
      <c r="B1510" s="46" t="s">
        <v>80</v>
      </c>
      <c r="C1510" s="46" t="s">
        <v>4202</v>
      </c>
      <c r="D1510" s="46" t="s">
        <v>17</v>
      </c>
      <c r="E1510" s="46" t="s">
        <v>15</v>
      </c>
      <c r="F1510" s="48">
        <v>115.9</v>
      </c>
    </row>
    <row r="1511">
      <c r="A1511" s="46" t="s">
        <v>354</v>
      </c>
      <c r="B1511" s="46" t="s">
        <v>7204</v>
      </c>
      <c r="C1511" s="46" t="s">
        <v>5731</v>
      </c>
      <c r="D1511" s="46" t="s">
        <v>18</v>
      </c>
      <c r="E1511" s="46" t="s">
        <v>15</v>
      </c>
      <c r="F1511" s="48">
        <v>110.4</v>
      </c>
    </row>
    <row r="1512">
      <c r="A1512" s="46" t="s">
        <v>483</v>
      </c>
      <c r="B1512" s="46" t="s">
        <v>7207</v>
      </c>
      <c r="C1512" s="46" t="s">
        <v>7208</v>
      </c>
      <c r="D1512" s="46" t="s">
        <v>18</v>
      </c>
      <c r="E1512" s="46" t="s">
        <v>14</v>
      </c>
      <c r="F1512" s="48">
        <v>109.4</v>
      </c>
    </row>
    <row r="1513">
      <c r="A1513" s="46" t="s">
        <v>483</v>
      </c>
      <c r="B1513" s="46" t="s">
        <v>7210</v>
      </c>
      <c r="C1513" s="46" t="s">
        <v>2476</v>
      </c>
      <c r="D1513" s="46" t="s">
        <v>17</v>
      </c>
      <c r="E1513" s="46" t="s">
        <v>14</v>
      </c>
      <c r="F1513" s="48">
        <v>106.9</v>
      </c>
    </row>
    <row r="1514">
      <c r="A1514" s="46" t="s">
        <v>182</v>
      </c>
      <c r="B1514" s="46" t="s">
        <v>7218</v>
      </c>
      <c r="C1514" s="46" t="s">
        <v>182</v>
      </c>
      <c r="D1514" s="46" t="s">
        <v>18</v>
      </c>
      <c r="E1514" s="46" t="s">
        <v>14</v>
      </c>
      <c r="F1514" s="48">
        <v>117.1</v>
      </c>
    </row>
    <row r="1515">
      <c r="A1515" s="46" t="s">
        <v>182</v>
      </c>
      <c r="B1515" s="46" t="s">
        <v>7220</v>
      </c>
      <c r="C1515" s="46" t="s">
        <v>4262</v>
      </c>
      <c r="D1515" s="46" t="s">
        <v>17</v>
      </c>
      <c r="E1515" s="46" t="s">
        <v>15</v>
      </c>
      <c r="F1515" s="48">
        <v>145.2</v>
      </c>
    </row>
    <row r="1516">
      <c r="A1516" s="46" t="s">
        <v>182</v>
      </c>
      <c r="B1516" s="46" t="s">
        <v>7224</v>
      </c>
      <c r="C1516" s="46" t="s">
        <v>182</v>
      </c>
      <c r="D1516" s="46" t="s">
        <v>17</v>
      </c>
      <c r="E1516" s="46" t="s">
        <v>13</v>
      </c>
      <c r="F1516" s="48">
        <v>105.6</v>
      </c>
    </row>
    <row r="1517">
      <c r="A1517" s="46" t="s">
        <v>182</v>
      </c>
      <c r="B1517" s="46" t="s">
        <v>7226</v>
      </c>
      <c r="C1517" s="46" t="s">
        <v>521</v>
      </c>
      <c r="D1517" s="46" t="s">
        <v>17</v>
      </c>
      <c r="E1517" s="46" t="s">
        <v>13</v>
      </c>
      <c r="F1517" s="48">
        <v>105.0</v>
      </c>
    </row>
    <row r="1518">
      <c r="A1518" s="46" t="s">
        <v>182</v>
      </c>
      <c r="B1518" s="46" t="s">
        <v>7228</v>
      </c>
      <c r="C1518" s="46" t="s">
        <v>182</v>
      </c>
      <c r="D1518" s="46" t="s">
        <v>17</v>
      </c>
      <c r="E1518" s="46" t="s">
        <v>15</v>
      </c>
      <c r="F1518" s="48">
        <v>117.7</v>
      </c>
    </row>
    <row r="1519">
      <c r="A1519" s="46" t="s">
        <v>182</v>
      </c>
      <c r="B1519" s="46" t="s">
        <v>7230</v>
      </c>
      <c r="C1519" s="46" t="s">
        <v>7231</v>
      </c>
      <c r="D1519" s="46" t="s">
        <v>18</v>
      </c>
      <c r="E1519" s="46" t="s">
        <v>15</v>
      </c>
      <c r="F1519" s="48">
        <v>131.5</v>
      </c>
    </row>
    <row r="1520">
      <c r="A1520" s="46" t="s">
        <v>182</v>
      </c>
      <c r="B1520" s="46" t="s">
        <v>7233</v>
      </c>
      <c r="C1520" s="46" t="s">
        <v>7234</v>
      </c>
      <c r="D1520" s="46" t="s">
        <v>18</v>
      </c>
      <c r="E1520" s="46" t="s">
        <v>15</v>
      </c>
      <c r="F1520" s="48">
        <v>128.1</v>
      </c>
    </row>
    <row r="1521">
      <c r="A1521" s="46" t="s">
        <v>182</v>
      </c>
      <c r="B1521" s="46" t="s">
        <v>7236</v>
      </c>
      <c r="C1521" s="46" t="s">
        <v>556</v>
      </c>
      <c r="D1521" s="46" t="s">
        <v>18</v>
      </c>
      <c r="E1521" s="46" t="s">
        <v>14</v>
      </c>
      <c r="F1521" s="48">
        <v>106.1</v>
      </c>
    </row>
    <row r="1522">
      <c r="A1522" s="46" t="s">
        <v>377</v>
      </c>
      <c r="B1522" s="46" t="s">
        <v>7238</v>
      </c>
      <c r="C1522" s="46" t="s">
        <v>566</v>
      </c>
      <c r="D1522" s="46" t="s">
        <v>18</v>
      </c>
      <c r="E1522" s="46" t="s">
        <v>15</v>
      </c>
      <c r="F1522" s="48">
        <v>108.9</v>
      </c>
    </row>
    <row r="1523">
      <c r="A1523" s="46" t="s">
        <v>377</v>
      </c>
      <c r="B1523" s="46" t="s">
        <v>7242</v>
      </c>
      <c r="C1523" s="46" t="s">
        <v>593</v>
      </c>
      <c r="D1523" s="46" t="s">
        <v>18</v>
      </c>
      <c r="E1523" s="46" t="s">
        <v>15</v>
      </c>
      <c r="F1523" s="48">
        <v>112.4</v>
      </c>
    </row>
    <row r="1524">
      <c r="A1524" s="46" t="s">
        <v>377</v>
      </c>
      <c r="B1524" s="46" t="s">
        <v>7246</v>
      </c>
      <c r="C1524" s="46" t="s">
        <v>563</v>
      </c>
      <c r="D1524" s="46" t="s">
        <v>17</v>
      </c>
      <c r="E1524" s="46" t="s">
        <v>15</v>
      </c>
      <c r="F1524" s="48">
        <v>127.4</v>
      </c>
    </row>
    <row r="1525">
      <c r="A1525" s="46" t="s">
        <v>377</v>
      </c>
      <c r="B1525" s="46" t="s">
        <v>7248</v>
      </c>
      <c r="C1525" s="46" t="s">
        <v>377</v>
      </c>
      <c r="D1525" s="46" t="s">
        <v>17</v>
      </c>
      <c r="E1525" s="46" t="s">
        <v>15</v>
      </c>
      <c r="F1525" s="48">
        <v>123.8</v>
      </c>
    </row>
    <row r="1526">
      <c r="A1526" s="46" t="s">
        <v>377</v>
      </c>
      <c r="B1526" s="46" t="s">
        <v>7250</v>
      </c>
      <c r="C1526" s="46" t="s">
        <v>7251</v>
      </c>
      <c r="D1526" s="46" t="s">
        <v>17</v>
      </c>
      <c r="E1526" s="46" t="s">
        <v>15</v>
      </c>
      <c r="F1526" s="48">
        <v>131.1</v>
      </c>
    </row>
    <row r="1527">
      <c r="A1527" s="46" t="s">
        <v>377</v>
      </c>
      <c r="B1527" s="46" t="s">
        <v>1009</v>
      </c>
      <c r="C1527" s="46" t="s">
        <v>377</v>
      </c>
      <c r="D1527" s="46" t="s">
        <v>17</v>
      </c>
      <c r="E1527" s="46" t="s">
        <v>15</v>
      </c>
      <c r="F1527" s="48">
        <v>117.7</v>
      </c>
    </row>
    <row r="1528">
      <c r="A1528" s="46" t="s">
        <v>377</v>
      </c>
      <c r="B1528" s="46" t="s">
        <v>7257</v>
      </c>
      <c r="C1528" s="46" t="s">
        <v>608</v>
      </c>
      <c r="D1528" s="46" t="s">
        <v>18</v>
      </c>
      <c r="E1528" s="46" t="s">
        <v>15</v>
      </c>
      <c r="F1528" s="48">
        <v>107.5</v>
      </c>
    </row>
    <row r="1529">
      <c r="A1529" s="46" t="s">
        <v>377</v>
      </c>
      <c r="B1529" s="46" t="s">
        <v>7263</v>
      </c>
      <c r="C1529" s="46" t="s">
        <v>377</v>
      </c>
      <c r="D1529" s="46" t="s">
        <v>17</v>
      </c>
      <c r="E1529" s="46" t="s">
        <v>13</v>
      </c>
      <c r="F1529" s="48">
        <v>112.0</v>
      </c>
    </row>
    <row r="1530">
      <c r="A1530" s="46" t="s">
        <v>377</v>
      </c>
      <c r="B1530" s="46" t="s">
        <v>7266</v>
      </c>
      <c r="C1530" s="46" t="s">
        <v>377</v>
      </c>
      <c r="D1530" s="46" t="s">
        <v>17</v>
      </c>
      <c r="E1530" s="46" t="s">
        <v>13</v>
      </c>
      <c r="F1530" s="48">
        <v>109.9</v>
      </c>
    </row>
    <row r="1531">
      <c r="A1531" s="46" t="s">
        <v>377</v>
      </c>
      <c r="B1531" s="46" t="s">
        <v>7268</v>
      </c>
      <c r="C1531" s="46" t="s">
        <v>4278</v>
      </c>
      <c r="D1531" s="46" t="s">
        <v>18</v>
      </c>
      <c r="E1531" s="46" t="s">
        <v>15</v>
      </c>
      <c r="F1531" s="48">
        <v>124.6</v>
      </c>
    </row>
    <row r="1532">
      <c r="A1532" s="46" t="s">
        <v>377</v>
      </c>
      <c r="B1532" s="46" t="s">
        <v>7270</v>
      </c>
      <c r="C1532" s="46" t="s">
        <v>2530</v>
      </c>
      <c r="D1532" s="46" t="s">
        <v>18</v>
      </c>
      <c r="E1532" s="46" t="s">
        <v>14</v>
      </c>
      <c r="F1532" s="48">
        <v>112.2</v>
      </c>
    </row>
    <row r="1533">
      <c r="A1533" s="46" t="s">
        <v>377</v>
      </c>
      <c r="B1533" s="46" t="s">
        <v>7272</v>
      </c>
      <c r="C1533" s="46" t="s">
        <v>5823</v>
      </c>
      <c r="D1533" s="46" t="s">
        <v>18</v>
      </c>
      <c r="E1533" s="46" t="s">
        <v>15</v>
      </c>
      <c r="F1533" s="48">
        <v>115.1</v>
      </c>
    </row>
    <row r="1534">
      <c r="A1534" s="46" t="s">
        <v>377</v>
      </c>
      <c r="B1534" s="46" t="s">
        <v>7274</v>
      </c>
      <c r="C1534" s="46" t="s">
        <v>7275</v>
      </c>
      <c r="D1534" s="46" t="s">
        <v>18</v>
      </c>
      <c r="E1534" s="46" t="s">
        <v>14</v>
      </c>
      <c r="F1534" s="48">
        <v>119.2</v>
      </c>
    </row>
    <row r="1535">
      <c r="A1535" s="46" t="s">
        <v>377</v>
      </c>
      <c r="B1535" s="46" t="s">
        <v>7277</v>
      </c>
      <c r="C1535" s="46" t="s">
        <v>7255</v>
      </c>
      <c r="D1535" s="46" t="s">
        <v>18</v>
      </c>
      <c r="E1535" s="46" t="s">
        <v>14</v>
      </c>
      <c r="F1535" s="48">
        <v>115.1</v>
      </c>
    </row>
    <row r="1536">
      <c r="A1536" s="46" t="s">
        <v>483</v>
      </c>
      <c r="B1536" s="46" t="s">
        <v>7282</v>
      </c>
      <c r="C1536" s="46" t="s">
        <v>483</v>
      </c>
      <c r="D1536" s="46" t="s">
        <v>18</v>
      </c>
      <c r="E1536" s="46" t="s">
        <v>15</v>
      </c>
      <c r="F1536" s="48">
        <v>126.4</v>
      </c>
    </row>
    <row r="1537">
      <c r="A1537" s="46" t="s">
        <v>483</v>
      </c>
      <c r="B1537" s="46" t="s">
        <v>7287</v>
      </c>
      <c r="C1537" s="46" t="s">
        <v>615</v>
      </c>
      <c r="D1537" s="46" t="s">
        <v>18</v>
      </c>
      <c r="E1537" s="46" t="s">
        <v>15</v>
      </c>
      <c r="F1537" s="48">
        <v>116.8</v>
      </c>
    </row>
    <row r="1538">
      <c r="A1538" s="46" t="s">
        <v>483</v>
      </c>
      <c r="B1538" s="46" t="s">
        <v>7291</v>
      </c>
      <c r="C1538" s="46" t="s">
        <v>483</v>
      </c>
      <c r="D1538" s="46" t="s">
        <v>18</v>
      </c>
      <c r="E1538" s="46" t="s">
        <v>15</v>
      </c>
      <c r="F1538" s="48">
        <v>131.8</v>
      </c>
    </row>
    <row r="1539">
      <c r="A1539" s="46" t="s">
        <v>483</v>
      </c>
      <c r="B1539" s="46" t="s">
        <v>7296</v>
      </c>
      <c r="C1539" s="46" t="s">
        <v>7297</v>
      </c>
      <c r="D1539" s="46" t="s">
        <v>17</v>
      </c>
      <c r="E1539" s="46" t="s">
        <v>14</v>
      </c>
      <c r="F1539" s="48">
        <v>114.1</v>
      </c>
    </row>
    <row r="1540">
      <c r="A1540" s="46" t="s">
        <v>483</v>
      </c>
      <c r="B1540" s="46" t="s">
        <v>7299</v>
      </c>
      <c r="C1540" s="46" t="s">
        <v>612</v>
      </c>
      <c r="D1540" s="46" t="s">
        <v>17</v>
      </c>
      <c r="E1540" s="46" t="s">
        <v>15</v>
      </c>
      <c r="F1540" s="48">
        <v>126.8</v>
      </c>
    </row>
    <row r="1541">
      <c r="A1541" s="46" t="s">
        <v>354</v>
      </c>
      <c r="B1541" s="46" t="s">
        <v>7301</v>
      </c>
      <c r="C1541" s="46" t="s">
        <v>354</v>
      </c>
      <c r="D1541" s="46" t="s">
        <v>18</v>
      </c>
      <c r="E1541" s="46" t="s">
        <v>15</v>
      </c>
      <c r="F1541" s="48">
        <v>120.3</v>
      </c>
    </row>
    <row r="1542">
      <c r="A1542" s="46" t="s">
        <v>354</v>
      </c>
      <c r="B1542" s="46" t="s">
        <v>7303</v>
      </c>
      <c r="C1542" s="46" t="s">
        <v>2559</v>
      </c>
      <c r="D1542" s="46" t="s">
        <v>18</v>
      </c>
      <c r="E1542" s="46" t="s">
        <v>15</v>
      </c>
      <c r="F1542" s="48">
        <v>110.7</v>
      </c>
    </row>
    <row r="1543">
      <c r="A1543" s="46" t="s">
        <v>354</v>
      </c>
      <c r="B1543" s="46" t="s">
        <v>7307</v>
      </c>
      <c r="C1543" s="46" t="s">
        <v>354</v>
      </c>
      <c r="D1543" s="46" t="s">
        <v>18</v>
      </c>
      <c r="E1543" s="46" t="s">
        <v>14</v>
      </c>
      <c r="F1543" s="48">
        <v>139.2</v>
      </c>
    </row>
    <row r="1544">
      <c r="A1544" s="46" t="s">
        <v>354</v>
      </c>
      <c r="B1544" s="46" t="s">
        <v>7309</v>
      </c>
      <c r="C1544" s="46" t="s">
        <v>2563</v>
      </c>
      <c r="D1544" s="46" t="s">
        <v>17</v>
      </c>
      <c r="E1544" s="46" t="s">
        <v>15</v>
      </c>
      <c r="F1544" s="48">
        <v>114.5</v>
      </c>
    </row>
    <row r="1545">
      <c r="A1545" s="46" t="s">
        <v>354</v>
      </c>
      <c r="B1545" s="46" t="s">
        <v>3250</v>
      </c>
      <c r="C1545" s="46" t="s">
        <v>7311</v>
      </c>
      <c r="D1545" s="46" t="s">
        <v>17</v>
      </c>
      <c r="E1545" s="46" t="s">
        <v>14</v>
      </c>
      <c r="F1545" s="48">
        <v>117.4</v>
      </c>
    </row>
    <row r="1546">
      <c r="A1546" s="46" t="s">
        <v>354</v>
      </c>
      <c r="B1546" s="46" t="s">
        <v>7313</v>
      </c>
      <c r="C1546" s="46" t="s">
        <v>4353</v>
      </c>
      <c r="D1546" s="46" t="s">
        <v>17</v>
      </c>
      <c r="E1546" s="46" t="s">
        <v>14</v>
      </c>
      <c r="F1546" s="48">
        <v>105.1</v>
      </c>
    </row>
    <row r="1547">
      <c r="A1547" s="46" t="s">
        <v>354</v>
      </c>
      <c r="B1547" s="46" t="s">
        <v>1069</v>
      </c>
      <c r="C1547" s="46" t="s">
        <v>7311</v>
      </c>
      <c r="D1547" s="46" t="s">
        <v>18</v>
      </c>
      <c r="E1547" s="46" t="s">
        <v>15</v>
      </c>
      <c r="F1547" s="48">
        <v>136.1</v>
      </c>
    </row>
    <row r="1548">
      <c r="A1548" s="46" t="s">
        <v>354</v>
      </c>
      <c r="B1548" s="46" t="s">
        <v>7319</v>
      </c>
      <c r="C1548" s="46" t="s">
        <v>5861</v>
      </c>
      <c r="D1548" s="46" t="s">
        <v>18</v>
      </c>
      <c r="E1548" s="46" t="s">
        <v>15</v>
      </c>
      <c r="F1548" s="48">
        <v>124.0</v>
      </c>
    </row>
    <row r="1549">
      <c r="A1549" s="46" t="s">
        <v>354</v>
      </c>
      <c r="B1549" s="46" t="s">
        <v>7321</v>
      </c>
      <c r="C1549" s="46" t="s">
        <v>7322</v>
      </c>
      <c r="D1549" s="46" t="s">
        <v>18</v>
      </c>
      <c r="E1549" s="46" t="s">
        <v>15</v>
      </c>
      <c r="F1549" s="48">
        <v>129.3</v>
      </c>
    </row>
    <row r="1550">
      <c r="A1550" s="46" t="s">
        <v>313</v>
      </c>
      <c r="B1550" s="46" t="s">
        <v>7328</v>
      </c>
      <c r="C1550" s="46" t="s">
        <v>640</v>
      </c>
      <c r="D1550" s="46" t="s">
        <v>18</v>
      </c>
      <c r="E1550" s="46" t="s">
        <v>15</v>
      </c>
      <c r="F1550" s="48">
        <v>120.7</v>
      </c>
    </row>
    <row r="1551">
      <c r="A1551" s="46" t="s">
        <v>313</v>
      </c>
      <c r="B1551" s="46" t="s">
        <v>7330</v>
      </c>
      <c r="C1551" s="46" t="s">
        <v>640</v>
      </c>
      <c r="D1551" s="46" t="s">
        <v>18</v>
      </c>
      <c r="E1551" s="46" t="s">
        <v>15</v>
      </c>
      <c r="F1551" s="48">
        <v>120.1</v>
      </c>
    </row>
    <row r="1552">
      <c r="A1552" s="46" t="s">
        <v>313</v>
      </c>
      <c r="B1552" s="46" t="s">
        <v>7332</v>
      </c>
      <c r="C1552" s="46" t="s">
        <v>4389</v>
      </c>
      <c r="D1552" s="46" t="s">
        <v>17</v>
      </c>
      <c r="E1552" s="46" t="s">
        <v>15</v>
      </c>
      <c r="F1552" s="48">
        <v>129.1</v>
      </c>
    </row>
    <row r="1553">
      <c r="A1553" s="46" t="s">
        <v>313</v>
      </c>
      <c r="B1553" s="46" t="s">
        <v>7334</v>
      </c>
      <c r="C1553" s="46" t="s">
        <v>640</v>
      </c>
      <c r="D1553" s="46" t="s">
        <v>17</v>
      </c>
      <c r="E1553" s="46" t="s">
        <v>15</v>
      </c>
      <c r="F1553" s="48">
        <v>123.8</v>
      </c>
    </row>
    <row r="1554">
      <c r="A1554" s="46" t="s">
        <v>313</v>
      </c>
      <c r="B1554" s="46" t="s">
        <v>7336</v>
      </c>
      <c r="C1554" s="46" t="s">
        <v>640</v>
      </c>
      <c r="D1554" s="46" t="s">
        <v>17</v>
      </c>
      <c r="E1554" s="46" t="s">
        <v>13</v>
      </c>
      <c r="F1554" s="48">
        <v>107.1</v>
      </c>
    </row>
    <row r="1555">
      <c r="A1555" s="46" t="s">
        <v>161</v>
      </c>
      <c r="B1555" s="46" t="s">
        <v>7338</v>
      </c>
      <c r="C1555" s="46" t="s">
        <v>2597</v>
      </c>
      <c r="D1555" s="46" t="s">
        <v>18</v>
      </c>
      <c r="E1555" s="46" t="s">
        <v>15</v>
      </c>
      <c r="F1555" s="48">
        <v>112.9</v>
      </c>
    </row>
    <row r="1556">
      <c r="A1556" s="46" t="s">
        <v>161</v>
      </c>
      <c r="B1556" s="46" t="s">
        <v>7342</v>
      </c>
      <c r="C1556" s="46" t="s">
        <v>7343</v>
      </c>
      <c r="D1556" s="46" t="s">
        <v>18</v>
      </c>
      <c r="E1556" s="46" t="s">
        <v>14</v>
      </c>
      <c r="F1556" s="48">
        <v>106.8</v>
      </c>
    </row>
    <row r="1557">
      <c r="A1557" s="46" t="s">
        <v>161</v>
      </c>
      <c r="B1557" s="46" t="s">
        <v>7345</v>
      </c>
      <c r="C1557" s="46" t="s">
        <v>161</v>
      </c>
      <c r="D1557" s="46" t="s">
        <v>17</v>
      </c>
      <c r="E1557" s="46" t="s">
        <v>15</v>
      </c>
      <c r="F1557" s="48">
        <v>129.9</v>
      </c>
    </row>
    <row r="1558">
      <c r="A1558" s="46" t="s">
        <v>161</v>
      </c>
      <c r="B1558" s="46" t="s">
        <v>7347</v>
      </c>
      <c r="C1558" s="46" t="s">
        <v>695</v>
      </c>
      <c r="D1558" s="46" t="s">
        <v>17</v>
      </c>
      <c r="E1558" s="46" t="s">
        <v>14</v>
      </c>
      <c r="F1558" s="48">
        <v>116.7</v>
      </c>
    </row>
    <row r="1559">
      <c r="A1559" s="46" t="s">
        <v>161</v>
      </c>
      <c r="B1559" s="46" t="s">
        <v>1251</v>
      </c>
      <c r="C1559" s="46" t="s">
        <v>2621</v>
      </c>
      <c r="D1559" s="46" t="s">
        <v>18</v>
      </c>
      <c r="E1559" s="46" t="s">
        <v>15</v>
      </c>
      <c r="F1559" s="48">
        <v>106.5</v>
      </c>
    </row>
    <row r="1560">
      <c r="A1560" s="46" t="s">
        <v>161</v>
      </c>
      <c r="B1560" s="46" t="s">
        <v>7358</v>
      </c>
      <c r="C1560" s="46" t="s">
        <v>161</v>
      </c>
      <c r="D1560" s="46" t="s">
        <v>18</v>
      </c>
      <c r="E1560" s="46" t="s">
        <v>15</v>
      </c>
      <c r="F1560" s="48">
        <v>140.1</v>
      </c>
    </row>
    <row r="1561">
      <c r="A1561" s="46" t="s">
        <v>393</v>
      </c>
      <c r="B1561" s="46" t="s">
        <v>7362</v>
      </c>
      <c r="C1561" s="46" t="s">
        <v>7363</v>
      </c>
      <c r="D1561" s="46" t="s">
        <v>18</v>
      </c>
      <c r="E1561" s="46" t="s">
        <v>14</v>
      </c>
      <c r="F1561" s="48">
        <v>109.2</v>
      </c>
    </row>
    <row r="1562">
      <c r="A1562" s="46" t="s">
        <v>393</v>
      </c>
      <c r="B1562" s="46" t="s">
        <v>7365</v>
      </c>
      <c r="C1562" s="46" t="s">
        <v>716</v>
      </c>
      <c r="D1562" s="46" t="s">
        <v>18</v>
      </c>
      <c r="E1562" s="46" t="s">
        <v>14</v>
      </c>
      <c r="F1562" s="48">
        <v>108.6</v>
      </c>
    </row>
    <row r="1563">
      <c r="A1563" s="46" t="s">
        <v>393</v>
      </c>
      <c r="B1563" s="46" t="s">
        <v>7369</v>
      </c>
      <c r="C1563" s="46" t="s">
        <v>710</v>
      </c>
      <c r="D1563" s="46" t="s">
        <v>18</v>
      </c>
      <c r="E1563" s="46" t="s">
        <v>14</v>
      </c>
      <c r="F1563" s="48">
        <v>108.3</v>
      </c>
    </row>
    <row r="1564">
      <c r="A1564" s="46" t="s">
        <v>313</v>
      </c>
      <c r="B1564" s="46" t="s">
        <v>7373</v>
      </c>
      <c r="C1564" s="46" t="s">
        <v>741</v>
      </c>
      <c r="D1564" s="46" t="s">
        <v>18</v>
      </c>
      <c r="E1564" s="46" t="s">
        <v>15</v>
      </c>
      <c r="F1564" s="48">
        <v>115.7</v>
      </c>
    </row>
    <row r="1565">
      <c r="A1565" s="46" t="s">
        <v>313</v>
      </c>
      <c r="B1565" s="46" t="s">
        <v>7375</v>
      </c>
      <c r="C1565" s="46" t="s">
        <v>738</v>
      </c>
      <c r="D1565" s="46" t="s">
        <v>18</v>
      </c>
      <c r="E1565" s="46" t="s">
        <v>15</v>
      </c>
      <c r="F1565" s="48">
        <v>112.2</v>
      </c>
    </row>
    <row r="1566">
      <c r="A1566" s="46" t="s">
        <v>313</v>
      </c>
      <c r="B1566" s="46" t="s">
        <v>7384</v>
      </c>
      <c r="C1566" s="46" t="s">
        <v>741</v>
      </c>
      <c r="D1566" s="46" t="s">
        <v>18</v>
      </c>
      <c r="E1566" s="46" t="s">
        <v>14</v>
      </c>
      <c r="F1566" s="48">
        <v>105.3</v>
      </c>
    </row>
    <row r="1567">
      <c r="A1567" s="46" t="s">
        <v>313</v>
      </c>
      <c r="B1567" s="46" t="s">
        <v>7386</v>
      </c>
      <c r="C1567" s="46" t="s">
        <v>7387</v>
      </c>
      <c r="D1567" s="46" t="s">
        <v>17</v>
      </c>
      <c r="E1567" s="46" t="s">
        <v>15</v>
      </c>
      <c r="F1567" s="48">
        <v>131.0</v>
      </c>
    </row>
    <row r="1568">
      <c r="A1568" s="46" t="s">
        <v>71</v>
      </c>
      <c r="B1568" s="46" t="s">
        <v>4395</v>
      </c>
      <c r="C1568" s="46" t="s">
        <v>748</v>
      </c>
      <c r="D1568" s="46" t="s">
        <v>18</v>
      </c>
      <c r="E1568" s="46" t="s">
        <v>15</v>
      </c>
      <c r="F1568" s="48">
        <v>106.3</v>
      </c>
    </row>
    <row r="1569">
      <c r="A1569" s="46" t="s">
        <v>71</v>
      </c>
      <c r="B1569" s="46" t="s">
        <v>7402</v>
      </c>
      <c r="C1569" s="46" t="s">
        <v>4465</v>
      </c>
      <c r="D1569" s="46" t="s">
        <v>18</v>
      </c>
      <c r="E1569" s="46" t="s">
        <v>15</v>
      </c>
      <c r="F1569" s="48">
        <v>121.2</v>
      </c>
    </row>
    <row r="1570">
      <c r="A1570" s="46" t="s">
        <v>71</v>
      </c>
      <c r="B1570" s="46" t="s">
        <v>7405</v>
      </c>
      <c r="C1570" s="46" t="s">
        <v>7406</v>
      </c>
      <c r="D1570" s="46" t="s">
        <v>18</v>
      </c>
      <c r="E1570" s="46" t="s">
        <v>15</v>
      </c>
      <c r="F1570" s="48">
        <v>115.1</v>
      </c>
    </row>
    <row r="1571">
      <c r="A1571" s="46" t="s">
        <v>71</v>
      </c>
      <c r="B1571" s="46" t="s">
        <v>3083</v>
      </c>
      <c r="C1571" s="46" t="s">
        <v>7408</v>
      </c>
      <c r="D1571" s="46" t="s">
        <v>17</v>
      </c>
      <c r="E1571" s="46" t="s">
        <v>15</v>
      </c>
      <c r="F1571" s="48">
        <v>111.8</v>
      </c>
    </row>
    <row r="1572">
      <c r="A1572" s="46" t="s">
        <v>116</v>
      </c>
      <c r="B1572" s="46" t="s">
        <v>212</v>
      </c>
      <c r="C1572" s="46" t="s">
        <v>4478</v>
      </c>
      <c r="D1572" s="46" t="s">
        <v>17</v>
      </c>
      <c r="E1572" s="46" t="s">
        <v>15</v>
      </c>
      <c r="F1572" s="48">
        <v>105.6</v>
      </c>
    </row>
    <row r="1573">
      <c r="A1573" s="46" t="s">
        <v>116</v>
      </c>
      <c r="B1573" s="46" t="s">
        <v>2581</v>
      </c>
      <c r="C1573" s="46" t="s">
        <v>776</v>
      </c>
      <c r="D1573" s="46" t="s">
        <v>18</v>
      </c>
      <c r="E1573" s="46" t="s">
        <v>15</v>
      </c>
      <c r="F1573" s="48">
        <v>119.2</v>
      </c>
    </row>
    <row r="1574">
      <c r="A1574" s="46" t="s">
        <v>779</v>
      </c>
      <c r="B1574" s="46" t="s">
        <v>7412</v>
      </c>
      <c r="C1574" s="46" t="s">
        <v>779</v>
      </c>
      <c r="D1574" s="46" t="s">
        <v>18</v>
      </c>
      <c r="E1574" s="46" t="s">
        <v>15</v>
      </c>
      <c r="F1574" s="48">
        <v>140.0</v>
      </c>
    </row>
    <row r="1575">
      <c r="A1575" s="46" t="s">
        <v>779</v>
      </c>
      <c r="B1575" s="46" t="s">
        <v>7414</v>
      </c>
      <c r="C1575" s="46" t="s">
        <v>779</v>
      </c>
      <c r="D1575" s="46" t="s">
        <v>18</v>
      </c>
      <c r="E1575" s="46" t="s">
        <v>15</v>
      </c>
      <c r="F1575" s="48">
        <v>140.9</v>
      </c>
    </row>
    <row r="1576">
      <c r="A1576" s="46" t="s">
        <v>779</v>
      </c>
      <c r="B1576" s="46" t="s">
        <v>7416</v>
      </c>
      <c r="C1576" s="46" t="s">
        <v>779</v>
      </c>
      <c r="D1576" s="46" t="s">
        <v>18</v>
      </c>
      <c r="E1576" s="46" t="s">
        <v>15</v>
      </c>
      <c r="F1576" s="48">
        <v>126.8</v>
      </c>
    </row>
    <row r="1577">
      <c r="A1577" s="46" t="s">
        <v>779</v>
      </c>
      <c r="B1577" s="46" t="s">
        <v>7418</v>
      </c>
      <c r="C1577" s="46" t="s">
        <v>779</v>
      </c>
      <c r="D1577" s="46" t="s">
        <v>18</v>
      </c>
      <c r="E1577" s="46" t="s">
        <v>14</v>
      </c>
      <c r="F1577" s="48">
        <v>110.0</v>
      </c>
    </row>
    <row r="1578">
      <c r="A1578" s="46" t="s">
        <v>779</v>
      </c>
      <c r="B1578" s="46" t="s">
        <v>4185</v>
      </c>
      <c r="C1578" s="46" t="s">
        <v>5982</v>
      </c>
      <c r="D1578" s="46" t="s">
        <v>18</v>
      </c>
      <c r="E1578" s="46" t="s">
        <v>15</v>
      </c>
      <c r="F1578" s="48">
        <v>119.0</v>
      </c>
    </row>
    <row r="1579">
      <c r="A1579" s="46" t="s">
        <v>779</v>
      </c>
      <c r="B1579" s="46" t="s">
        <v>7423</v>
      </c>
      <c r="C1579" s="46" t="s">
        <v>779</v>
      </c>
      <c r="D1579" s="46" t="s">
        <v>18</v>
      </c>
      <c r="E1579" s="46" t="s">
        <v>15</v>
      </c>
      <c r="F1579" s="48">
        <v>118.6</v>
      </c>
    </row>
    <row r="1580">
      <c r="A1580" s="46" t="s">
        <v>779</v>
      </c>
      <c r="B1580" s="46" t="s">
        <v>7425</v>
      </c>
      <c r="C1580" s="46" t="s">
        <v>779</v>
      </c>
      <c r="D1580" s="46" t="s">
        <v>17</v>
      </c>
      <c r="E1580" s="46" t="s">
        <v>15</v>
      </c>
      <c r="F1580" s="48">
        <v>130.8</v>
      </c>
    </row>
    <row r="1581">
      <c r="A1581" s="46" t="s">
        <v>779</v>
      </c>
      <c r="B1581" s="46" t="s">
        <v>7427</v>
      </c>
      <c r="C1581" s="46" t="s">
        <v>7428</v>
      </c>
      <c r="D1581" s="46" t="s">
        <v>17</v>
      </c>
      <c r="E1581" s="46" t="s">
        <v>15</v>
      </c>
      <c r="F1581" s="48">
        <v>110.5</v>
      </c>
    </row>
    <row r="1582">
      <c r="A1582" s="46" t="s">
        <v>779</v>
      </c>
      <c r="B1582" s="46" t="s">
        <v>3550</v>
      </c>
      <c r="C1582" s="46" t="s">
        <v>801</v>
      </c>
      <c r="D1582" s="46" t="s">
        <v>17</v>
      </c>
      <c r="E1582" s="46" t="s">
        <v>15</v>
      </c>
      <c r="F1582" s="48">
        <v>132.5</v>
      </c>
    </row>
    <row r="1583">
      <c r="A1583" s="46" t="s">
        <v>779</v>
      </c>
      <c r="B1583" s="46" t="s">
        <v>7431</v>
      </c>
      <c r="C1583" s="46" t="s">
        <v>801</v>
      </c>
      <c r="D1583" s="46" t="s">
        <v>17</v>
      </c>
      <c r="E1583" s="46" t="s">
        <v>15</v>
      </c>
      <c r="F1583" s="48">
        <v>126.0</v>
      </c>
    </row>
    <row r="1584">
      <c r="A1584" s="46" t="s">
        <v>779</v>
      </c>
      <c r="B1584" s="46" t="s">
        <v>4183</v>
      </c>
      <c r="C1584" s="46" t="s">
        <v>2711</v>
      </c>
      <c r="D1584" s="46" t="s">
        <v>17</v>
      </c>
      <c r="E1584" s="46" t="s">
        <v>14</v>
      </c>
      <c r="F1584" s="48">
        <v>117.5</v>
      </c>
    </row>
    <row r="1585">
      <c r="A1585" s="46" t="s">
        <v>779</v>
      </c>
      <c r="B1585" s="46" t="s">
        <v>7435</v>
      </c>
      <c r="C1585" s="46" t="s">
        <v>779</v>
      </c>
      <c r="D1585" s="46" t="s">
        <v>17</v>
      </c>
      <c r="E1585" s="46" t="s">
        <v>15</v>
      </c>
      <c r="F1585" s="48">
        <v>130.8</v>
      </c>
    </row>
    <row r="1586">
      <c r="A1586" s="46" t="s">
        <v>779</v>
      </c>
      <c r="B1586" s="46" t="s">
        <v>7437</v>
      </c>
      <c r="C1586" s="46" t="s">
        <v>7438</v>
      </c>
      <c r="D1586" s="46" t="s">
        <v>17</v>
      </c>
      <c r="E1586" s="46" t="s">
        <v>14</v>
      </c>
      <c r="F1586" s="48">
        <v>122.9</v>
      </c>
    </row>
    <row r="1587">
      <c r="A1587" s="46" t="s">
        <v>779</v>
      </c>
      <c r="B1587" s="46" t="s">
        <v>7440</v>
      </c>
      <c r="C1587" s="46" t="s">
        <v>7441</v>
      </c>
      <c r="D1587" s="46" t="s">
        <v>18</v>
      </c>
      <c r="E1587" s="46" t="s">
        <v>15</v>
      </c>
      <c r="F1587" s="48">
        <v>127.5</v>
      </c>
    </row>
    <row r="1588">
      <c r="A1588" s="46" t="s">
        <v>313</v>
      </c>
      <c r="B1588" s="46" t="s">
        <v>944</v>
      </c>
      <c r="C1588" s="46" t="s">
        <v>830</v>
      </c>
      <c r="D1588" s="46" t="s">
        <v>18</v>
      </c>
      <c r="E1588" s="46" t="s">
        <v>14</v>
      </c>
      <c r="F1588" s="48">
        <v>107.8</v>
      </c>
    </row>
    <row r="1589">
      <c r="A1589" s="46" t="s">
        <v>182</v>
      </c>
      <c r="B1589" s="46" t="s">
        <v>7448</v>
      </c>
      <c r="C1589" s="46" t="s">
        <v>2748</v>
      </c>
      <c r="D1589" s="46" t="s">
        <v>17</v>
      </c>
      <c r="E1589" s="46" t="s">
        <v>15</v>
      </c>
      <c r="F1589" s="48">
        <v>116.9</v>
      </c>
    </row>
    <row r="1590">
      <c r="A1590" s="46" t="s">
        <v>182</v>
      </c>
      <c r="B1590" s="46" t="s">
        <v>7450</v>
      </c>
      <c r="C1590" s="46" t="s">
        <v>2748</v>
      </c>
      <c r="D1590" s="46" t="s">
        <v>18</v>
      </c>
      <c r="E1590" s="46" t="s">
        <v>14</v>
      </c>
      <c r="F1590" s="48">
        <v>108.5</v>
      </c>
    </row>
    <row r="1591">
      <c r="A1591" s="46" t="s">
        <v>483</v>
      </c>
      <c r="B1591" s="46" t="s">
        <v>7457</v>
      </c>
      <c r="C1591" s="46" t="s">
        <v>2764</v>
      </c>
      <c r="D1591" s="46" t="s">
        <v>18</v>
      </c>
      <c r="E1591" s="46" t="s">
        <v>15</v>
      </c>
      <c r="F1591" s="48">
        <v>117.5</v>
      </c>
    </row>
    <row r="1592">
      <c r="A1592" s="46" t="s">
        <v>483</v>
      </c>
      <c r="B1592" s="46" t="s">
        <v>7462</v>
      </c>
      <c r="C1592" s="46" t="s">
        <v>7463</v>
      </c>
      <c r="D1592" s="46" t="s">
        <v>17</v>
      </c>
      <c r="E1592" s="46" t="s">
        <v>14</v>
      </c>
      <c r="F1592" s="48">
        <v>105.3</v>
      </c>
    </row>
    <row r="1593">
      <c r="A1593" s="46" t="s">
        <v>483</v>
      </c>
      <c r="B1593" s="46" t="s">
        <v>7465</v>
      </c>
      <c r="C1593" s="46" t="s">
        <v>7463</v>
      </c>
      <c r="D1593" s="46" t="s">
        <v>18</v>
      </c>
      <c r="E1593" s="46" t="s">
        <v>14</v>
      </c>
      <c r="F1593" s="48">
        <v>112.3</v>
      </c>
    </row>
    <row r="1594">
      <c r="A1594" s="46" t="s">
        <v>779</v>
      </c>
      <c r="B1594" s="46" t="s">
        <v>7467</v>
      </c>
      <c r="C1594" s="46" t="s">
        <v>870</v>
      </c>
      <c r="D1594" s="46" t="s">
        <v>18</v>
      </c>
      <c r="E1594" s="46" t="s">
        <v>15</v>
      </c>
      <c r="F1594" s="48">
        <v>109.3</v>
      </c>
    </row>
    <row r="1595">
      <c r="A1595" s="46" t="s">
        <v>779</v>
      </c>
      <c r="B1595" s="46" t="s">
        <v>7469</v>
      </c>
      <c r="C1595" s="46" t="s">
        <v>859</v>
      </c>
      <c r="D1595" s="46" t="s">
        <v>17</v>
      </c>
      <c r="E1595" s="46" t="s">
        <v>15</v>
      </c>
      <c r="F1595" s="48">
        <v>138.3</v>
      </c>
    </row>
    <row r="1596">
      <c r="A1596" s="46" t="s">
        <v>779</v>
      </c>
      <c r="B1596" s="46" t="s">
        <v>7471</v>
      </c>
      <c r="C1596" s="46" t="s">
        <v>4554</v>
      </c>
      <c r="D1596" s="46" t="s">
        <v>17</v>
      </c>
      <c r="E1596" s="46" t="s">
        <v>15</v>
      </c>
      <c r="F1596" s="48">
        <v>139.4</v>
      </c>
    </row>
    <row r="1597">
      <c r="A1597" s="46" t="s">
        <v>779</v>
      </c>
      <c r="B1597" s="46" t="s">
        <v>7473</v>
      </c>
      <c r="C1597" s="46" t="s">
        <v>867</v>
      </c>
      <c r="D1597" s="46" t="s">
        <v>17</v>
      </c>
      <c r="E1597" s="46" t="s">
        <v>14</v>
      </c>
      <c r="F1597" s="48">
        <v>104.2</v>
      </c>
    </row>
    <row r="1598">
      <c r="A1598" s="46" t="s">
        <v>269</v>
      </c>
      <c r="B1598" s="46" t="s">
        <v>7481</v>
      </c>
      <c r="C1598" s="46" t="s">
        <v>7482</v>
      </c>
      <c r="D1598" s="46" t="s">
        <v>18</v>
      </c>
      <c r="E1598" s="46" t="s">
        <v>15</v>
      </c>
      <c r="F1598" s="48">
        <v>111.0</v>
      </c>
    </row>
    <row r="1599">
      <c r="A1599" s="46" t="s">
        <v>169</v>
      </c>
      <c r="B1599" s="46" t="s">
        <v>7490</v>
      </c>
      <c r="C1599" s="46" t="s">
        <v>169</v>
      </c>
      <c r="D1599" s="46" t="s">
        <v>18</v>
      </c>
      <c r="E1599" s="46" t="s">
        <v>15</v>
      </c>
      <c r="F1599" s="48">
        <v>112.4</v>
      </c>
    </row>
    <row r="1600">
      <c r="A1600" s="46" t="s">
        <v>169</v>
      </c>
      <c r="B1600" s="46" t="s">
        <v>7492</v>
      </c>
      <c r="C1600" s="46" t="s">
        <v>169</v>
      </c>
      <c r="D1600" s="46" t="s">
        <v>17</v>
      </c>
      <c r="E1600" s="46" t="s">
        <v>14</v>
      </c>
      <c r="F1600" s="48">
        <v>113.5</v>
      </c>
    </row>
    <row r="1601">
      <c r="A1601" s="46" t="s">
        <v>169</v>
      </c>
      <c r="B1601" s="46" t="s">
        <v>7494</v>
      </c>
      <c r="C1601" s="46" t="s">
        <v>2793</v>
      </c>
      <c r="D1601" s="46" t="s">
        <v>17</v>
      </c>
      <c r="E1601" s="46" t="s">
        <v>14</v>
      </c>
      <c r="F1601" s="48">
        <v>111.2</v>
      </c>
    </row>
    <row r="1602">
      <c r="A1602" s="46" t="s">
        <v>169</v>
      </c>
      <c r="B1602" s="46" t="s">
        <v>7496</v>
      </c>
      <c r="C1602" s="46" t="s">
        <v>169</v>
      </c>
      <c r="D1602" s="46" t="s">
        <v>17</v>
      </c>
      <c r="E1602" s="46" t="s">
        <v>13</v>
      </c>
      <c r="F1602" s="48">
        <v>106.8</v>
      </c>
    </row>
    <row r="1603">
      <c r="A1603" s="46" t="s">
        <v>169</v>
      </c>
      <c r="B1603" s="46" t="s">
        <v>7500</v>
      </c>
      <c r="C1603" s="46" t="s">
        <v>169</v>
      </c>
      <c r="D1603" s="46" t="s">
        <v>18</v>
      </c>
      <c r="E1603" s="46" t="s">
        <v>15</v>
      </c>
      <c r="F1603" s="48">
        <v>123.6</v>
      </c>
    </row>
    <row r="1604">
      <c r="A1604" s="46" t="s">
        <v>169</v>
      </c>
      <c r="B1604" s="46" t="s">
        <v>7508</v>
      </c>
      <c r="C1604" s="46" t="s">
        <v>4587</v>
      </c>
      <c r="D1604" s="46" t="s">
        <v>18</v>
      </c>
      <c r="E1604" s="46" t="s">
        <v>14</v>
      </c>
      <c r="F1604" s="48">
        <v>113.2</v>
      </c>
    </row>
    <row r="1605">
      <c r="A1605" s="46" t="s">
        <v>779</v>
      </c>
      <c r="B1605" s="46" t="s">
        <v>7510</v>
      </c>
      <c r="C1605" s="46" t="s">
        <v>2808</v>
      </c>
      <c r="D1605" s="46" t="s">
        <v>18</v>
      </c>
      <c r="E1605" s="46" t="s">
        <v>15</v>
      </c>
      <c r="F1605" s="48">
        <v>114.3</v>
      </c>
    </row>
    <row r="1606">
      <c r="A1606" s="46" t="s">
        <v>930</v>
      </c>
      <c r="B1606" s="46" t="s">
        <v>7516</v>
      </c>
      <c r="C1606" s="46" t="s">
        <v>937</v>
      </c>
      <c r="D1606" s="46" t="s">
        <v>18</v>
      </c>
      <c r="E1606" s="46" t="s">
        <v>15</v>
      </c>
      <c r="F1606" s="48">
        <v>117.5</v>
      </c>
    </row>
    <row r="1607">
      <c r="A1607" s="46" t="s">
        <v>930</v>
      </c>
      <c r="B1607" s="46" t="s">
        <v>7518</v>
      </c>
      <c r="C1607" s="46" t="s">
        <v>7519</v>
      </c>
      <c r="D1607" s="46" t="s">
        <v>18</v>
      </c>
      <c r="E1607" s="46" t="s">
        <v>15</v>
      </c>
      <c r="F1607" s="48">
        <v>112.6</v>
      </c>
    </row>
    <row r="1608">
      <c r="A1608" s="46" t="s">
        <v>930</v>
      </c>
      <c r="B1608" s="46" t="s">
        <v>7521</v>
      </c>
      <c r="C1608" s="46" t="s">
        <v>954</v>
      </c>
      <c r="D1608" s="46" t="s">
        <v>18</v>
      </c>
      <c r="E1608" s="46" t="s">
        <v>15</v>
      </c>
      <c r="F1608" s="48">
        <v>105.0</v>
      </c>
    </row>
    <row r="1609">
      <c r="A1609" s="46" t="s">
        <v>930</v>
      </c>
      <c r="B1609" s="46" t="s">
        <v>7528</v>
      </c>
      <c r="C1609" s="46" t="s">
        <v>7529</v>
      </c>
      <c r="D1609" s="46" t="s">
        <v>18</v>
      </c>
      <c r="E1609" s="46" t="s">
        <v>14</v>
      </c>
      <c r="F1609" s="48">
        <v>110.8</v>
      </c>
    </row>
    <row r="1610">
      <c r="A1610" s="46" t="s">
        <v>930</v>
      </c>
      <c r="B1610" s="46" t="s">
        <v>5004</v>
      </c>
      <c r="C1610" s="46" t="s">
        <v>937</v>
      </c>
      <c r="D1610" s="46" t="s">
        <v>17</v>
      </c>
      <c r="E1610" s="46" t="s">
        <v>15</v>
      </c>
      <c r="F1610" s="48">
        <v>104.0</v>
      </c>
    </row>
    <row r="1611">
      <c r="A1611" s="46" t="s">
        <v>354</v>
      </c>
      <c r="B1611" s="46" t="s">
        <v>4081</v>
      </c>
      <c r="C1611" s="46" t="s">
        <v>978</v>
      </c>
      <c r="D1611" s="46" t="s">
        <v>17</v>
      </c>
      <c r="E1611" s="46" t="s">
        <v>15</v>
      </c>
      <c r="F1611" s="48">
        <v>124.2</v>
      </c>
    </row>
    <row r="1612">
      <c r="A1612" s="46" t="s">
        <v>930</v>
      </c>
      <c r="B1612" s="46" t="s">
        <v>7543</v>
      </c>
      <c r="C1612" s="46" t="s">
        <v>989</v>
      </c>
      <c r="D1612" s="46" t="s">
        <v>18</v>
      </c>
      <c r="E1612" s="46" t="s">
        <v>15</v>
      </c>
      <c r="F1612" s="48">
        <v>125.8</v>
      </c>
    </row>
    <row r="1613">
      <c r="A1613" s="46" t="s">
        <v>930</v>
      </c>
      <c r="B1613" s="46" t="s">
        <v>7549</v>
      </c>
      <c r="C1613" s="46" t="s">
        <v>2879</v>
      </c>
      <c r="D1613" s="46" t="s">
        <v>17</v>
      </c>
      <c r="E1613" s="46" t="s">
        <v>15</v>
      </c>
      <c r="F1613" s="48">
        <v>126.7</v>
      </c>
    </row>
    <row r="1614">
      <c r="A1614" s="46" t="s">
        <v>930</v>
      </c>
      <c r="B1614" s="46" t="s">
        <v>7551</v>
      </c>
      <c r="C1614" s="46" t="s">
        <v>995</v>
      </c>
      <c r="D1614" s="46" t="s">
        <v>17</v>
      </c>
      <c r="E1614" s="46" t="s">
        <v>15</v>
      </c>
      <c r="F1614" s="48">
        <v>133.4</v>
      </c>
    </row>
    <row r="1615">
      <c r="A1615" s="46" t="s">
        <v>930</v>
      </c>
      <c r="B1615" s="46" t="s">
        <v>936</v>
      </c>
      <c r="C1615" s="46" t="s">
        <v>989</v>
      </c>
      <c r="D1615" s="46" t="s">
        <v>18</v>
      </c>
      <c r="E1615" s="46" t="s">
        <v>15</v>
      </c>
      <c r="F1615" s="48">
        <v>112.5</v>
      </c>
    </row>
    <row r="1616">
      <c r="A1616" s="46" t="s">
        <v>930</v>
      </c>
      <c r="B1616" s="46" t="s">
        <v>6739</v>
      </c>
      <c r="C1616" s="46" t="s">
        <v>995</v>
      </c>
      <c r="D1616" s="46" t="s">
        <v>17</v>
      </c>
      <c r="E1616" s="46" t="s">
        <v>13</v>
      </c>
      <c r="F1616" s="48">
        <v>106.9</v>
      </c>
    </row>
    <row r="1617">
      <c r="A1617" s="46" t="s">
        <v>930</v>
      </c>
      <c r="B1617" s="46" t="s">
        <v>7568</v>
      </c>
      <c r="C1617" s="46" t="s">
        <v>989</v>
      </c>
      <c r="D1617" s="46" t="s">
        <v>18</v>
      </c>
      <c r="E1617" s="46" t="s">
        <v>15</v>
      </c>
      <c r="F1617" s="48">
        <v>114.4</v>
      </c>
    </row>
    <row r="1618">
      <c r="A1618" s="46" t="s">
        <v>333</v>
      </c>
      <c r="B1618" s="46" t="s">
        <v>7570</v>
      </c>
      <c r="C1618" s="46" t="s">
        <v>2900</v>
      </c>
      <c r="D1618" s="46" t="s">
        <v>18</v>
      </c>
      <c r="E1618" s="46" t="s">
        <v>15</v>
      </c>
      <c r="F1618" s="48">
        <v>114.7</v>
      </c>
    </row>
    <row r="1619">
      <c r="A1619" s="46" t="s">
        <v>46</v>
      </c>
      <c r="B1619" s="46" t="s">
        <v>7577</v>
      </c>
      <c r="C1619" s="46" t="s">
        <v>1039</v>
      </c>
      <c r="D1619" s="46" t="s">
        <v>18</v>
      </c>
      <c r="E1619" s="46" t="s">
        <v>15</v>
      </c>
      <c r="F1619" s="48">
        <v>108.7</v>
      </c>
    </row>
    <row r="1620">
      <c r="A1620" s="46" t="s">
        <v>46</v>
      </c>
      <c r="B1620" s="46" t="s">
        <v>7594</v>
      </c>
      <c r="C1620" s="46" t="s">
        <v>1030</v>
      </c>
      <c r="D1620" s="46" t="s">
        <v>17</v>
      </c>
      <c r="E1620" s="46" t="s">
        <v>15</v>
      </c>
      <c r="F1620" s="48">
        <v>133.2</v>
      </c>
    </row>
    <row r="1621">
      <c r="A1621" s="46" t="s">
        <v>46</v>
      </c>
      <c r="B1621" s="46" t="s">
        <v>473</v>
      </c>
      <c r="C1621" s="46" t="s">
        <v>2906</v>
      </c>
      <c r="D1621" s="46" t="s">
        <v>17</v>
      </c>
      <c r="E1621" s="46" t="s">
        <v>15</v>
      </c>
      <c r="F1621" s="48">
        <v>109.9</v>
      </c>
    </row>
    <row r="1622">
      <c r="A1622" s="46" t="s">
        <v>46</v>
      </c>
      <c r="B1622" s="46" t="s">
        <v>6064</v>
      </c>
      <c r="C1622" s="46" t="s">
        <v>7607</v>
      </c>
      <c r="D1622" s="46" t="s">
        <v>17</v>
      </c>
      <c r="E1622" s="46" t="s">
        <v>15</v>
      </c>
      <c r="F1622" s="48">
        <v>116.9</v>
      </c>
    </row>
    <row r="1623">
      <c r="A1623" s="46" t="s">
        <v>46</v>
      </c>
      <c r="B1623" s="46" t="s">
        <v>7617</v>
      </c>
      <c r="C1623" s="46" t="s">
        <v>1123</v>
      </c>
      <c r="D1623" s="46" t="s">
        <v>18</v>
      </c>
      <c r="E1623" s="46" t="s">
        <v>14</v>
      </c>
      <c r="F1623" s="48">
        <v>130.8</v>
      </c>
    </row>
    <row r="1624">
      <c r="A1624" s="46" t="s">
        <v>88</v>
      </c>
      <c r="B1624" s="46" t="s">
        <v>7621</v>
      </c>
      <c r="C1624" s="46" t="s">
        <v>6214</v>
      </c>
      <c r="D1624" s="46" t="s">
        <v>18</v>
      </c>
      <c r="E1624" s="46" t="s">
        <v>15</v>
      </c>
      <c r="F1624" s="48">
        <v>104.5</v>
      </c>
    </row>
    <row r="1625">
      <c r="A1625" s="46" t="s">
        <v>88</v>
      </c>
      <c r="B1625" s="46" t="s">
        <v>7623</v>
      </c>
      <c r="C1625" s="46" t="s">
        <v>2986</v>
      </c>
      <c r="D1625" s="46" t="s">
        <v>17</v>
      </c>
      <c r="E1625" s="46" t="s">
        <v>15</v>
      </c>
      <c r="F1625" s="48">
        <v>139.2</v>
      </c>
    </row>
    <row r="1626">
      <c r="A1626" s="46" t="s">
        <v>88</v>
      </c>
      <c r="B1626" s="46" t="s">
        <v>4395</v>
      </c>
      <c r="C1626" s="46" t="s">
        <v>1144</v>
      </c>
      <c r="D1626" s="46" t="s">
        <v>18</v>
      </c>
      <c r="E1626" s="46" t="s">
        <v>15</v>
      </c>
      <c r="F1626" s="48">
        <v>110.7</v>
      </c>
    </row>
    <row r="1627">
      <c r="A1627" s="46" t="s">
        <v>269</v>
      </c>
      <c r="B1627" s="46" t="s">
        <v>7641</v>
      </c>
      <c r="C1627" s="46" t="s">
        <v>6223</v>
      </c>
      <c r="D1627" s="46" t="s">
        <v>17</v>
      </c>
      <c r="E1627" s="46" t="s">
        <v>14</v>
      </c>
      <c r="F1627" s="48">
        <v>113.4</v>
      </c>
    </row>
    <row r="1628">
      <c r="A1628" s="46" t="s">
        <v>46</v>
      </c>
      <c r="B1628" s="46" t="s">
        <v>7654</v>
      </c>
      <c r="C1628" s="46" t="s">
        <v>1180</v>
      </c>
      <c r="D1628" s="46" t="s">
        <v>18</v>
      </c>
      <c r="E1628" s="46" t="s">
        <v>15</v>
      </c>
      <c r="F1628" s="48">
        <v>106.6</v>
      </c>
    </row>
    <row r="1629">
      <c r="A1629" s="46" t="s">
        <v>46</v>
      </c>
      <c r="B1629" s="46" t="s">
        <v>7658</v>
      </c>
      <c r="C1629" s="46" t="s">
        <v>3022</v>
      </c>
      <c r="D1629" s="46" t="s">
        <v>17</v>
      </c>
      <c r="E1629" s="46" t="s">
        <v>15</v>
      </c>
      <c r="F1629" s="48">
        <v>129.0</v>
      </c>
    </row>
    <row r="1630">
      <c r="A1630" s="46" t="s">
        <v>46</v>
      </c>
      <c r="B1630" s="46" t="s">
        <v>7660</v>
      </c>
      <c r="C1630" s="46" t="s">
        <v>3067</v>
      </c>
      <c r="D1630" s="46" t="s">
        <v>17</v>
      </c>
      <c r="E1630" s="46" t="s">
        <v>15</v>
      </c>
      <c r="F1630" s="48">
        <v>133.2</v>
      </c>
    </row>
    <row r="1631">
      <c r="A1631" s="46" t="s">
        <v>46</v>
      </c>
      <c r="B1631" s="46" t="s">
        <v>7662</v>
      </c>
      <c r="C1631" s="46" t="s">
        <v>1177</v>
      </c>
      <c r="D1631" s="46" t="s">
        <v>17</v>
      </c>
      <c r="E1631" s="46" t="s">
        <v>14</v>
      </c>
      <c r="F1631" s="48">
        <v>110.8</v>
      </c>
    </row>
    <row r="1632">
      <c r="A1632" s="46" t="s">
        <v>46</v>
      </c>
      <c r="B1632" s="46" t="s">
        <v>7667</v>
      </c>
      <c r="C1632" s="46" t="s">
        <v>1186</v>
      </c>
      <c r="D1632" s="46" t="s">
        <v>18</v>
      </c>
      <c r="E1632" s="46" t="s">
        <v>15</v>
      </c>
      <c r="F1632" s="48">
        <v>111.6</v>
      </c>
    </row>
    <row r="1633">
      <c r="A1633" s="46" t="s">
        <v>116</v>
      </c>
      <c r="B1633" s="46" t="s">
        <v>1089</v>
      </c>
      <c r="C1633" s="46" t="s">
        <v>1202</v>
      </c>
      <c r="D1633" s="46" t="s">
        <v>17</v>
      </c>
      <c r="E1633" s="46" t="s">
        <v>15</v>
      </c>
      <c r="F1633" s="48">
        <v>131.1</v>
      </c>
    </row>
    <row r="1634">
      <c r="A1634" s="46" t="s">
        <v>116</v>
      </c>
      <c r="B1634" s="46" t="s">
        <v>2569</v>
      </c>
      <c r="C1634" s="46" t="s">
        <v>7679</v>
      </c>
      <c r="D1634" s="46" t="s">
        <v>18</v>
      </c>
      <c r="E1634" s="46" t="s">
        <v>15</v>
      </c>
      <c r="F1634" s="48">
        <v>124.0</v>
      </c>
    </row>
    <row r="1635">
      <c r="A1635" s="46" t="s">
        <v>116</v>
      </c>
      <c r="B1635" s="46" t="s">
        <v>7681</v>
      </c>
      <c r="C1635" s="46" t="s">
        <v>1202</v>
      </c>
      <c r="D1635" s="46" t="s">
        <v>18</v>
      </c>
      <c r="E1635" s="46" t="s">
        <v>14</v>
      </c>
      <c r="F1635" s="48">
        <v>104.3</v>
      </c>
    </row>
    <row r="1636">
      <c r="A1636" s="46" t="s">
        <v>377</v>
      </c>
      <c r="B1636" s="46" t="s">
        <v>7683</v>
      </c>
      <c r="C1636" s="46" t="s">
        <v>1235</v>
      </c>
      <c r="D1636" s="46" t="s">
        <v>18</v>
      </c>
      <c r="E1636" s="46" t="s">
        <v>15</v>
      </c>
      <c r="F1636" s="48">
        <v>107.1</v>
      </c>
    </row>
    <row r="1637">
      <c r="A1637" s="46" t="s">
        <v>377</v>
      </c>
      <c r="B1637" s="46" t="s">
        <v>7685</v>
      </c>
      <c r="C1637" s="46" t="s">
        <v>1222</v>
      </c>
      <c r="D1637" s="46" t="s">
        <v>18</v>
      </c>
      <c r="E1637" s="46" t="s">
        <v>15</v>
      </c>
      <c r="F1637" s="48">
        <v>114.0</v>
      </c>
    </row>
    <row r="1638">
      <c r="A1638" s="46" t="s">
        <v>377</v>
      </c>
      <c r="B1638" s="46" t="s">
        <v>1433</v>
      </c>
      <c r="C1638" s="46" t="s">
        <v>3103</v>
      </c>
      <c r="D1638" s="46" t="s">
        <v>17</v>
      </c>
      <c r="E1638" s="46" t="s">
        <v>15</v>
      </c>
      <c r="F1638" s="48">
        <v>117.2</v>
      </c>
    </row>
    <row r="1639">
      <c r="A1639" s="46" t="s">
        <v>377</v>
      </c>
      <c r="B1639" s="46" t="s">
        <v>7688</v>
      </c>
      <c r="C1639" s="46" t="s">
        <v>1228</v>
      </c>
      <c r="D1639" s="46" t="s">
        <v>17</v>
      </c>
      <c r="E1639" s="46" t="s">
        <v>15</v>
      </c>
      <c r="F1639" s="48">
        <v>120.5</v>
      </c>
    </row>
    <row r="1640">
      <c r="A1640" s="46" t="s">
        <v>377</v>
      </c>
      <c r="B1640" s="46" t="s">
        <v>7692</v>
      </c>
      <c r="C1640" s="46" t="s">
        <v>7693</v>
      </c>
      <c r="D1640" s="46" t="s">
        <v>18</v>
      </c>
      <c r="E1640" s="46" t="s">
        <v>15</v>
      </c>
      <c r="F1640" s="48">
        <v>112.0</v>
      </c>
    </row>
    <row r="1641">
      <c r="A1641" s="46" t="s">
        <v>377</v>
      </c>
      <c r="B1641" s="46" t="s">
        <v>2741</v>
      </c>
      <c r="C1641" s="46" t="s">
        <v>7695</v>
      </c>
      <c r="D1641" s="46" t="s">
        <v>18</v>
      </c>
      <c r="E1641" s="46" t="s">
        <v>15</v>
      </c>
      <c r="F1641" s="48">
        <v>124.0</v>
      </c>
    </row>
    <row r="1642">
      <c r="A1642" s="46" t="s">
        <v>182</v>
      </c>
      <c r="B1642" s="46" t="s">
        <v>7697</v>
      </c>
      <c r="C1642" s="46" t="s">
        <v>7698</v>
      </c>
      <c r="D1642" s="46" t="s">
        <v>18</v>
      </c>
      <c r="E1642" s="46" t="s">
        <v>15</v>
      </c>
      <c r="F1642" s="48">
        <v>117.0</v>
      </c>
    </row>
    <row r="1643">
      <c r="A1643" s="46" t="s">
        <v>182</v>
      </c>
      <c r="B1643" s="46" t="s">
        <v>7700</v>
      </c>
      <c r="C1643" s="46" t="s">
        <v>7701</v>
      </c>
      <c r="D1643" s="46" t="s">
        <v>18</v>
      </c>
      <c r="E1643" s="46" t="s">
        <v>14</v>
      </c>
      <c r="F1643" s="48">
        <v>107.7</v>
      </c>
    </row>
    <row r="1644">
      <c r="A1644" s="46" t="s">
        <v>483</v>
      </c>
      <c r="B1644" s="46" t="s">
        <v>7705</v>
      </c>
      <c r="C1644" s="46" t="s">
        <v>1258</v>
      </c>
      <c r="D1644" s="46" t="s">
        <v>18</v>
      </c>
      <c r="E1644" s="46" t="s">
        <v>15</v>
      </c>
      <c r="F1644" s="48">
        <v>108.4</v>
      </c>
    </row>
    <row r="1645">
      <c r="A1645" s="46" t="s">
        <v>1259</v>
      </c>
      <c r="B1645" s="46" t="s">
        <v>7714</v>
      </c>
      <c r="C1645" s="46" t="s">
        <v>7715</v>
      </c>
      <c r="D1645" s="46" t="s">
        <v>18</v>
      </c>
      <c r="E1645" s="46" t="s">
        <v>15</v>
      </c>
      <c r="F1645" s="48">
        <v>117.3</v>
      </c>
    </row>
    <row r="1646">
      <c r="A1646" s="46" t="s">
        <v>1259</v>
      </c>
      <c r="B1646" s="46" t="s">
        <v>988</v>
      </c>
      <c r="C1646" s="46" t="s">
        <v>3148</v>
      </c>
      <c r="D1646" s="46" t="s">
        <v>18</v>
      </c>
      <c r="E1646" s="46" t="s">
        <v>15</v>
      </c>
      <c r="F1646" s="48">
        <v>115.2</v>
      </c>
    </row>
    <row r="1647">
      <c r="A1647" s="46" t="s">
        <v>1259</v>
      </c>
      <c r="B1647" s="46" t="s">
        <v>7720</v>
      </c>
      <c r="C1647" s="46" t="s">
        <v>1259</v>
      </c>
      <c r="D1647" s="46" t="s">
        <v>17</v>
      </c>
      <c r="E1647" s="46" t="s">
        <v>15</v>
      </c>
      <c r="F1647" s="48">
        <v>133.8</v>
      </c>
    </row>
    <row r="1648">
      <c r="A1648" s="46" t="s">
        <v>1259</v>
      </c>
      <c r="B1648" s="46" t="s">
        <v>4595</v>
      </c>
      <c r="C1648" s="46" t="s">
        <v>7728</v>
      </c>
      <c r="D1648" s="46" t="s">
        <v>17</v>
      </c>
      <c r="E1648" s="46" t="s">
        <v>15</v>
      </c>
      <c r="F1648" s="48">
        <v>134.8</v>
      </c>
    </row>
    <row r="1649">
      <c r="A1649" s="46" t="s">
        <v>1259</v>
      </c>
      <c r="B1649" s="46" t="s">
        <v>7730</v>
      </c>
      <c r="C1649" s="46" t="s">
        <v>7731</v>
      </c>
      <c r="D1649" s="46" t="s">
        <v>17</v>
      </c>
      <c r="E1649" s="46" t="s">
        <v>15</v>
      </c>
      <c r="F1649" s="48">
        <v>137.6</v>
      </c>
    </row>
    <row r="1650">
      <c r="A1650" s="46" t="s">
        <v>1259</v>
      </c>
      <c r="B1650" s="46" t="s">
        <v>7736</v>
      </c>
      <c r="C1650" s="46" t="s">
        <v>7734</v>
      </c>
      <c r="D1650" s="46" t="s">
        <v>17</v>
      </c>
      <c r="E1650" s="46" t="s">
        <v>15</v>
      </c>
      <c r="F1650" s="48">
        <v>105.2</v>
      </c>
    </row>
    <row r="1651">
      <c r="A1651" s="46" t="s">
        <v>1259</v>
      </c>
      <c r="B1651" s="46" t="s">
        <v>7738</v>
      </c>
      <c r="C1651" s="46" t="s">
        <v>7739</v>
      </c>
      <c r="D1651" s="46" t="s">
        <v>17</v>
      </c>
      <c r="E1651" s="46" t="s">
        <v>15</v>
      </c>
      <c r="F1651" s="48">
        <v>120.7</v>
      </c>
    </row>
    <row r="1652">
      <c r="A1652" s="46" t="s">
        <v>71</v>
      </c>
      <c r="B1652" s="46" t="s">
        <v>7743</v>
      </c>
      <c r="C1652" s="46" t="s">
        <v>1350</v>
      </c>
      <c r="D1652" s="46" t="s">
        <v>18</v>
      </c>
      <c r="E1652" s="46" t="s">
        <v>15</v>
      </c>
      <c r="F1652" s="48">
        <v>113.5</v>
      </c>
    </row>
    <row r="1653">
      <c r="A1653" s="46" t="s">
        <v>71</v>
      </c>
      <c r="B1653" s="46" t="s">
        <v>7745</v>
      </c>
      <c r="C1653" s="46" t="s">
        <v>3181</v>
      </c>
      <c r="D1653" s="46" t="s">
        <v>18</v>
      </c>
      <c r="E1653" s="46" t="s">
        <v>15</v>
      </c>
      <c r="F1653" s="48">
        <v>136.8</v>
      </c>
    </row>
    <row r="1654">
      <c r="A1654" s="46" t="s">
        <v>71</v>
      </c>
      <c r="B1654" s="46" t="s">
        <v>7747</v>
      </c>
      <c r="C1654" s="46" t="s">
        <v>1334</v>
      </c>
      <c r="D1654" s="46" t="s">
        <v>18</v>
      </c>
      <c r="E1654" s="46" t="s">
        <v>15</v>
      </c>
      <c r="F1654" s="48">
        <v>114.7</v>
      </c>
    </row>
    <row r="1655">
      <c r="A1655" s="46" t="s">
        <v>71</v>
      </c>
      <c r="B1655" s="46" t="s">
        <v>6158</v>
      </c>
      <c r="C1655" s="46" t="s">
        <v>1331</v>
      </c>
      <c r="D1655" s="46" t="s">
        <v>18</v>
      </c>
      <c r="E1655" s="46" t="s">
        <v>15</v>
      </c>
      <c r="F1655" s="48">
        <v>121.5</v>
      </c>
    </row>
    <row r="1656">
      <c r="A1656" s="46" t="s">
        <v>71</v>
      </c>
      <c r="B1656" s="46" t="s">
        <v>5004</v>
      </c>
      <c r="C1656" s="46" t="s">
        <v>4858</v>
      </c>
      <c r="D1656" s="46" t="s">
        <v>17</v>
      </c>
      <c r="E1656" s="46" t="s">
        <v>15</v>
      </c>
      <c r="F1656" s="48">
        <v>134.1</v>
      </c>
    </row>
    <row r="1657">
      <c r="A1657" s="46" t="s">
        <v>71</v>
      </c>
      <c r="B1657" s="46" t="s">
        <v>7763</v>
      </c>
      <c r="C1657" s="46" t="s">
        <v>1340</v>
      </c>
      <c r="D1657" s="46" t="s">
        <v>17</v>
      </c>
      <c r="E1657" s="46" t="s">
        <v>15</v>
      </c>
      <c r="F1657" s="48">
        <v>135.0</v>
      </c>
    </row>
    <row r="1658">
      <c r="A1658" s="46" t="s">
        <v>71</v>
      </c>
      <c r="B1658" s="46" t="s">
        <v>7765</v>
      </c>
      <c r="C1658" s="46" t="s">
        <v>3181</v>
      </c>
      <c r="D1658" s="46" t="s">
        <v>17</v>
      </c>
      <c r="E1658" s="46" t="s">
        <v>15</v>
      </c>
      <c r="F1658" s="48">
        <v>117.9</v>
      </c>
    </row>
    <row r="1659">
      <c r="A1659" s="46" t="s">
        <v>71</v>
      </c>
      <c r="B1659" s="46" t="s">
        <v>7767</v>
      </c>
      <c r="C1659" s="46" t="s">
        <v>3181</v>
      </c>
      <c r="D1659" s="46" t="s">
        <v>17</v>
      </c>
      <c r="E1659" s="46" t="s">
        <v>15</v>
      </c>
      <c r="F1659" s="48">
        <v>127.6</v>
      </c>
    </row>
    <row r="1660">
      <c r="A1660" s="46" t="s">
        <v>71</v>
      </c>
      <c r="B1660" s="46" t="s">
        <v>555</v>
      </c>
      <c r="C1660" s="46" t="s">
        <v>7769</v>
      </c>
      <c r="D1660" s="46" t="s">
        <v>17</v>
      </c>
      <c r="E1660" s="46" t="s">
        <v>15</v>
      </c>
      <c r="F1660" s="48">
        <v>147.3</v>
      </c>
    </row>
    <row r="1661">
      <c r="A1661" s="46" t="s">
        <v>71</v>
      </c>
      <c r="B1661" s="46" t="s">
        <v>7771</v>
      </c>
      <c r="C1661" s="46" t="s">
        <v>1334</v>
      </c>
      <c r="D1661" s="46" t="s">
        <v>17</v>
      </c>
      <c r="E1661" s="46" t="s">
        <v>15</v>
      </c>
      <c r="F1661" s="48">
        <v>128.5</v>
      </c>
    </row>
    <row r="1662">
      <c r="A1662" s="46" t="s">
        <v>71</v>
      </c>
      <c r="B1662" s="46" t="s">
        <v>7773</v>
      </c>
      <c r="C1662" s="46" t="s">
        <v>3181</v>
      </c>
      <c r="D1662" s="46" t="s">
        <v>17</v>
      </c>
      <c r="E1662" s="46" t="s">
        <v>15</v>
      </c>
      <c r="F1662" s="48">
        <v>109.6</v>
      </c>
    </row>
    <row r="1663">
      <c r="A1663" s="46" t="s">
        <v>71</v>
      </c>
      <c r="B1663" s="46" t="s">
        <v>7777</v>
      </c>
      <c r="C1663" s="46" t="s">
        <v>1334</v>
      </c>
      <c r="D1663" s="46" t="s">
        <v>17</v>
      </c>
      <c r="E1663" s="46" t="s">
        <v>13</v>
      </c>
      <c r="F1663" s="48">
        <v>106.7</v>
      </c>
    </row>
    <row r="1664">
      <c r="A1664" s="46" t="s">
        <v>71</v>
      </c>
      <c r="B1664" s="46" t="s">
        <v>7779</v>
      </c>
      <c r="C1664" s="46" t="s">
        <v>3214</v>
      </c>
      <c r="D1664" s="46" t="s">
        <v>17</v>
      </c>
      <c r="E1664" s="46" t="s">
        <v>13</v>
      </c>
      <c r="F1664" s="48">
        <v>106.3</v>
      </c>
    </row>
    <row r="1665">
      <c r="A1665" s="46" t="s">
        <v>71</v>
      </c>
      <c r="B1665" s="46" t="s">
        <v>7783</v>
      </c>
      <c r="C1665" s="46" t="s">
        <v>3178</v>
      </c>
      <c r="D1665" s="46" t="s">
        <v>18</v>
      </c>
      <c r="E1665" s="46" t="s">
        <v>15</v>
      </c>
      <c r="F1665" s="48">
        <v>116.6</v>
      </c>
    </row>
    <row r="1666">
      <c r="A1666" s="46" t="s">
        <v>71</v>
      </c>
      <c r="B1666" s="46" t="s">
        <v>1863</v>
      </c>
      <c r="C1666" s="46" t="s">
        <v>1328</v>
      </c>
      <c r="D1666" s="46" t="s">
        <v>17</v>
      </c>
      <c r="E1666" s="46" t="s">
        <v>13</v>
      </c>
      <c r="F1666" s="48">
        <v>107.2</v>
      </c>
    </row>
    <row r="1667">
      <c r="A1667" s="46" t="s">
        <v>71</v>
      </c>
      <c r="B1667" s="46" t="s">
        <v>7789</v>
      </c>
      <c r="C1667" s="46" t="s">
        <v>7790</v>
      </c>
      <c r="D1667" s="46" t="s">
        <v>18</v>
      </c>
      <c r="E1667" s="46" t="s">
        <v>14</v>
      </c>
      <c r="F1667" s="48">
        <v>107.9</v>
      </c>
    </row>
    <row r="1668">
      <c r="A1668" s="46" t="s">
        <v>71</v>
      </c>
      <c r="B1668" s="46" t="s">
        <v>7792</v>
      </c>
      <c r="C1668" s="46" t="s">
        <v>1337</v>
      </c>
      <c r="D1668" s="46" t="s">
        <v>17</v>
      </c>
      <c r="E1668" s="46" t="s">
        <v>15</v>
      </c>
      <c r="F1668" s="48">
        <v>113.0</v>
      </c>
    </row>
    <row r="1669">
      <c r="A1669" s="46" t="s">
        <v>71</v>
      </c>
      <c r="B1669" s="46" t="s">
        <v>7794</v>
      </c>
      <c r="C1669" s="46" t="s">
        <v>3205</v>
      </c>
      <c r="D1669" s="46" t="s">
        <v>18</v>
      </c>
      <c r="E1669" s="46" t="s">
        <v>15</v>
      </c>
      <c r="F1669" s="48">
        <v>131.1</v>
      </c>
    </row>
    <row r="1670">
      <c r="A1670" s="46" t="s">
        <v>71</v>
      </c>
      <c r="B1670" s="46" t="s">
        <v>7796</v>
      </c>
      <c r="C1670" s="46" t="s">
        <v>7797</v>
      </c>
      <c r="D1670" s="46" t="s">
        <v>18</v>
      </c>
      <c r="E1670" s="46" t="s">
        <v>15</v>
      </c>
      <c r="F1670" s="48">
        <v>133.0</v>
      </c>
    </row>
    <row r="1671">
      <c r="A1671" s="46" t="s">
        <v>393</v>
      </c>
      <c r="B1671" s="46" t="s">
        <v>7799</v>
      </c>
      <c r="C1671" s="46" t="s">
        <v>3238</v>
      </c>
      <c r="D1671" s="46" t="s">
        <v>18</v>
      </c>
      <c r="E1671" s="46" t="s">
        <v>14</v>
      </c>
      <c r="F1671" s="48">
        <v>107.7</v>
      </c>
    </row>
    <row r="1672">
      <c r="A1672" s="46" t="s">
        <v>393</v>
      </c>
      <c r="B1672" s="46" t="s">
        <v>7801</v>
      </c>
      <c r="C1672" s="46" t="s">
        <v>7802</v>
      </c>
      <c r="D1672" s="46" t="s">
        <v>18</v>
      </c>
      <c r="E1672" s="46" t="s">
        <v>14</v>
      </c>
      <c r="F1672" s="48">
        <v>106.6</v>
      </c>
    </row>
    <row r="1673">
      <c r="A1673" s="46" t="s">
        <v>393</v>
      </c>
      <c r="B1673" s="46" t="s">
        <v>7806</v>
      </c>
      <c r="C1673" s="46" t="s">
        <v>7807</v>
      </c>
      <c r="D1673" s="46" t="s">
        <v>18</v>
      </c>
      <c r="E1673" s="46" t="s">
        <v>14</v>
      </c>
      <c r="F1673" s="48">
        <v>114.2</v>
      </c>
    </row>
    <row r="1674">
      <c r="A1674" s="46" t="s">
        <v>333</v>
      </c>
      <c r="B1674" s="46" t="s">
        <v>7810</v>
      </c>
      <c r="C1674" s="46" t="s">
        <v>7811</v>
      </c>
      <c r="D1674" s="46" t="s">
        <v>18</v>
      </c>
      <c r="E1674" s="46" t="s">
        <v>15</v>
      </c>
      <c r="F1674" s="48">
        <v>106.4</v>
      </c>
    </row>
    <row r="1675">
      <c r="A1675" s="46" t="s">
        <v>161</v>
      </c>
      <c r="B1675" s="46" t="s">
        <v>7828</v>
      </c>
      <c r="C1675" s="46" t="s">
        <v>1410</v>
      </c>
      <c r="D1675" s="46" t="s">
        <v>18</v>
      </c>
      <c r="E1675" s="46" t="s">
        <v>14</v>
      </c>
      <c r="F1675" s="48">
        <v>110.8</v>
      </c>
    </row>
    <row r="1676">
      <c r="A1676" s="46" t="s">
        <v>161</v>
      </c>
      <c r="B1676" s="46" t="s">
        <v>722</v>
      </c>
      <c r="C1676" s="46" t="s">
        <v>7830</v>
      </c>
      <c r="D1676" s="46" t="s">
        <v>18</v>
      </c>
      <c r="E1676" s="46" t="s">
        <v>15</v>
      </c>
      <c r="F1676" s="48">
        <v>122.0</v>
      </c>
    </row>
    <row r="1677">
      <c r="A1677" s="46" t="s">
        <v>161</v>
      </c>
      <c r="B1677" s="46" t="s">
        <v>7832</v>
      </c>
      <c r="C1677" s="46" t="s">
        <v>7833</v>
      </c>
      <c r="D1677" s="46" t="s">
        <v>18</v>
      </c>
      <c r="E1677" s="46" t="s">
        <v>14</v>
      </c>
      <c r="F1677" s="48">
        <v>115.1</v>
      </c>
    </row>
    <row r="1678">
      <c r="A1678" s="46" t="s">
        <v>161</v>
      </c>
      <c r="B1678" s="46" t="s">
        <v>6854</v>
      </c>
      <c r="C1678" s="46" t="s">
        <v>1440</v>
      </c>
      <c r="D1678" s="46" t="s">
        <v>17</v>
      </c>
      <c r="E1678" s="46" t="s">
        <v>15</v>
      </c>
      <c r="F1678" s="48">
        <v>139.6</v>
      </c>
    </row>
    <row r="1679">
      <c r="A1679" s="46" t="s">
        <v>161</v>
      </c>
      <c r="B1679" s="46" t="s">
        <v>80</v>
      </c>
      <c r="C1679" s="46" t="s">
        <v>1428</v>
      </c>
      <c r="D1679" s="46" t="s">
        <v>17</v>
      </c>
      <c r="E1679" s="46" t="s">
        <v>15</v>
      </c>
      <c r="F1679" s="48">
        <v>125.8</v>
      </c>
    </row>
    <row r="1680">
      <c r="A1680" s="46" t="s">
        <v>161</v>
      </c>
      <c r="B1680" s="46" t="s">
        <v>7837</v>
      </c>
      <c r="C1680" s="46" t="s">
        <v>1428</v>
      </c>
      <c r="D1680" s="46" t="s">
        <v>17</v>
      </c>
      <c r="E1680" s="46" t="s">
        <v>15</v>
      </c>
      <c r="F1680" s="48">
        <v>109.3</v>
      </c>
    </row>
    <row r="1681">
      <c r="A1681" s="46" t="s">
        <v>161</v>
      </c>
      <c r="B1681" s="46" t="s">
        <v>7839</v>
      </c>
      <c r="C1681" s="46" t="s">
        <v>1440</v>
      </c>
      <c r="D1681" s="46" t="s">
        <v>18</v>
      </c>
      <c r="E1681" s="46" t="s">
        <v>15</v>
      </c>
      <c r="F1681" s="48">
        <v>118.3</v>
      </c>
    </row>
    <row r="1682">
      <c r="A1682" s="46" t="s">
        <v>161</v>
      </c>
      <c r="B1682" s="46" t="s">
        <v>7841</v>
      </c>
      <c r="C1682" s="46" t="s">
        <v>7842</v>
      </c>
      <c r="D1682" s="46" t="s">
        <v>18</v>
      </c>
      <c r="E1682" s="46" t="s">
        <v>14</v>
      </c>
      <c r="F1682" s="48">
        <v>124.2</v>
      </c>
    </row>
    <row r="1683">
      <c r="A1683" s="46" t="s">
        <v>1441</v>
      </c>
      <c r="B1683" s="46" t="s">
        <v>7844</v>
      </c>
      <c r="C1683" s="46" t="s">
        <v>1477</v>
      </c>
      <c r="D1683" s="46" t="s">
        <v>17</v>
      </c>
      <c r="E1683" s="46" t="s">
        <v>15</v>
      </c>
      <c r="F1683" s="48">
        <v>121.6</v>
      </c>
    </row>
    <row r="1684">
      <c r="A1684" s="46" t="s">
        <v>1441</v>
      </c>
      <c r="B1684" s="46" t="s">
        <v>2763</v>
      </c>
      <c r="C1684" s="46" t="s">
        <v>1452</v>
      </c>
      <c r="D1684" s="46" t="s">
        <v>18</v>
      </c>
      <c r="E1684" s="46" t="s">
        <v>15</v>
      </c>
      <c r="F1684" s="48">
        <v>130.4</v>
      </c>
    </row>
    <row r="1685">
      <c r="A1685" s="46" t="s">
        <v>1441</v>
      </c>
      <c r="B1685" s="46" t="s">
        <v>7857</v>
      </c>
      <c r="C1685" s="46" t="s">
        <v>1498</v>
      </c>
      <c r="D1685" s="46" t="s">
        <v>18</v>
      </c>
      <c r="E1685" s="46" t="s">
        <v>15</v>
      </c>
      <c r="F1685" s="48">
        <v>120.1</v>
      </c>
    </row>
    <row r="1686">
      <c r="A1686" s="46" t="s">
        <v>1441</v>
      </c>
      <c r="B1686" s="46" t="s">
        <v>3920</v>
      </c>
      <c r="C1686" s="46" t="s">
        <v>1477</v>
      </c>
      <c r="D1686" s="46" t="s">
        <v>18</v>
      </c>
      <c r="E1686" s="46" t="s">
        <v>15</v>
      </c>
      <c r="F1686" s="48">
        <v>116.7</v>
      </c>
    </row>
    <row r="1687">
      <c r="A1687" s="46" t="s">
        <v>1441</v>
      </c>
      <c r="B1687" s="46" t="s">
        <v>7861</v>
      </c>
      <c r="C1687" s="46" t="s">
        <v>1501</v>
      </c>
      <c r="D1687" s="46" t="s">
        <v>18</v>
      </c>
      <c r="E1687" s="46" t="s">
        <v>15</v>
      </c>
      <c r="F1687" s="48">
        <v>130.9</v>
      </c>
    </row>
    <row r="1688">
      <c r="A1688" s="46" t="s">
        <v>1441</v>
      </c>
      <c r="B1688" s="46" t="s">
        <v>7863</v>
      </c>
      <c r="C1688" s="46" t="s">
        <v>1469</v>
      </c>
      <c r="D1688" s="46" t="s">
        <v>18</v>
      </c>
      <c r="E1688" s="46" t="s">
        <v>15</v>
      </c>
      <c r="F1688" s="48">
        <v>119.4</v>
      </c>
    </row>
    <row r="1689">
      <c r="A1689" s="46" t="s">
        <v>1441</v>
      </c>
      <c r="B1689" s="46" t="s">
        <v>7865</v>
      </c>
      <c r="C1689" s="46" t="s">
        <v>1469</v>
      </c>
      <c r="D1689" s="46" t="s">
        <v>18</v>
      </c>
      <c r="E1689" s="46" t="s">
        <v>14</v>
      </c>
      <c r="F1689" s="48">
        <v>108.7</v>
      </c>
    </row>
    <row r="1690">
      <c r="A1690" s="46" t="s">
        <v>1441</v>
      </c>
      <c r="B1690" s="46" t="s">
        <v>7867</v>
      </c>
      <c r="C1690" s="46" t="s">
        <v>1488</v>
      </c>
      <c r="D1690" s="46" t="s">
        <v>18</v>
      </c>
      <c r="E1690" s="46" t="s">
        <v>15</v>
      </c>
      <c r="F1690" s="48">
        <v>120.1</v>
      </c>
    </row>
    <row r="1691">
      <c r="A1691" s="46" t="s">
        <v>1441</v>
      </c>
      <c r="B1691" s="46" t="s">
        <v>7869</v>
      </c>
      <c r="C1691" s="46" t="s">
        <v>1501</v>
      </c>
      <c r="D1691" s="46" t="s">
        <v>18</v>
      </c>
      <c r="E1691" s="46" t="s">
        <v>13</v>
      </c>
      <c r="F1691" s="48">
        <v>113.4</v>
      </c>
    </row>
    <row r="1692">
      <c r="A1692" s="46" t="s">
        <v>1441</v>
      </c>
      <c r="B1692" s="46" t="s">
        <v>7877</v>
      </c>
      <c r="C1692" s="46" t="s">
        <v>1449</v>
      </c>
      <c r="D1692" s="46" t="s">
        <v>17</v>
      </c>
      <c r="E1692" s="46" t="s">
        <v>15</v>
      </c>
      <c r="F1692" s="48">
        <v>151.1</v>
      </c>
    </row>
    <row r="1693">
      <c r="A1693" s="46" t="s">
        <v>1441</v>
      </c>
      <c r="B1693" s="46" t="s">
        <v>7879</v>
      </c>
      <c r="C1693" s="46" t="s">
        <v>1471</v>
      </c>
      <c r="D1693" s="46" t="s">
        <v>17</v>
      </c>
      <c r="E1693" s="46" t="s">
        <v>15</v>
      </c>
      <c r="F1693" s="48">
        <v>143.7</v>
      </c>
    </row>
    <row r="1694">
      <c r="A1694" s="46" t="s">
        <v>1441</v>
      </c>
      <c r="B1694" s="46" t="s">
        <v>7881</v>
      </c>
      <c r="C1694" s="46" t="s">
        <v>1495</v>
      </c>
      <c r="D1694" s="46" t="s">
        <v>17</v>
      </c>
      <c r="E1694" s="46" t="s">
        <v>15</v>
      </c>
      <c r="F1694" s="48">
        <v>148.0</v>
      </c>
    </row>
    <row r="1695">
      <c r="A1695" s="46" t="s">
        <v>1441</v>
      </c>
      <c r="B1695" s="46" t="s">
        <v>7883</v>
      </c>
      <c r="C1695" s="46" t="s">
        <v>1449</v>
      </c>
      <c r="D1695" s="46" t="s">
        <v>17</v>
      </c>
      <c r="E1695" s="46" t="s">
        <v>15</v>
      </c>
      <c r="F1695" s="48">
        <v>147.1</v>
      </c>
    </row>
    <row r="1696">
      <c r="A1696" s="46" t="s">
        <v>1441</v>
      </c>
      <c r="B1696" s="46" t="s">
        <v>7885</v>
      </c>
      <c r="C1696" s="46" t="s">
        <v>1501</v>
      </c>
      <c r="D1696" s="46" t="s">
        <v>17</v>
      </c>
      <c r="E1696" s="46" t="s">
        <v>15</v>
      </c>
      <c r="F1696" s="48">
        <v>155.9</v>
      </c>
    </row>
    <row r="1697">
      <c r="A1697" s="46" t="s">
        <v>1441</v>
      </c>
      <c r="B1697" s="46" t="s">
        <v>7887</v>
      </c>
      <c r="C1697" s="46" t="s">
        <v>1460</v>
      </c>
      <c r="D1697" s="46" t="s">
        <v>17</v>
      </c>
      <c r="E1697" s="46" t="s">
        <v>15</v>
      </c>
      <c r="F1697" s="48">
        <v>151.7</v>
      </c>
    </row>
    <row r="1698">
      <c r="A1698" s="46" t="s">
        <v>1441</v>
      </c>
      <c r="B1698" s="46" t="s">
        <v>7889</v>
      </c>
      <c r="C1698" s="46" t="s">
        <v>1460</v>
      </c>
      <c r="D1698" s="46" t="s">
        <v>17</v>
      </c>
      <c r="E1698" s="46" t="s">
        <v>15</v>
      </c>
      <c r="F1698" s="48">
        <v>131.2</v>
      </c>
    </row>
    <row r="1699">
      <c r="A1699" s="46" t="s">
        <v>1441</v>
      </c>
      <c r="B1699" s="46" t="s">
        <v>7891</v>
      </c>
      <c r="C1699" s="46" t="s">
        <v>1460</v>
      </c>
      <c r="D1699" s="46" t="s">
        <v>17</v>
      </c>
      <c r="E1699" s="46" t="s">
        <v>15</v>
      </c>
      <c r="F1699" s="48">
        <v>136.7</v>
      </c>
    </row>
    <row r="1700">
      <c r="A1700" s="46" t="s">
        <v>1441</v>
      </c>
      <c r="B1700" s="46" t="s">
        <v>7893</v>
      </c>
      <c r="C1700" s="46" t="s">
        <v>1466</v>
      </c>
      <c r="D1700" s="46" t="s">
        <v>17</v>
      </c>
      <c r="E1700" s="46" t="s">
        <v>15</v>
      </c>
      <c r="F1700" s="48">
        <v>123.2</v>
      </c>
    </row>
    <row r="1701">
      <c r="A1701" s="46" t="s">
        <v>1441</v>
      </c>
      <c r="B1701" s="46" t="s">
        <v>7895</v>
      </c>
      <c r="C1701" s="46" t="s">
        <v>1466</v>
      </c>
      <c r="D1701" s="46" t="s">
        <v>17</v>
      </c>
      <c r="E1701" s="46" t="s">
        <v>15</v>
      </c>
      <c r="F1701" s="48">
        <v>137.6</v>
      </c>
    </row>
    <row r="1702">
      <c r="A1702" s="46" t="s">
        <v>1441</v>
      </c>
      <c r="B1702" s="46" t="s">
        <v>7897</v>
      </c>
      <c r="C1702" s="46" t="s">
        <v>1471</v>
      </c>
      <c r="D1702" s="46" t="s">
        <v>17</v>
      </c>
      <c r="E1702" s="46" t="s">
        <v>14</v>
      </c>
      <c r="F1702" s="48">
        <v>122.3</v>
      </c>
    </row>
    <row r="1703">
      <c r="A1703" s="46" t="s">
        <v>1441</v>
      </c>
      <c r="B1703" s="46" t="s">
        <v>7899</v>
      </c>
      <c r="C1703" s="46" t="s">
        <v>3331</v>
      </c>
      <c r="D1703" s="46" t="s">
        <v>17</v>
      </c>
      <c r="E1703" s="46" t="s">
        <v>14</v>
      </c>
      <c r="F1703" s="48">
        <v>118.1</v>
      </c>
    </row>
    <row r="1704">
      <c r="A1704" s="46" t="s">
        <v>1441</v>
      </c>
      <c r="B1704" s="46" t="s">
        <v>3232</v>
      </c>
      <c r="C1704" s="46" t="s">
        <v>1471</v>
      </c>
      <c r="D1704" s="46" t="s">
        <v>17</v>
      </c>
      <c r="E1704" s="46" t="s">
        <v>15</v>
      </c>
      <c r="F1704" s="48">
        <v>123.7</v>
      </c>
    </row>
    <row r="1705">
      <c r="A1705" s="46" t="s">
        <v>1441</v>
      </c>
      <c r="B1705" s="46" t="s">
        <v>7902</v>
      </c>
      <c r="C1705" s="46" t="s">
        <v>3362</v>
      </c>
      <c r="D1705" s="46" t="s">
        <v>17</v>
      </c>
      <c r="E1705" s="46" t="s">
        <v>15</v>
      </c>
      <c r="F1705" s="48">
        <v>115.3</v>
      </c>
    </row>
    <row r="1706">
      <c r="A1706" s="46" t="s">
        <v>1441</v>
      </c>
      <c r="B1706" s="46" t="s">
        <v>7906</v>
      </c>
      <c r="C1706" s="46" t="s">
        <v>1449</v>
      </c>
      <c r="D1706" s="46" t="s">
        <v>17</v>
      </c>
      <c r="E1706" s="46" t="s">
        <v>15</v>
      </c>
      <c r="F1706" s="48">
        <v>137.4</v>
      </c>
    </row>
    <row r="1707">
      <c r="A1707" s="46" t="s">
        <v>269</v>
      </c>
      <c r="B1707" s="46" t="s">
        <v>4962</v>
      </c>
      <c r="C1707" s="46" t="s">
        <v>1515</v>
      </c>
      <c r="D1707" s="46" t="s">
        <v>18</v>
      </c>
      <c r="E1707" s="46" t="s">
        <v>15</v>
      </c>
      <c r="F1707" s="48">
        <v>106.9</v>
      </c>
    </row>
    <row r="1708">
      <c r="A1708" s="46" t="s">
        <v>269</v>
      </c>
      <c r="B1708" s="46" t="s">
        <v>1716</v>
      </c>
      <c r="C1708" s="46" t="s">
        <v>1537</v>
      </c>
      <c r="D1708" s="46" t="s">
        <v>17</v>
      </c>
      <c r="E1708" s="46" t="s">
        <v>15</v>
      </c>
      <c r="F1708" s="48">
        <v>125.3</v>
      </c>
    </row>
    <row r="1709">
      <c r="A1709" s="46" t="s">
        <v>269</v>
      </c>
      <c r="B1709" s="46" t="s">
        <v>2149</v>
      </c>
      <c r="C1709" s="46" t="s">
        <v>7921</v>
      </c>
      <c r="D1709" s="46" t="s">
        <v>17</v>
      </c>
      <c r="E1709" s="46" t="s">
        <v>14</v>
      </c>
      <c r="F1709" s="48">
        <v>106.9</v>
      </c>
    </row>
    <row r="1710">
      <c r="A1710" s="46" t="s">
        <v>269</v>
      </c>
      <c r="B1710" s="46" t="s">
        <v>7930</v>
      </c>
      <c r="C1710" s="46" t="s">
        <v>7931</v>
      </c>
      <c r="D1710" s="46" t="s">
        <v>18</v>
      </c>
      <c r="E1710" s="46" t="s">
        <v>14</v>
      </c>
      <c r="F1710" s="48">
        <v>121.9</v>
      </c>
    </row>
    <row r="1711">
      <c r="A1711" s="46" t="s">
        <v>1545</v>
      </c>
      <c r="B1711" s="46" t="s">
        <v>7943</v>
      </c>
      <c r="C1711" s="46" t="s">
        <v>6581</v>
      </c>
      <c r="D1711" s="46" t="s">
        <v>18</v>
      </c>
      <c r="E1711" s="46" t="s">
        <v>14</v>
      </c>
      <c r="F1711" s="48">
        <v>108.1</v>
      </c>
    </row>
    <row r="1712">
      <c r="A1712" s="46" t="s">
        <v>1545</v>
      </c>
      <c r="B1712" s="46" t="s">
        <v>7945</v>
      </c>
      <c r="C1712" s="46" t="s">
        <v>1552</v>
      </c>
      <c r="D1712" s="46" t="s">
        <v>18</v>
      </c>
      <c r="E1712" s="46" t="s">
        <v>15</v>
      </c>
      <c r="F1712" s="48">
        <v>107.3</v>
      </c>
    </row>
    <row r="1713">
      <c r="A1713" s="46" t="s">
        <v>1545</v>
      </c>
      <c r="B1713" s="46" t="s">
        <v>7949</v>
      </c>
      <c r="C1713" s="46" t="s">
        <v>6576</v>
      </c>
      <c r="D1713" s="46" t="s">
        <v>18</v>
      </c>
      <c r="E1713" s="46" t="s">
        <v>15</v>
      </c>
      <c r="F1713" s="48">
        <v>118.7</v>
      </c>
    </row>
    <row r="1714">
      <c r="A1714" s="46" t="s">
        <v>1545</v>
      </c>
      <c r="B1714" s="46" t="s">
        <v>1950</v>
      </c>
      <c r="C1714" s="46" t="s">
        <v>6587</v>
      </c>
      <c r="D1714" s="46" t="s">
        <v>18</v>
      </c>
      <c r="E1714" s="46" t="s">
        <v>15</v>
      </c>
      <c r="F1714" s="48">
        <v>120.1</v>
      </c>
    </row>
    <row r="1715">
      <c r="A1715" s="46" t="s">
        <v>1545</v>
      </c>
      <c r="B1715" s="46" t="s">
        <v>7959</v>
      </c>
      <c r="C1715" s="46" t="s">
        <v>6581</v>
      </c>
      <c r="D1715" s="46" t="s">
        <v>17</v>
      </c>
      <c r="E1715" s="46" t="s">
        <v>13</v>
      </c>
      <c r="F1715" s="48">
        <v>114.2</v>
      </c>
    </row>
    <row r="1716">
      <c r="A1716" s="46" t="s">
        <v>1545</v>
      </c>
      <c r="B1716" s="46" t="s">
        <v>3454</v>
      </c>
      <c r="C1716" s="46" t="s">
        <v>6581</v>
      </c>
      <c r="D1716" s="46" t="s">
        <v>18</v>
      </c>
      <c r="E1716" s="46" t="s">
        <v>15</v>
      </c>
      <c r="F1716" s="48">
        <v>108.3</v>
      </c>
    </row>
    <row r="1717">
      <c r="A1717" s="46" t="s">
        <v>1545</v>
      </c>
      <c r="B1717" s="46" t="s">
        <v>7962</v>
      </c>
      <c r="C1717" s="46" t="s">
        <v>7963</v>
      </c>
      <c r="D1717" s="46" t="s">
        <v>18</v>
      </c>
      <c r="E1717" s="46" t="s">
        <v>14</v>
      </c>
      <c r="F1717" s="48">
        <v>107.8</v>
      </c>
    </row>
    <row r="1718">
      <c r="A1718" s="46" t="s">
        <v>1579</v>
      </c>
      <c r="B1718" s="46" t="s">
        <v>7972</v>
      </c>
      <c r="C1718" s="46" t="s">
        <v>1589</v>
      </c>
      <c r="D1718" s="46" t="s">
        <v>18</v>
      </c>
      <c r="E1718" s="46" t="s">
        <v>14</v>
      </c>
      <c r="F1718" s="48">
        <v>123.2</v>
      </c>
    </row>
    <row r="1719">
      <c r="A1719" s="46" t="s">
        <v>1579</v>
      </c>
      <c r="B1719" s="46" t="s">
        <v>7974</v>
      </c>
      <c r="C1719" s="46" t="s">
        <v>1592</v>
      </c>
      <c r="D1719" s="46" t="s">
        <v>17</v>
      </c>
      <c r="E1719" s="46" t="s">
        <v>13</v>
      </c>
      <c r="F1719" s="48">
        <v>125.3</v>
      </c>
    </row>
    <row r="1720">
      <c r="A1720" s="46" t="s">
        <v>1579</v>
      </c>
      <c r="B1720" s="46" t="s">
        <v>7976</v>
      </c>
      <c r="C1720" s="46" t="s">
        <v>7977</v>
      </c>
      <c r="D1720" s="46" t="s">
        <v>18</v>
      </c>
      <c r="E1720" s="46" t="s">
        <v>15</v>
      </c>
      <c r="F1720" s="48">
        <v>121.8</v>
      </c>
    </row>
    <row r="1721">
      <c r="A1721" s="46" t="s">
        <v>1579</v>
      </c>
      <c r="B1721" s="46" t="s">
        <v>982</v>
      </c>
      <c r="C1721" s="46" t="s">
        <v>1606</v>
      </c>
      <c r="D1721" s="46" t="s">
        <v>18</v>
      </c>
      <c r="E1721" s="46" t="s">
        <v>15</v>
      </c>
      <c r="F1721" s="48">
        <v>124.1</v>
      </c>
    </row>
    <row r="1722">
      <c r="A1722" s="46" t="s">
        <v>1579</v>
      </c>
      <c r="B1722" s="46" t="s">
        <v>7980</v>
      </c>
      <c r="C1722" s="46" t="s">
        <v>1589</v>
      </c>
      <c r="D1722" s="46" t="s">
        <v>17</v>
      </c>
      <c r="E1722" s="46" t="s">
        <v>15</v>
      </c>
      <c r="F1722" s="48">
        <v>140.6</v>
      </c>
    </row>
    <row r="1723">
      <c r="A1723" s="46" t="s">
        <v>1579</v>
      </c>
      <c r="B1723" s="46" t="s">
        <v>7986</v>
      </c>
      <c r="C1723" s="46" t="s">
        <v>3457</v>
      </c>
      <c r="D1723" s="46" t="s">
        <v>18</v>
      </c>
      <c r="E1723" s="46" t="s">
        <v>14</v>
      </c>
      <c r="F1723" s="48">
        <v>127.5</v>
      </c>
    </row>
    <row r="1724">
      <c r="A1724" s="46" t="s">
        <v>1579</v>
      </c>
      <c r="B1724" s="46" t="s">
        <v>6222</v>
      </c>
      <c r="C1724" s="46" t="s">
        <v>7988</v>
      </c>
      <c r="D1724" s="46" t="s">
        <v>18</v>
      </c>
      <c r="E1724" s="46" t="s">
        <v>15</v>
      </c>
      <c r="F1724" s="48">
        <v>143.2</v>
      </c>
    </row>
    <row r="1725">
      <c r="A1725" s="46" t="s">
        <v>1579</v>
      </c>
      <c r="B1725" s="46" t="s">
        <v>7990</v>
      </c>
      <c r="C1725" s="46" t="s">
        <v>7991</v>
      </c>
      <c r="D1725" s="46" t="s">
        <v>18</v>
      </c>
      <c r="E1725" s="46" t="s">
        <v>14</v>
      </c>
      <c r="F1725" s="48">
        <v>126.4</v>
      </c>
    </row>
    <row r="1726">
      <c r="A1726" s="46" t="s">
        <v>1579</v>
      </c>
      <c r="B1726" s="46" t="s">
        <v>7996</v>
      </c>
      <c r="C1726" s="46" t="s">
        <v>7988</v>
      </c>
      <c r="D1726" s="46" t="s">
        <v>17</v>
      </c>
      <c r="E1726" s="46" t="s">
        <v>15</v>
      </c>
      <c r="F1726" s="48">
        <v>145.8</v>
      </c>
    </row>
    <row r="1727">
      <c r="A1727" s="46" t="s">
        <v>1579</v>
      </c>
      <c r="B1727" s="46" t="s">
        <v>8000</v>
      </c>
      <c r="C1727" s="46" t="s">
        <v>8001</v>
      </c>
      <c r="D1727" s="46" t="s">
        <v>18</v>
      </c>
      <c r="E1727" s="46" t="s">
        <v>15</v>
      </c>
      <c r="F1727" s="48">
        <v>159.0</v>
      </c>
    </row>
    <row r="1728">
      <c r="A1728" s="46" t="s">
        <v>284</v>
      </c>
      <c r="B1728" s="46" t="s">
        <v>8003</v>
      </c>
      <c r="C1728" s="46" t="s">
        <v>1632</v>
      </c>
      <c r="D1728" s="46" t="s">
        <v>18</v>
      </c>
      <c r="E1728" s="46" t="s">
        <v>15</v>
      </c>
      <c r="F1728" s="48">
        <v>108.6</v>
      </c>
    </row>
    <row r="1729">
      <c r="A1729" s="46" t="s">
        <v>284</v>
      </c>
      <c r="B1729" s="46" t="s">
        <v>8008</v>
      </c>
      <c r="C1729" s="46" t="s">
        <v>8009</v>
      </c>
      <c r="D1729" s="46" t="s">
        <v>18</v>
      </c>
      <c r="E1729" s="46" t="s">
        <v>15</v>
      </c>
      <c r="F1729" s="48">
        <v>112.2</v>
      </c>
    </row>
    <row r="1730">
      <c r="A1730" s="46" t="s">
        <v>88</v>
      </c>
      <c r="B1730" s="46" t="s">
        <v>8017</v>
      </c>
      <c r="C1730" s="46" t="s">
        <v>88</v>
      </c>
      <c r="D1730" s="46" t="s">
        <v>18</v>
      </c>
      <c r="E1730" s="46" t="s">
        <v>15</v>
      </c>
      <c r="F1730" s="48">
        <v>122.0</v>
      </c>
    </row>
    <row r="1731">
      <c r="A1731" s="46" t="s">
        <v>88</v>
      </c>
      <c r="B1731" s="46" t="s">
        <v>8019</v>
      </c>
      <c r="C1731" s="46" t="s">
        <v>88</v>
      </c>
      <c r="D1731" s="46" t="s">
        <v>18</v>
      </c>
      <c r="E1731" s="46" t="s">
        <v>15</v>
      </c>
      <c r="F1731" s="48">
        <v>120.7</v>
      </c>
    </row>
    <row r="1732">
      <c r="A1732" s="46" t="s">
        <v>182</v>
      </c>
      <c r="B1732" s="46" t="s">
        <v>8037</v>
      </c>
      <c r="C1732" s="46" t="s">
        <v>1653</v>
      </c>
      <c r="D1732" s="46" t="s">
        <v>18</v>
      </c>
      <c r="E1732" s="46" t="s">
        <v>15</v>
      </c>
      <c r="F1732" s="48">
        <v>127.0</v>
      </c>
    </row>
    <row r="1733">
      <c r="A1733" s="46" t="s">
        <v>182</v>
      </c>
      <c r="B1733" s="46" t="s">
        <v>8039</v>
      </c>
      <c r="C1733" s="46" t="s">
        <v>5113</v>
      </c>
      <c r="D1733" s="46" t="s">
        <v>17</v>
      </c>
      <c r="E1733" s="46" t="s">
        <v>15</v>
      </c>
      <c r="F1733" s="48">
        <v>119.1</v>
      </c>
    </row>
    <row r="1734">
      <c r="A1734" s="46" t="s">
        <v>182</v>
      </c>
      <c r="B1734" s="46" t="s">
        <v>8043</v>
      </c>
      <c r="C1734" s="46" t="s">
        <v>1659</v>
      </c>
      <c r="D1734" s="46" t="s">
        <v>18</v>
      </c>
      <c r="E1734" s="46" t="s">
        <v>14</v>
      </c>
      <c r="F1734" s="48">
        <v>110.4</v>
      </c>
    </row>
    <row r="1735">
      <c r="A1735" s="46" t="s">
        <v>182</v>
      </c>
      <c r="B1735" s="46" t="s">
        <v>8051</v>
      </c>
      <c r="C1735" s="46" t="s">
        <v>1674</v>
      </c>
      <c r="D1735" s="46" t="s">
        <v>18</v>
      </c>
      <c r="E1735" s="46" t="s">
        <v>15</v>
      </c>
      <c r="F1735" s="48">
        <v>107.6</v>
      </c>
    </row>
    <row r="1736">
      <c r="A1736" s="46" t="s">
        <v>134</v>
      </c>
      <c r="B1736" s="46" t="s">
        <v>1089</v>
      </c>
      <c r="C1736" s="46" t="s">
        <v>1685</v>
      </c>
      <c r="D1736" s="46" t="s">
        <v>17</v>
      </c>
      <c r="E1736" s="46" t="s">
        <v>15</v>
      </c>
      <c r="F1736" s="48">
        <v>122.4</v>
      </c>
    </row>
    <row r="1737">
      <c r="A1737" s="46" t="s">
        <v>134</v>
      </c>
      <c r="B1737" s="46" t="s">
        <v>8056</v>
      </c>
      <c r="C1737" s="46" t="s">
        <v>6670</v>
      </c>
      <c r="D1737" s="46" t="s">
        <v>17</v>
      </c>
      <c r="E1737" s="46" t="s">
        <v>14</v>
      </c>
      <c r="F1737" s="48">
        <v>128.1</v>
      </c>
    </row>
    <row r="1738">
      <c r="A1738" s="46" t="s">
        <v>134</v>
      </c>
      <c r="B1738" s="46" t="s">
        <v>8060</v>
      </c>
      <c r="C1738" s="46" t="s">
        <v>1688</v>
      </c>
      <c r="D1738" s="46" t="s">
        <v>17</v>
      </c>
      <c r="E1738" s="46" t="s">
        <v>15</v>
      </c>
      <c r="F1738" s="48">
        <v>117.2</v>
      </c>
    </row>
    <row r="1739">
      <c r="A1739" s="46" t="s">
        <v>134</v>
      </c>
      <c r="B1739" s="46" t="s">
        <v>8062</v>
      </c>
      <c r="C1739" s="46" t="s">
        <v>1695</v>
      </c>
      <c r="D1739" s="46" t="s">
        <v>18</v>
      </c>
      <c r="E1739" s="46" t="s">
        <v>14</v>
      </c>
      <c r="F1739" s="48">
        <v>104.3</v>
      </c>
    </row>
    <row r="1740">
      <c r="A1740" s="46" t="s">
        <v>134</v>
      </c>
      <c r="B1740" s="46" t="s">
        <v>3931</v>
      </c>
      <c r="C1740" s="46" t="s">
        <v>1682</v>
      </c>
      <c r="D1740" s="46" t="s">
        <v>17</v>
      </c>
      <c r="E1740" s="46" t="s">
        <v>15</v>
      </c>
      <c r="F1740" s="48">
        <v>135.2</v>
      </c>
    </row>
    <row r="1741">
      <c r="A1741" s="46" t="s">
        <v>134</v>
      </c>
      <c r="B1741" s="46" t="s">
        <v>8065</v>
      </c>
      <c r="C1741" s="46" t="s">
        <v>6670</v>
      </c>
      <c r="D1741" s="46" t="s">
        <v>18</v>
      </c>
      <c r="E1741" s="46" t="s">
        <v>14</v>
      </c>
      <c r="F1741" s="48">
        <v>119.5</v>
      </c>
    </row>
    <row r="1742">
      <c r="A1742" s="46" t="s">
        <v>129</v>
      </c>
      <c r="B1742" s="46" t="s">
        <v>8067</v>
      </c>
      <c r="C1742" s="46" t="s">
        <v>6683</v>
      </c>
      <c r="D1742" s="46" t="s">
        <v>18</v>
      </c>
      <c r="E1742" s="46" t="s">
        <v>14</v>
      </c>
      <c r="F1742" s="48">
        <v>106.1</v>
      </c>
    </row>
    <row r="1743">
      <c r="A1743" s="46" t="s">
        <v>779</v>
      </c>
      <c r="B1743" s="46" t="s">
        <v>8083</v>
      </c>
      <c r="C1743" s="46" t="s">
        <v>1714</v>
      </c>
      <c r="D1743" s="46" t="s">
        <v>17</v>
      </c>
      <c r="E1743" s="46" t="s">
        <v>14</v>
      </c>
      <c r="F1743" s="48">
        <v>114.9</v>
      </c>
    </row>
    <row r="1744">
      <c r="A1744" s="46" t="s">
        <v>779</v>
      </c>
      <c r="B1744" s="46" t="s">
        <v>8085</v>
      </c>
      <c r="C1744" s="46" t="s">
        <v>5154</v>
      </c>
      <c r="D1744" s="46" t="s">
        <v>18</v>
      </c>
      <c r="E1744" s="46" t="s">
        <v>15</v>
      </c>
      <c r="F1744" s="48">
        <v>109.6</v>
      </c>
    </row>
    <row r="1745">
      <c r="A1745" s="46" t="s">
        <v>779</v>
      </c>
      <c r="B1745" s="46" t="s">
        <v>8087</v>
      </c>
      <c r="C1745" s="46" t="s">
        <v>6700</v>
      </c>
      <c r="D1745" s="46" t="s">
        <v>17</v>
      </c>
      <c r="E1745" s="46" t="s">
        <v>13</v>
      </c>
      <c r="F1745" s="48">
        <v>104.1</v>
      </c>
    </row>
    <row r="1746">
      <c r="A1746" s="46" t="s">
        <v>779</v>
      </c>
      <c r="B1746" s="46" t="s">
        <v>8089</v>
      </c>
      <c r="C1746" s="46" t="s">
        <v>6700</v>
      </c>
      <c r="D1746" s="46" t="s">
        <v>17</v>
      </c>
      <c r="E1746" s="46" t="s">
        <v>13</v>
      </c>
      <c r="F1746" s="48">
        <v>104.1</v>
      </c>
    </row>
    <row r="1747">
      <c r="A1747" s="46" t="s">
        <v>284</v>
      </c>
      <c r="B1747" s="46" t="s">
        <v>2485</v>
      </c>
      <c r="C1747" s="46" t="s">
        <v>3583</v>
      </c>
      <c r="D1747" s="46" t="s">
        <v>18</v>
      </c>
      <c r="E1747" s="46" t="s">
        <v>15</v>
      </c>
      <c r="F1747" s="48">
        <v>114.0</v>
      </c>
    </row>
    <row r="1748">
      <c r="A1748" s="46" t="s">
        <v>284</v>
      </c>
      <c r="B1748" s="46" t="s">
        <v>8100</v>
      </c>
      <c r="C1748" s="46" t="s">
        <v>284</v>
      </c>
      <c r="D1748" s="46" t="s">
        <v>18</v>
      </c>
      <c r="E1748" s="46" t="s">
        <v>15</v>
      </c>
      <c r="F1748" s="48">
        <v>125.6</v>
      </c>
    </row>
    <row r="1749">
      <c r="A1749" s="46" t="s">
        <v>322</v>
      </c>
      <c r="B1749" s="46" t="s">
        <v>140</v>
      </c>
      <c r="C1749" s="46" t="s">
        <v>322</v>
      </c>
      <c r="D1749" s="46" t="s">
        <v>18</v>
      </c>
      <c r="E1749" s="46" t="s">
        <v>15</v>
      </c>
      <c r="F1749" s="48">
        <v>113.2</v>
      </c>
    </row>
    <row r="1750">
      <c r="A1750" s="46" t="s">
        <v>322</v>
      </c>
      <c r="B1750" s="46" t="s">
        <v>8110</v>
      </c>
      <c r="C1750" s="46" t="s">
        <v>322</v>
      </c>
      <c r="D1750" s="46" t="s">
        <v>18</v>
      </c>
      <c r="E1750" s="46" t="s">
        <v>14</v>
      </c>
      <c r="F1750" s="48">
        <v>121.2</v>
      </c>
    </row>
    <row r="1751">
      <c r="A1751" s="46" t="s">
        <v>333</v>
      </c>
      <c r="B1751" s="46" t="s">
        <v>8124</v>
      </c>
      <c r="C1751" s="46" t="s">
        <v>8125</v>
      </c>
      <c r="D1751" s="46" t="s">
        <v>18</v>
      </c>
      <c r="E1751" s="46" t="s">
        <v>15</v>
      </c>
      <c r="F1751" s="48">
        <v>109.4</v>
      </c>
    </row>
    <row r="1752">
      <c r="A1752" s="46" t="s">
        <v>393</v>
      </c>
      <c r="B1752" s="46" t="s">
        <v>3672</v>
      </c>
      <c r="C1752" s="46" t="s">
        <v>1781</v>
      </c>
      <c r="D1752" s="46" t="s">
        <v>18</v>
      </c>
      <c r="E1752" s="46" t="s">
        <v>15</v>
      </c>
      <c r="F1752" s="48">
        <v>115.6</v>
      </c>
    </row>
    <row r="1753">
      <c r="A1753" s="46" t="s">
        <v>1579</v>
      </c>
      <c r="B1753" s="46" t="s">
        <v>3066</v>
      </c>
      <c r="C1753" s="46" t="s">
        <v>8133</v>
      </c>
      <c r="D1753" s="46" t="s">
        <v>18</v>
      </c>
      <c r="E1753" s="46" t="s">
        <v>15</v>
      </c>
      <c r="F1753" s="48">
        <v>152.6</v>
      </c>
    </row>
    <row r="1754">
      <c r="A1754" s="46" t="s">
        <v>1579</v>
      </c>
      <c r="B1754" s="46" t="s">
        <v>210</v>
      </c>
      <c r="C1754" s="46" t="s">
        <v>3615</v>
      </c>
      <c r="D1754" s="46" t="s">
        <v>17</v>
      </c>
      <c r="E1754" s="46" t="s">
        <v>15</v>
      </c>
      <c r="F1754" s="48">
        <v>131.8</v>
      </c>
    </row>
    <row r="1755">
      <c r="A1755" s="46" t="s">
        <v>1579</v>
      </c>
      <c r="B1755" s="46" t="s">
        <v>8149</v>
      </c>
      <c r="C1755" s="46" t="s">
        <v>8133</v>
      </c>
      <c r="D1755" s="46" t="s">
        <v>17</v>
      </c>
      <c r="E1755" s="46" t="s">
        <v>15</v>
      </c>
      <c r="F1755" s="48">
        <v>150.6</v>
      </c>
    </row>
    <row r="1756">
      <c r="A1756" s="46" t="s">
        <v>1579</v>
      </c>
      <c r="B1756" s="46" t="s">
        <v>8151</v>
      </c>
      <c r="C1756" s="46" t="s">
        <v>8152</v>
      </c>
      <c r="D1756" s="46" t="s">
        <v>17</v>
      </c>
      <c r="E1756" s="46" t="s">
        <v>15</v>
      </c>
      <c r="F1756" s="48">
        <v>127.3</v>
      </c>
    </row>
    <row r="1757">
      <c r="A1757" s="46" t="s">
        <v>1579</v>
      </c>
      <c r="B1757" s="46" t="s">
        <v>814</v>
      </c>
      <c r="C1757" s="46" t="s">
        <v>3636</v>
      </c>
      <c r="D1757" s="46" t="s">
        <v>18</v>
      </c>
      <c r="E1757" s="46" t="s">
        <v>15</v>
      </c>
      <c r="F1757" s="48">
        <v>132.4</v>
      </c>
    </row>
    <row r="1758">
      <c r="A1758" s="46" t="s">
        <v>1579</v>
      </c>
      <c r="B1758" s="46" t="s">
        <v>489</v>
      </c>
      <c r="C1758" s="46" t="s">
        <v>1848</v>
      </c>
      <c r="D1758" s="46" t="s">
        <v>18</v>
      </c>
      <c r="E1758" s="46" t="s">
        <v>15</v>
      </c>
      <c r="F1758" s="48">
        <v>131.2</v>
      </c>
    </row>
    <row r="1759">
      <c r="A1759" s="46" t="s">
        <v>1579</v>
      </c>
      <c r="B1759" s="46" t="s">
        <v>4185</v>
      </c>
      <c r="C1759" s="46" t="s">
        <v>3651</v>
      </c>
      <c r="D1759" s="46" t="s">
        <v>18</v>
      </c>
      <c r="E1759" s="46" t="s">
        <v>15</v>
      </c>
      <c r="F1759" s="48">
        <v>125.7</v>
      </c>
    </row>
    <row r="1760">
      <c r="A1760" s="46" t="s">
        <v>1579</v>
      </c>
      <c r="B1760" s="46" t="s">
        <v>8161</v>
      </c>
      <c r="C1760" s="46" t="s">
        <v>1851</v>
      </c>
      <c r="D1760" s="46" t="s">
        <v>18</v>
      </c>
      <c r="E1760" s="46" t="s">
        <v>15</v>
      </c>
      <c r="F1760" s="48">
        <v>124.5</v>
      </c>
    </row>
    <row r="1761">
      <c r="A1761" s="46" t="s">
        <v>1579</v>
      </c>
      <c r="B1761" s="46" t="s">
        <v>8165</v>
      </c>
      <c r="C1761" s="46" t="s">
        <v>1821</v>
      </c>
      <c r="D1761" s="46" t="s">
        <v>18</v>
      </c>
      <c r="E1761" s="46" t="s">
        <v>15</v>
      </c>
      <c r="F1761" s="48">
        <v>146.9</v>
      </c>
    </row>
    <row r="1762">
      <c r="A1762" s="46" t="s">
        <v>1579</v>
      </c>
      <c r="B1762" s="46" t="s">
        <v>1462</v>
      </c>
      <c r="C1762" s="46" t="s">
        <v>1832</v>
      </c>
      <c r="D1762" s="46" t="s">
        <v>18</v>
      </c>
      <c r="E1762" s="46" t="s">
        <v>15</v>
      </c>
      <c r="F1762" s="48">
        <v>132.1</v>
      </c>
    </row>
    <row r="1763">
      <c r="A1763" s="46" t="s">
        <v>1579</v>
      </c>
      <c r="B1763" s="46" t="s">
        <v>2778</v>
      </c>
      <c r="C1763" s="46" t="s">
        <v>1821</v>
      </c>
      <c r="D1763" s="46" t="s">
        <v>17</v>
      </c>
      <c r="E1763" s="46" t="s">
        <v>15</v>
      </c>
      <c r="F1763" s="48">
        <v>147.1</v>
      </c>
    </row>
    <row r="1764">
      <c r="A1764" s="46" t="s">
        <v>1579</v>
      </c>
      <c r="B1764" s="46" t="s">
        <v>1617</v>
      </c>
      <c r="C1764" s="46" t="s">
        <v>3651</v>
      </c>
      <c r="D1764" s="46" t="s">
        <v>17</v>
      </c>
      <c r="E1764" s="46" t="s">
        <v>15</v>
      </c>
      <c r="F1764" s="48">
        <v>144.9</v>
      </c>
    </row>
    <row r="1765">
      <c r="A1765" s="46" t="s">
        <v>1579</v>
      </c>
      <c r="B1765" s="46" t="s">
        <v>1617</v>
      </c>
      <c r="C1765" s="46" t="s">
        <v>8178</v>
      </c>
      <c r="D1765" s="46" t="s">
        <v>17</v>
      </c>
      <c r="E1765" s="46" t="s">
        <v>15</v>
      </c>
      <c r="F1765" s="48">
        <v>145.4</v>
      </c>
    </row>
    <row r="1766">
      <c r="A1766" s="46" t="s">
        <v>1579</v>
      </c>
      <c r="B1766" s="46" t="s">
        <v>1096</v>
      </c>
      <c r="C1766" s="46" t="s">
        <v>8180</v>
      </c>
      <c r="D1766" s="46" t="s">
        <v>17</v>
      </c>
      <c r="E1766" s="46" t="s">
        <v>13</v>
      </c>
      <c r="F1766" s="48">
        <v>110.8</v>
      </c>
    </row>
    <row r="1767">
      <c r="A1767" s="46" t="s">
        <v>1579</v>
      </c>
      <c r="B1767" s="46" t="s">
        <v>8185</v>
      </c>
      <c r="C1767" s="46" t="s">
        <v>8186</v>
      </c>
      <c r="D1767" s="46" t="s">
        <v>18</v>
      </c>
      <c r="E1767" s="46" t="s">
        <v>14</v>
      </c>
      <c r="F1767" s="48">
        <v>116.1</v>
      </c>
    </row>
    <row r="1768">
      <c r="A1768" s="46" t="s">
        <v>1579</v>
      </c>
      <c r="B1768" s="46" t="s">
        <v>8188</v>
      </c>
      <c r="C1768" s="46" t="s">
        <v>1851</v>
      </c>
      <c r="D1768" s="46" t="s">
        <v>17</v>
      </c>
      <c r="E1768" s="46" t="s">
        <v>15</v>
      </c>
      <c r="F1768" s="48">
        <v>144.5</v>
      </c>
    </row>
    <row r="1769">
      <c r="A1769" s="46" t="s">
        <v>1579</v>
      </c>
      <c r="B1769" s="46" t="s">
        <v>2741</v>
      </c>
      <c r="C1769" s="46" t="s">
        <v>8192</v>
      </c>
      <c r="D1769" s="46" t="s">
        <v>18</v>
      </c>
      <c r="E1769" s="46" t="s">
        <v>15</v>
      </c>
      <c r="F1769" s="48">
        <v>134.2</v>
      </c>
    </row>
    <row r="1770">
      <c r="A1770" s="46" t="s">
        <v>1579</v>
      </c>
      <c r="B1770" s="46" t="s">
        <v>8198</v>
      </c>
      <c r="C1770" s="46" t="s">
        <v>8199</v>
      </c>
      <c r="D1770" s="46" t="s">
        <v>18</v>
      </c>
      <c r="E1770" s="46" t="s">
        <v>14</v>
      </c>
      <c r="F1770" s="48">
        <v>113.8</v>
      </c>
    </row>
    <row r="1771">
      <c r="A1771" s="46" t="s">
        <v>1579</v>
      </c>
      <c r="B1771" s="46" t="s">
        <v>8203</v>
      </c>
      <c r="C1771" s="46" t="s">
        <v>1851</v>
      </c>
      <c r="D1771" s="46" t="s">
        <v>18</v>
      </c>
      <c r="E1771" s="46" t="s">
        <v>15</v>
      </c>
      <c r="F1771" s="48">
        <v>122.5</v>
      </c>
    </row>
    <row r="1772">
      <c r="A1772" s="46" t="s">
        <v>1579</v>
      </c>
      <c r="B1772" s="46" t="s">
        <v>5863</v>
      </c>
      <c r="C1772" s="46" t="s">
        <v>3651</v>
      </c>
      <c r="D1772" s="46" t="s">
        <v>18</v>
      </c>
      <c r="E1772" s="46" t="s">
        <v>15</v>
      </c>
      <c r="F1772" s="48">
        <v>121.2</v>
      </c>
    </row>
    <row r="1773">
      <c r="A1773" s="46" t="s">
        <v>1545</v>
      </c>
      <c r="B1773" s="46" t="s">
        <v>5127</v>
      </c>
      <c r="C1773" s="46" t="s">
        <v>8213</v>
      </c>
      <c r="D1773" s="46" t="s">
        <v>17</v>
      </c>
      <c r="E1773" s="46" t="s">
        <v>15</v>
      </c>
      <c r="F1773" s="48">
        <v>121.1</v>
      </c>
    </row>
    <row r="1774">
      <c r="A1774" s="46" t="s">
        <v>1545</v>
      </c>
      <c r="B1774" s="46" t="s">
        <v>8215</v>
      </c>
      <c r="C1774" s="46" t="s">
        <v>3698</v>
      </c>
      <c r="D1774" s="46" t="s">
        <v>17</v>
      </c>
      <c r="E1774" s="46" t="s">
        <v>15</v>
      </c>
      <c r="F1774" s="48">
        <v>137.1</v>
      </c>
    </row>
    <row r="1775">
      <c r="A1775" s="46" t="s">
        <v>1545</v>
      </c>
      <c r="B1775" s="46" t="s">
        <v>8237</v>
      </c>
      <c r="C1775" s="46" t="s">
        <v>8238</v>
      </c>
      <c r="D1775" s="46" t="s">
        <v>18</v>
      </c>
      <c r="E1775" s="46" t="s">
        <v>15</v>
      </c>
      <c r="F1775" s="48">
        <v>127.7</v>
      </c>
    </row>
    <row r="1776">
      <c r="A1776" s="46" t="s">
        <v>1545</v>
      </c>
      <c r="B1776" s="46" t="s">
        <v>8243</v>
      </c>
      <c r="C1776" s="46" t="s">
        <v>1910</v>
      </c>
      <c r="D1776" s="46" t="s">
        <v>18</v>
      </c>
      <c r="E1776" s="46" t="s">
        <v>14</v>
      </c>
      <c r="F1776" s="48">
        <v>105.7</v>
      </c>
    </row>
    <row r="1777">
      <c r="A1777" s="46" t="s">
        <v>1545</v>
      </c>
      <c r="B1777" s="46" t="s">
        <v>8245</v>
      </c>
      <c r="C1777" s="46" t="s">
        <v>8246</v>
      </c>
      <c r="D1777" s="46" t="s">
        <v>18</v>
      </c>
      <c r="E1777" s="46" t="s">
        <v>14</v>
      </c>
      <c r="F1777" s="48">
        <v>104.7</v>
      </c>
    </row>
    <row r="1778">
      <c r="A1778" s="46" t="s">
        <v>1545</v>
      </c>
      <c r="B1778" s="46" t="s">
        <v>8256</v>
      </c>
      <c r="C1778" s="46" t="s">
        <v>1545</v>
      </c>
      <c r="D1778" s="46" t="s">
        <v>17</v>
      </c>
      <c r="E1778" s="46" t="s">
        <v>15</v>
      </c>
      <c r="F1778" s="48">
        <v>129.4</v>
      </c>
    </row>
    <row r="1779">
      <c r="A1779" s="46" t="s">
        <v>1545</v>
      </c>
      <c r="B1779" s="46" t="s">
        <v>8258</v>
      </c>
      <c r="C1779" s="46" t="s">
        <v>3722</v>
      </c>
      <c r="D1779" s="46" t="s">
        <v>17</v>
      </c>
      <c r="E1779" s="46" t="s">
        <v>15</v>
      </c>
      <c r="F1779" s="48">
        <v>127.6</v>
      </c>
    </row>
    <row r="1780">
      <c r="A1780" s="46" t="s">
        <v>1545</v>
      </c>
      <c r="B1780" s="46" t="s">
        <v>8262</v>
      </c>
      <c r="C1780" s="46" t="s">
        <v>3745</v>
      </c>
      <c r="D1780" s="46" t="s">
        <v>18</v>
      </c>
      <c r="E1780" s="46" t="s">
        <v>14</v>
      </c>
      <c r="F1780" s="48">
        <v>113.2</v>
      </c>
    </row>
    <row r="1781">
      <c r="A1781" s="46" t="s">
        <v>1579</v>
      </c>
      <c r="B1781" s="46" t="s">
        <v>8276</v>
      </c>
      <c r="C1781" s="46" t="s">
        <v>1933</v>
      </c>
      <c r="D1781" s="46" t="s">
        <v>17</v>
      </c>
      <c r="E1781" s="46" t="s">
        <v>15</v>
      </c>
      <c r="F1781" s="48">
        <v>114.4</v>
      </c>
    </row>
    <row r="1782">
      <c r="A1782" s="46" t="s">
        <v>1579</v>
      </c>
      <c r="B1782" s="46" t="s">
        <v>8286</v>
      </c>
      <c r="C1782" s="46" t="s">
        <v>5339</v>
      </c>
      <c r="D1782" s="46" t="s">
        <v>18</v>
      </c>
      <c r="E1782" s="46" t="s">
        <v>14</v>
      </c>
      <c r="F1782" s="48">
        <v>108.4</v>
      </c>
    </row>
    <row r="1783">
      <c r="A1783" s="46" t="s">
        <v>1579</v>
      </c>
      <c r="B1783" s="46" t="s">
        <v>7324</v>
      </c>
      <c r="C1783" s="46" t="s">
        <v>8288</v>
      </c>
      <c r="D1783" s="46" t="s">
        <v>18</v>
      </c>
      <c r="E1783" s="46" t="s">
        <v>14</v>
      </c>
      <c r="F1783" s="48">
        <v>118.3</v>
      </c>
    </row>
    <row r="1784">
      <c r="A1784" s="46" t="s">
        <v>1579</v>
      </c>
      <c r="B1784" s="46" t="s">
        <v>8290</v>
      </c>
      <c r="C1784" s="46" t="s">
        <v>8279</v>
      </c>
      <c r="D1784" s="46" t="s">
        <v>17</v>
      </c>
      <c r="E1784" s="46" t="s">
        <v>14</v>
      </c>
      <c r="F1784" s="48">
        <v>116.4</v>
      </c>
    </row>
    <row r="1785">
      <c r="A1785" s="46" t="s">
        <v>1579</v>
      </c>
      <c r="B1785" s="46" t="s">
        <v>8292</v>
      </c>
      <c r="C1785" s="46" t="s">
        <v>1930</v>
      </c>
      <c r="D1785" s="46" t="s">
        <v>17</v>
      </c>
      <c r="E1785" s="46" t="s">
        <v>13</v>
      </c>
      <c r="F1785" s="48">
        <v>120.4</v>
      </c>
    </row>
    <row r="1786">
      <c r="A1786" s="46" t="s">
        <v>1579</v>
      </c>
      <c r="B1786" s="46" t="s">
        <v>8294</v>
      </c>
      <c r="C1786" s="46" t="s">
        <v>8295</v>
      </c>
      <c r="D1786" s="46" t="s">
        <v>17</v>
      </c>
      <c r="E1786" s="46" t="s">
        <v>15</v>
      </c>
      <c r="F1786" s="48">
        <v>115.6</v>
      </c>
    </row>
    <row r="1787">
      <c r="A1787" s="46" t="s">
        <v>1964</v>
      </c>
      <c r="B1787" s="46" t="s">
        <v>8297</v>
      </c>
      <c r="C1787" s="46" t="s">
        <v>1970</v>
      </c>
      <c r="D1787" s="46" t="s">
        <v>18</v>
      </c>
      <c r="E1787" s="46" t="s">
        <v>15</v>
      </c>
      <c r="F1787" s="48">
        <v>115.2</v>
      </c>
    </row>
    <row r="1788">
      <c r="A1788" s="46" t="s">
        <v>1964</v>
      </c>
      <c r="B1788" s="46" t="s">
        <v>8303</v>
      </c>
      <c r="C1788" s="46" t="s">
        <v>1980</v>
      </c>
      <c r="D1788" s="46" t="s">
        <v>18</v>
      </c>
      <c r="E1788" s="46" t="s">
        <v>15</v>
      </c>
      <c r="F1788" s="48">
        <v>117.1</v>
      </c>
    </row>
    <row r="1789">
      <c r="A1789" s="46" t="s">
        <v>1964</v>
      </c>
      <c r="B1789" s="46" t="s">
        <v>8305</v>
      </c>
      <c r="C1789" s="46" t="s">
        <v>1980</v>
      </c>
      <c r="D1789" s="46" t="s">
        <v>17</v>
      </c>
      <c r="E1789" s="46" t="s">
        <v>15</v>
      </c>
      <c r="F1789" s="48">
        <v>126.1</v>
      </c>
    </row>
    <row r="1790">
      <c r="A1790" s="46" t="s">
        <v>1989</v>
      </c>
      <c r="B1790" s="46" t="s">
        <v>8311</v>
      </c>
      <c r="C1790" s="46" t="s">
        <v>2001</v>
      </c>
      <c r="D1790" s="46" t="s">
        <v>17</v>
      </c>
      <c r="E1790" s="46" t="s">
        <v>15</v>
      </c>
      <c r="F1790" s="48">
        <v>127.7</v>
      </c>
    </row>
    <row r="1791">
      <c r="A1791" s="46" t="s">
        <v>2013</v>
      </c>
      <c r="B1791" s="46" t="s">
        <v>7108</v>
      </c>
      <c r="C1791" s="46" t="s">
        <v>2016</v>
      </c>
      <c r="D1791" s="46" t="s">
        <v>18</v>
      </c>
      <c r="E1791" s="46" t="s">
        <v>15</v>
      </c>
      <c r="F1791" s="48">
        <v>110.8</v>
      </c>
    </row>
    <row r="1792">
      <c r="A1792" s="46" t="s">
        <v>71</v>
      </c>
      <c r="B1792" s="46" t="s">
        <v>74</v>
      </c>
      <c r="C1792" s="46" t="s">
        <v>75</v>
      </c>
      <c r="D1792" s="46" t="s">
        <v>18</v>
      </c>
      <c r="E1792" s="46" t="s">
        <v>14</v>
      </c>
      <c r="F1792" s="48">
        <v>102.1</v>
      </c>
    </row>
    <row r="1793">
      <c r="A1793" s="46" t="s">
        <v>71</v>
      </c>
      <c r="B1793" s="46" t="s">
        <v>83</v>
      </c>
      <c r="C1793" s="46" t="s">
        <v>84</v>
      </c>
      <c r="D1793" s="46" t="s">
        <v>18</v>
      </c>
      <c r="E1793" s="46" t="s">
        <v>13</v>
      </c>
      <c r="F1793" s="48">
        <v>83.9</v>
      </c>
    </row>
    <row r="1794">
      <c r="A1794" s="46" t="s">
        <v>88</v>
      </c>
      <c r="B1794" s="46" t="s">
        <v>91</v>
      </c>
      <c r="C1794" s="46" t="s">
        <v>92</v>
      </c>
      <c r="D1794" s="46" t="s">
        <v>18</v>
      </c>
      <c r="E1794" s="46" t="s">
        <v>13</v>
      </c>
      <c r="F1794" s="48">
        <v>80.2</v>
      </c>
    </row>
    <row r="1795">
      <c r="A1795" s="46" t="s">
        <v>88</v>
      </c>
      <c r="B1795" s="46" t="s">
        <v>94</v>
      </c>
      <c r="C1795" s="46" t="s">
        <v>95</v>
      </c>
      <c r="D1795" s="46" t="s">
        <v>18</v>
      </c>
      <c r="E1795" s="46" t="s">
        <v>15</v>
      </c>
      <c r="F1795" s="48">
        <v>102.2</v>
      </c>
    </row>
    <row r="1796">
      <c r="A1796" s="46" t="s">
        <v>88</v>
      </c>
      <c r="B1796" s="46" t="s">
        <v>97</v>
      </c>
      <c r="C1796" s="46" t="s">
        <v>95</v>
      </c>
      <c r="D1796" s="46" t="s">
        <v>18</v>
      </c>
      <c r="E1796" s="46" t="s">
        <v>13</v>
      </c>
      <c r="F1796" s="48">
        <v>96.5</v>
      </c>
    </row>
    <row r="1797">
      <c r="A1797" s="46" t="s">
        <v>88</v>
      </c>
      <c r="B1797" s="46" t="s">
        <v>99</v>
      </c>
      <c r="C1797" s="46" t="s">
        <v>95</v>
      </c>
      <c r="D1797" s="46" t="s">
        <v>18</v>
      </c>
      <c r="E1797" s="46" t="s">
        <v>13</v>
      </c>
      <c r="F1797" s="48">
        <v>72.3</v>
      </c>
    </row>
    <row r="1798">
      <c r="A1798" s="46" t="s">
        <v>88</v>
      </c>
      <c r="B1798" s="46" t="s">
        <v>101</v>
      </c>
      <c r="C1798" s="46" t="s">
        <v>102</v>
      </c>
      <c r="D1798" s="46" t="s">
        <v>18</v>
      </c>
      <c r="E1798" s="46" t="s">
        <v>13</v>
      </c>
      <c r="F1798" s="48">
        <v>73.0</v>
      </c>
    </row>
    <row r="1799">
      <c r="A1799" s="46" t="s">
        <v>88</v>
      </c>
      <c r="B1799" s="46" t="s">
        <v>104</v>
      </c>
      <c r="C1799" s="46" t="s">
        <v>105</v>
      </c>
      <c r="D1799" s="46" t="s">
        <v>17</v>
      </c>
      <c r="E1799" s="46" t="s">
        <v>13</v>
      </c>
      <c r="F1799" s="48">
        <v>91.5</v>
      </c>
    </row>
    <row r="1800">
      <c r="A1800" s="46" t="s">
        <v>88</v>
      </c>
      <c r="B1800" s="46" t="s">
        <v>112</v>
      </c>
      <c r="C1800" s="46" t="s">
        <v>113</v>
      </c>
      <c r="D1800" s="46" t="s">
        <v>17</v>
      </c>
      <c r="E1800" s="46" t="s">
        <v>13</v>
      </c>
      <c r="F1800" s="48">
        <v>94.6</v>
      </c>
    </row>
    <row r="1801">
      <c r="A1801" s="46" t="s">
        <v>88</v>
      </c>
      <c r="B1801" s="46" t="s">
        <v>115</v>
      </c>
      <c r="C1801" s="46" t="s">
        <v>108</v>
      </c>
      <c r="D1801" s="46" t="s">
        <v>18</v>
      </c>
      <c r="E1801" s="46" t="s">
        <v>13</v>
      </c>
      <c r="F1801" s="48">
        <v>77.5</v>
      </c>
    </row>
    <row r="1802">
      <c r="A1802" s="46" t="s">
        <v>116</v>
      </c>
      <c r="B1802" s="46" t="s">
        <v>119</v>
      </c>
      <c r="C1802" s="46" t="s">
        <v>120</v>
      </c>
      <c r="D1802" s="46" t="s">
        <v>18</v>
      </c>
      <c r="E1802" s="46" t="s">
        <v>14</v>
      </c>
      <c r="F1802" s="48">
        <v>99.9</v>
      </c>
    </row>
    <row r="1803">
      <c r="A1803" s="46" t="s">
        <v>116</v>
      </c>
      <c r="B1803" s="46" t="s">
        <v>125</v>
      </c>
      <c r="C1803" s="46" t="s">
        <v>126</v>
      </c>
      <c r="D1803" s="46" t="s">
        <v>17</v>
      </c>
      <c r="E1803" s="46" t="s">
        <v>13</v>
      </c>
      <c r="F1803" s="48">
        <v>83.6</v>
      </c>
    </row>
    <row r="1804">
      <c r="A1804" s="46" t="s">
        <v>116</v>
      </c>
      <c r="B1804" s="46" t="s">
        <v>128</v>
      </c>
      <c r="C1804" s="46" t="s">
        <v>126</v>
      </c>
      <c r="D1804" s="46" t="s">
        <v>17</v>
      </c>
      <c r="E1804" s="46" t="s">
        <v>15</v>
      </c>
      <c r="F1804" s="48">
        <v>98.3</v>
      </c>
    </row>
    <row r="1805">
      <c r="A1805" s="46" t="s">
        <v>134</v>
      </c>
      <c r="B1805" s="46" t="s">
        <v>137</v>
      </c>
      <c r="C1805" s="46" t="s">
        <v>138</v>
      </c>
      <c r="D1805" s="46" t="s">
        <v>18</v>
      </c>
      <c r="E1805" s="46" t="s">
        <v>13</v>
      </c>
      <c r="F1805" s="48">
        <v>92.7</v>
      </c>
    </row>
    <row r="1806">
      <c r="A1806" s="46" t="s">
        <v>134</v>
      </c>
      <c r="B1806" s="46" t="s">
        <v>143</v>
      </c>
      <c r="C1806" s="46" t="s">
        <v>144</v>
      </c>
      <c r="D1806" s="46" t="s">
        <v>18</v>
      </c>
      <c r="E1806" s="46" t="s">
        <v>13</v>
      </c>
      <c r="F1806" s="48">
        <v>91.3</v>
      </c>
    </row>
    <row r="1807">
      <c r="A1807" s="46" t="s">
        <v>134</v>
      </c>
      <c r="B1807" s="46" t="s">
        <v>146</v>
      </c>
      <c r="C1807" s="46" t="s">
        <v>147</v>
      </c>
      <c r="D1807" s="46" t="s">
        <v>18</v>
      </c>
      <c r="E1807" s="46" t="s">
        <v>15</v>
      </c>
      <c r="F1807" s="48">
        <v>102.4</v>
      </c>
    </row>
    <row r="1808">
      <c r="A1808" s="46" t="s">
        <v>134</v>
      </c>
      <c r="B1808" s="46" t="s">
        <v>157</v>
      </c>
      <c r="C1808" s="46" t="s">
        <v>158</v>
      </c>
      <c r="D1808" s="46" t="s">
        <v>18</v>
      </c>
      <c r="E1808" s="46" t="s">
        <v>13</v>
      </c>
      <c r="F1808" s="48">
        <v>95.7</v>
      </c>
    </row>
    <row r="1809">
      <c r="A1809" s="46" t="s">
        <v>134</v>
      </c>
      <c r="B1809" s="46" t="s">
        <v>160</v>
      </c>
      <c r="C1809" s="46" t="s">
        <v>141</v>
      </c>
      <c r="D1809" s="46" t="s">
        <v>18</v>
      </c>
      <c r="E1809" s="46" t="s">
        <v>13</v>
      </c>
      <c r="F1809" s="48">
        <v>88.3</v>
      </c>
    </row>
    <row r="1810">
      <c r="A1810" s="46" t="s">
        <v>161</v>
      </c>
      <c r="B1810" s="46" t="s">
        <v>164</v>
      </c>
      <c r="C1810" s="46" t="s">
        <v>165</v>
      </c>
      <c r="D1810" s="46" t="s">
        <v>18</v>
      </c>
      <c r="E1810" s="46" t="s">
        <v>14</v>
      </c>
      <c r="F1810" s="48">
        <v>101.3</v>
      </c>
    </row>
    <row r="1811">
      <c r="A1811" s="46" t="s">
        <v>169</v>
      </c>
      <c r="B1811" s="46" t="s">
        <v>172</v>
      </c>
      <c r="C1811" s="46" t="s">
        <v>173</v>
      </c>
      <c r="D1811" s="46" t="s">
        <v>18</v>
      </c>
      <c r="E1811" s="46" t="s">
        <v>13</v>
      </c>
      <c r="F1811" s="48">
        <v>74.0</v>
      </c>
    </row>
    <row r="1812">
      <c r="A1812" s="46" t="s">
        <v>169</v>
      </c>
      <c r="B1812" s="46" t="s">
        <v>175</v>
      </c>
      <c r="C1812" s="46" t="s">
        <v>176</v>
      </c>
      <c r="D1812" s="46" t="s">
        <v>18</v>
      </c>
      <c r="E1812" s="46" t="s">
        <v>14</v>
      </c>
      <c r="F1812" s="48">
        <v>99.3</v>
      </c>
    </row>
    <row r="1813">
      <c r="A1813" s="46" t="s">
        <v>169</v>
      </c>
      <c r="B1813" s="46" t="s">
        <v>178</v>
      </c>
      <c r="C1813" s="46" t="s">
        <v>179</v>
      </c>
      <c r="D1813" s="46" t="s">
        <v>18</v>
      </c>
      <c r="E1813" s="46" t="s">
        <v>13</v>
      </c>
      <c r="F1813" s="48">
        <v>79.3</v>
      </c>
    </row>
    <row r="1814">
      <c r="A1814" s="46" t="s">
        <v>169</v>
      </c>
      <c r="B1814" s="46" t="s">
        <v>189</v>
      </c>
      <c r="C1814" s="46" t="s">
        <v>190</v>
      </c>
      <c r="D1814" s="46" t="s">
        <v>18</v>
      </c>
      <c r="E1814" s="46" t="s">
        <v>14</v>
      </c>
      <c r="F1814" s="48">
        <v>97.4</v>
      </c>
    </row>
    <row r="1815">
      <c r="A1815" s="46" t="s">
        <v>169</v>
      </c>
      <c r="B1815" s="46" t="s">
        <v>195</v>
      </c>
      <c r="C1815" s="46" t="s">
        <v>193</v>
      </c>
      <c r="D1815" s="46" t="s">
        <v>17</v>
      </c>
      <c r="E1815" s="46" t="s">
        <v>13</v>
      </c>
      <c r="F1815" s="48">
        <v>84.3</v>
      </c>
    </row>
    <row r="1816">
      <c r="A1816" s="46" t="s">
        <v>169</v>
      </c>
      <c r="B1816" s="46" t="s">
        <v>197</v>
      </c>
      <c r="C1816" s="46" t="s">
        <v>193</v>
      </c>
      <c r="D1816" s="46" t="s">
        <v>17</v>
      </c>
      <c r="E1816" s="46" t="s">
        <v>13</v>
      </c>
      <c r="F1816" s="48">
        <v>87.9</v>
      </c>
    </row>
    <row r="1817">
      <c r="A1817" s="46" t="s">
        <v>182</v>
      </c>
      <c r="B1817" s="46" t="s">
        <v>208</v>
      </c>
      <c r="C1817" s="46" t="s">
        <v>206</v>
      </c>
      <c r="D1817" s="46" t="s">
        <v>18</v>
      </c>
      <c r="E1817" s="46" t="s">
        <v>13</v>
      </c>
      <c r="F1817" s="48">
        <v>84.8</v>
      </c>
    </row>
    <row r="1818">
      <c r="A1818" s="46" t="s">
        <v>182</v>
      </c>
      <c r="B1818" s="46" t="s">
        <v>215</v>
      </c>
      <c r="C1818" s="46" t="s">
        <v>216</v>
      </c>
      <c r="D1818" s="46" t="s">
        <v>18</v>
      </c>
      <c r="E1818" s="46" t="s">
        <v>13</v>
      </c>
      <c r="F1818" s="48">
        <v>95.5</v>
      </c>
    </row>
    <row r="1819">
      <c r="A1819" s="46" t="s">
        <v>182</v>
      </c>
      <c r="B1819" s="46" t="s">
        <v>218</v>
      </c>
      <c r="C1819" s="46" t="s">
        <v>216</v>
      </c>
      <c r="D1819" s="46" t="s">
        <v>17</v>
      </c>
      <c r="E1819" s="46" t="s">
        <v>13</v>
      </c>
      <c r="F1819" s="48">
        <v>87.1</v>
      </c>
    </row>
    <row r="1820">
      <c r="A1820" s="46" t="s">
        <v>129</v>
      </c>
      <c r="B1820" s="46" t="s">
        <v>221</v>
      </c>
      <c r="C1820" s="46" t="s">
        <v>222</v>
      </c>
      <c r="D1820" s="46" t="s">
        <v>18</v>
      </c>
      <c r="E1820" s="46" t="s">
        <v>15</v>
      </c>
      <c r="F1820" s="48">
        <v>94.1</v>
      </c>
    </row>
    <row r="1821">
      <c r="A1821" s="46" t="s">
        <v>129</v>
      </c>
      <c r="B1821" s="46" t="s">
        <v>224</v>
      </c>
      <c r="C1821" s="46" t="s">
        <v>225</v>
      </c>
      <c r="D1821" s="46" t="s">
        <v>18</v>
      </c>
      <c r="E1821" s="46" t="s">
        <v>14</v>
      </c>
      <c r="F1821" s="48">
        <v>78.0</v>
      </c>
    </row>
    <row r="1822">
      <c r="A1822" s="46" t="s">
        <v>129</v>
      </c>
      <c r="B1822" s="46" t="s">
        <v>227</v>
      </c>
      <c r="C1822" s="46" t="s">
        <v>228</v>
      </c>
      <c r="D1822" s="46" t="s">
        <v>18</v>
      </c>
      <c r="E1822" s="46" t="s">
        <v>15</v>
      </c>
      <c r="F1822" s="48">
        <v>82.8</v>
      </c>
    </row>
    <row r="1823">
      <c r="A1823" s="46" t="s">
        <v>129</v>
      </c>
      <c r="B1823" s="46" t="s">
        <v>230</v>
      </c>
      <c r="C1823" s="46" t="s">
        <v>231</v>
      </c>
      <c r="D1823" s="46" t="s">
        <v>18</v>
      </c>
      <c r="E1823" s="46" t="s">
        <v>14</v>
      </c>
      <c r="F1823" s="48">
        <v>97.4</v>
      </c>
    </row>
    <row r="1824">
      <c r="A1824" s="46" t="s">
        <v>129</v>
      </c>
      <c r="B1824" s="46" t="s">
        <v>233</v>
      </c>
      <c r="C1824" s="46" t="s">
        <v>231</v>
      </c>
      <c r="D1824" s="46" t="s">
        <v>18</v>
      </c>
      <c r="E1824" s="46" t="s">
        <v>13</v>
      </c>
      <c r="F1824" s="48">
        <v>70.7</v>
      </c>
    </row>
    <row r="1825">
      <c r="A1825" s="46" t="s">
        <v>129</v>
      </c>
      <c r="B1825" s="46" t="s">
        <v>238</v>
      </c>
      <c r="C1825" s="46" t="s">
        <v>239</v>
      </c>
      <c r="D1825" s="46" t="s">
        <v>18</v>
      </c>
      <c r="E1825" s="46" t="s">
        <v>13</v>
      </c>
      <c r="F1825" s="48">
        <v>81.2</v>
      </c>
    </row>
    <row r="1826">
      <c r="A1826" s="46" t="s">
        <v>129</v>
      </c>
      <c r="B1826" s="46" t="s">
        <v>252</v>
      </c>
      <c r="C1826" s="46" t="s">
        <v>222</v>
      </c>
      <c r="D1826" s="46" t="s">
        <v>17</v>
      </c>
      <c r="E1826" s="46" t="s">
        <v>13</v>
      </c>
      <c r="F1826" s="48">
        <v>86.6</v>
      </c>
    </row>
    <row r="1827">
      <c r="A1827" s="46" t="s">
        <v>129</v>
      </c>
      <c r="B1827" s="46" t="s">
        <v>254</v>
      </c>
      <c r="C1827" s="46" t="s">
        <v>225</v>
      </c>
      <c r="D1827" s="46" t="s">
        <v>17</v>
      </c>
      <c r="E1827" s="46" t="s">
        <v>13</v>
      </c>
      <c r="F1827" s="48">
        <v>73.5</v>
      </c>
    </row>
    <row r="1828">
      <c r="A1828" s="46" t="s">
        <v>129</v>
      </c>
      <c r="B1828" s="46" t="s">
        <v>258</v>
      </c>
      <c r="C1828" s="46" t="s">
        <v>259</v>
      </c>
      <c r="D1828" s="46" t="s">
        <v>17</v>
      </c>
      <c r="E1828" s="46" t="s">
        <v>15</v>
      </c>
      <c r="F1828" s="48">
        <v>100.6</v>
      </c>
    </row>
    <row r="1829">
      <c r="A1829" s="46" t="s">
        <v>129</v>
      </c>
      <c r="B1829" s="46" t="s">
        <v>266</v>
      </c>
      <c r="C1829" s="46" t="s">
        <v>225</v>
      </c>
      <c r="D1829" s="46" t="s">
        <v>18</v>
      </c>
      <c r="E1829" s="46" t="s">
        <v>14</v>
      </c>
      <c r="F1829" s="48">
        <v>95.0</v>
      </c>
    </row>
    <row r="1830">
      <c r="A1830" s="46" t="s">
        <v>269</v>
      </c>
      <c r="B1830" s="46" t="s">
        <v>275</v>
      </c>
      <c r="C1830" s="46" t="s">
        <v>273</v>
      </c>
      <c r="D1830" s="46" t="s">
        <v>17</v>
      </c>
      <c r="E1830" s="46" t="s">
        <v>13</v>
      </c>
      <c r="F1830" s="48">
        <v>93.7</v>
      </c>
    </row>
    <row r="1831">
      <c r="A1831" s="46" t="s">
        <v>269</v>
      </c>
      <c r="B1831" s="46" t="s">
        <v>277</v>
      </c>
      <c r="C1831" s="46" t="s">
        <v>278</v>
      </c>
      <c r="D1831" s="46" t="s">
        <v>18</v>
      </c>
      <c r="E1831" s="46" t="s">
        <v>14</v>
      </c>
      <c r="F1831" s="48">
        <v>85.6</v>
      </c>
    </row>
    <row r="1832">
      <c r="A1832" s="46" t="s">
        <v>269</v>
      </c>
      <c r="B1832" s="46" t="s">
        <v>280</v>
      </c>
      <c r="C1832" s="46" t="s">
        <v>273</v>
      </c>
      <c r="D1832" s="46" t="s">
        <v>17</v>
      </c>
      <c r="E1832" s="46" t="s">
        <v>13</v>
      </c>
      <c r="F1832" s="48">
        <v>96.5</v>
      </c>
    </row>
    <row r="1833">
      <c r="A1833" s="46" t="s">
        <v>269</v>
      </c>
      <c r="B1833" s="46" t="s">
        <v>282</v>
      </c>
      <c r="C1833" s="46" t="s">
        <v>283</v>
      </c>
      <c r="D1833" s="46" t="s">
        <v>18</v>
      </c>
      <c r="E1833" s="46" t="s">
        <v>13</v>
      </c>
      <c r="F1833" s="48">
        <v>81.9</v>
      </c>
    </row>
    <row r="1834">
      <c r="A1834" s="46" t="s">
        <v>284</v>
      </c>
      <c r="B1834" s="46" t="s">
        <v>293</v>
      </c>
      <c r="C1834" s="46" t="s">
        <v>294</v>
      </c>
      <c r="D1834" s="46" t="s">
        <v>18</v>
      </c>
      <c r="E1834" s="46" t="s">
        <v>14</v>
      </c>
      <c r="F1834" s="48">
        <v>102.5</v>
      </c>
    </row>
    <row r="1835">
      <c r="A1835" s="46" t="s">
        <v>284</v>
      </c>
      <c r="B1835" s="46" t="s">
        <v>299</v>
      </c>
      <c r="C1835" s="46" t="s">
        <v>297</v>
      </c>
      <c r="D1835" s="46" t="s">
        <v>18</v>
      </c>
      <c r="E1835" s="46" t="s">
        <v>13</v>
      </c>
      <c r="F1835" s="48">
        <v>91.8</v>
      </c>
    </row>
    <row r="1836">
      <c r="A1836" s="46" t="s">
        <v>284</v>
      </c>
      <c r="B1836" s="46" t="s">
        <v>304</v>
      </c>
      <c r="C1836" s="46" t="s">
        <v>305</v>
      </c>
      <c r="D1836" s="46" t="s">
        <v>18</v>
      </c>
      <c r="E1836" s="46" t="s">
        <v>14</v>
      </c>
      <c r="F1836" s="48">
        <v>100.6</v>
      </c>
    </row>
    <row r="1837">
      <c r="A1837" s="46" t="s">
        <v>313</v>
      </c>
      <c r="B1837" s="46" t="s">
        <v>316</v>
      </c>
      <c r="C1837" s="46" t="s">
        <v>317</v>
      </c>
      <c r="D1837" s="46" t="s">
        <v>18</v>
      </c>
      <c r="E1837" s="46" t="s">
        <v>13</v>
      </c>
      <c r="F1837" s="48">
        <v>90.1</v>
      </c>
    </row>
    <row r="1838">
      <c r="A1838" s="46" t="s">
        <v>313</v>
      </c>
      <c r="B1838" s="46" t="s">
        <v>319</v>
      </c>
      <c r="C1838" s="46" t="s">
        <v>320</v>
      </c>
      <c r="D1838" s="46" t="s">
        <v>18</v>
      </c>
      <c r="E1838" s="46" t="s">
        <v>14</v>
      </c>
      <c r="F1838" s="48">
        <v>96.7</v>
      </c>
    </row>
    <row r="1839">
      <c r="A1839" s="46" t="s">
        <v>313</v>
      </c>
      <c r="B1839" s="46" t="s">
        <v>218</v>
      </c>
      <c r="C1839" s="46" t="s">
        <v>320</v>
      </c>
      <c r="D1839" s="46" t="s">
        <v>17</v>
      </c>
      <c r="E1839" s="46" t="s">
        <v>13</v>
      </c>
      <c r="F1839" s="48">
        <v>88.3</v>
      </c>
    </row>
    <row r="1840">
      <c r="A1840" s="46" t="s">
        <v>322</v>
      </c>
      <c r="B1840" s="46" t="s">
        <v>325</v>
      </c>
      <c r="C1840" s="46" t="s">
        <v>326</v>
      </c>
      <c r="D1840" s="46" t="s">
        <v>18</v>
      </c>
      <c r="E1840" s="46" t="s">
        <v>13</v>
      </c>
      <c r="F1840" s="48">
        <v>88.3</v>
      </c>
    </row>
    <row r="1841">
      <c r="A1841" s="46" t="s">
        <v>333</v>
      </c>
      <c r="B1841" s="46" t="s">
        <v>339</v>
      </c>
      <c r="C1841" s="46" t="s">
        <v>340</v>
      </c>
      <c r="D1841" s="46" t="s">
        <v>18</v>
      </c>
      <c r="E1841" s="46" t="s">
        <v>14</v>
      </c>
      <c r="F1841" s="48">
        <v>102.1</v>
      </c>
    </row>
    <row r="1842">
      <c r="A1842" s="46" t="s">
        <v>333</v>
      </c>
      <c r="B1842" s="46" t="s">
        <v>347</v>
      </c>
      <c r="C1842" s="46" t="s">
        <v>348</v>
      </c>
      <c r="D1842" s="46" t="s">
        <v>18</v>
      </c>
      <c r="E1842" s="46" t="s">
        <v>14</v>
      </c>
      <c r="F1842" s="48">
        <v>103.8</v>
      </c>
    </row>
    <row r="1843">
      <c r="A1843" s="46" t="s">
        <v>354</v>
      </c>
      <c r="B1843" s="46" t="s">
        <v>357</v>
      </c>
      <c r="C1843" s="46" t="s">
        <v>358</v>
      </c>
      <c r="D1843" s="46" t="s">
        <v>18</v>
      </c>
      <c r="E1843" s="46" t="s">
        <v>13</v>
      </c>
      <c r="F1843" s="48">
        <v>95.2</v>
      </c>
    </row>
    <row r="1844">
      <c r="A1844" s="46" t="s">
        <v>354</v>
      </c>
      <c r="B1844" s="46" t="s">
        <v>365</v>
      </c>
      <c r="C1844" s="46" t="s">
        <v>361</v>
      </c>
      <c r="D1844" s="46" t="s">
        <v>17</v>
      </c>
      <c r="E1844" s="46" t="s">
        <v>14</v>
      </c>
      <c r="F1844" s="48">
        <v>100.9</v>
      </c>
    </row>
    <row r="1845">
      <c r="A1845" s="46" t="s">
        <v>354</v>
      </c>
      <c r="B1845" s="46" t="s">
        <v>80</v>
      </c>
      <c r="C1845" s="46" t="s">
        <v>367</v>
      </c>
      <c r="D1845" s="46" t="s">
        <v>17</v>
      </c>
      <c r="E1845" s="46" t="s">
        <v>15</v>
      </c>
      <c r="F1845" s="48">
        <v>97.1</v>
      </c>
    </row>
    <row r="1846">
      <c r="A1846" s="46" t="s">
        <v>354</v>
      </c>
      <c r="B1846" s="46" t="s">
        <v>369</v>
      </c>
      <c r="C1846" s="46" t="s">
        <v>361</v>
      </c>
      <c r="D1846" s="46" t="s">
        <v>17</v>
      </c>
      <c r="E1846" s="46" t="s">
        <v>13</v>
      </c>
      <c r="F1846" s="48">
        <v>86.9</v>
      </c>
    </row>
    <row r="1847">
      <c r="A1847" s="46" t="s">
        <v>322</v>
      </c>
      <c r="B1847" s="46" t="s">
        <v>372</v>
      </c>
      <c r="C1847" s="46" t="s">
        <v>373</v>
      </c>
      <c r="D1847" s="46" t="s">
        <v>18</v>
      </c>
      <c r="E1847" s="46" t="s">
        <v>13</v>
      </c>
      <c r="F1847" s="48">
        <v>95.6</v>
      </c>
    </row>
    <row r="1848">
      <c r="A1848" s="46" t="s">
        <v>377</v>
      </c>
      <c r="B1848" s="46" t="s">
        <v>383</v>
      </c>
      <c r="C1848" s="46" t="s">
        <v>384</v>
      </c>
      <c r="D1848" s="46" t="s">
        <v>18</v>
      </c>
      <c r="E1848" s="46" t="s">
        <v>14</v>
      </c>
      <c r="F1848" s="48">
        <v>103.2</v>
      </c>
    </row>
    <row r="1849">
      <c r="A1849" s="46" t="s">
        <v>377</v>
      </c>
      <c r="B1849" s="46" t="s">
        <v>218</v>
      </c>
      <c r="C1849" s="46" t="s">
        <v>386</v>
      </c>
      <c r="D1849" s="46" t="s">
        <v>17</v>
      </c>
      <c r="E1849" s="46" t="s">
        <v>13</v>
      </c>
      <c r="F1849" s="48">
        <v>82.3</v>
      </c>
    </row>
    <row r="1850">
      <c r="A1850" s="46" t="s">
        <v>377</v>
      </c>
      <c r="B1850" s="46" t="s">
        <v>388</v>
      </c>
      <c r="C1850" s="46" t="s">
        <v>389</v>
      </c>
      <c r="D1850" s="46" t="s">
        <v>17</v>
      </c>
      <c r="E1850" s="46" t="s">
        <v>14</v>
      </c>
      <c r="F1850" s="48">
        <v>92.0</v>
      </c>
    </row>
    <row r="1851">
      <c r="A1851" s="46" t="s">
        <v>393</v>
      </c>
      <c r="B1851" s="46" t="s">
        <v>396</v>
      </c>
      <c r="C1851" s="46" t="s">
        <v>393</v>
      </c>
      <c r="D1851" s="46" t="s">
        <v>18</v>
      </c>
      <c r="E1851" s="46" t="s">
        <v>13</v>
      </c>
      <c r="F1851" s="48">
        <v>88.3</v>
      </c>
    </row>
    <row r="1852">
      <c r="A1852" s="46" t="s">
        <v>393</v>
      </c>
      <c r="B1852" s="46" t="s">
        <v>401</v>
      </c>
      <c r="C1852" s="46" t="s">
        <v>393</v>
      </c>
      <c r="D1852" s="46" t="s">
        <v>17</v>
      </c>
      <c r="E1852" s="46" t="s">
        <v>13</v>
      </c>
      <c r="F1852" s="48">
        <v>92.3</v>
      </c>
    </row>
    <row r="1853">
      <c r="A1853" s="46" t="s">
        <v>161</v>
      </c>
      <c r="B1853" s="46" t="s">
        <v>407</v>
      </c>
      <c r="C1853" s="46" t="s">
        <v>408</v>
      </c>
      <c r="D1853" s="46" t="s">
        <v>18</v>
      </c>
      <c r="E1853" s="46" t="s">
        <v>14</v>
      </c>
      <c r="F1853" s="48">
        <v>99.0</v>
      </c>
    </row>
    <row r="1854">
      <c r="A1854" s="46" t="s">
        <v>161</v>
      </c>
      <c r="B1854" s="46" t="s">
        <v>415</v>
      </c>
      <c r="C1854" s="46" t="s">
        <v>416</v>
      </c>
      <c r="D1854" s="46" t="s">
        <v>18</v>
      </c>
      <c r="E1854" s="46" t="s">
        <v>14</v>
      </c>
      <c r="F1854" s="48">
        <v>95.3</v>
      </c>
    </row>
    <row r="1855">
      <c r="A1855" s="46" t="s">
        <v>269</v>
      </c>
      <c r="B1855" s="46" t="s">
        <v>431</v>
      </c>
      <c r="C1855" s="46" t="s">
        <v>426</v>
      </c>
      <c r="D1855" s="46" t="s">
        <v>18</v>
      </c>
      <c r="E1855" s="46" t="s">
        <v>13</v>
      </c>
      <c r="F1855" s="48">
        <v>86.3</v>
      </c>
    </row>
    <row r="1856">
      <c r="A1856" s="46" t="s">
        <v>269</v>
      </c>
      <c r="B1856" s="46" t="s">
        <v>433</v>
      </c>
      <c r="C1856" s="46" t="s">
        <v>423</v>
      </c>
      <c r="D1856" s="46" t="s">
        <v>18</v>
      </c>
      <c r="E1856" s="46" t="s">
        <v>14</v>
      </c>
      <c r="F1856" s="48">
        <v>86.9</v>
      </c>
    </row>
    <row r="1857">
      <c r="A1857" s="46" t="s">
        <v>313</v>
      </c>
      <c r="B1857" s="46" t="s">
        <v>439</v>
      </c>
      <c r="C1857" s="46" t="s">
        <v>440</v>
      </c>
      <c r="D1857" s="46" t="s">
        <v>18</v>
      </c>
      <c r="E1857" s="46" t="s">
        <v>13</v>
      </c>
      <c r="F1857" s="48">
        <v>82.5</v>
      </c>
    </row>
    <row r="1858">
      <c r="A1858" s="46" t="s">
        <v>354</v>
      </c>
      <c r="B1858" s="46" t="s">
        <v>453</v>
      </c>
      <c r="C1858" s="46" t="s">
        <v>454</v>
      </c>
      <c r="D1858" s="46" t="s">
        <v>18</v>
      </c>
      <c r="E1858" s="46" t="s">
        <v>14</v>
      </c>
      <c r="F1858" s="48">
        <v>98.9</v>
      </c>
    </row>
    <row r="1859">
      <c r="A1859" s="46" t="s">
        <v>354</v>
      </c>
      <c r="B1859" s="46" t="s">
        <v>465</v>
      </c>
      <c r="C1859" s="46" t="s">
        <v>466</v>
      </c>
      <c r="D1859" s="46" t="s">
        <v>18</v>
      </c>
      <c r="E1859" s="46" t="s">
        <v>15</v>
      </c>
      <c r="F1859" s="48">
        <v>101.6</v>
      </c>
    </row>
    <row r="1860">
      <c r="A1860" s="46" t="s">
        <v>354</v>
      </c>
      <c r="B1860" s="46" t="s">
        <v>468</v>
      </c>
      <c r="C1860" s="46" t="s">
        <v>449</v>
      </c>
      <c r="D1860" s="46" t="s">
        <v>18</v>
      </c>
      <c r="E1860" s="46" t="s">
        <v>13</v>
      </c>
      <c r="F1860" s="48">
        <v>83.5</v>
      </c>
    </row>
    <row r="1861">
      <c r="A1861" s="46" t="s">
        <v>354</v>
      </c>
      <c r="B1861" s="46" t="s">
        <v>479</v>
      </c>
      <c r="C1861" s="46" t="s">
        <v>480</v>
      </c>
      <c r="D1861" s="46" t="s">
        <v>17</v>
      </c>
      <c r="E1861" s="46" t="s">
        <v>15</v>
      </c>
      <c r="F1861" s="48">
        <v>101.2</v>
      </c>
    </row>
    <row r="1862">
      <c r="A1862" s="46" t="s">
        <v>483</v>
      </c>
      <c r="B1862" s="46" t="s">
        <v>486</v>
      </c>
      <c r="C1862" s="46" t="s">
        <v>487</v>
      </c>
      <c r="D1862" s="46" t="s">
        <v>18</v>
      </c>
      <c r="E1862" s="46" t="s">
        <v>13</v>
      </c>
      <c r="F1862" s="48">
        <v>78.2</v>
      </c>
    </row>
    <row r="1863">
      <c r="A1863" s="46" t="s">
        <v>483</v>
      </c>
      <c r="B1863" s="46" t="s">
        <v>492</v>
      </c>
      <c r="C1863" s="46" t="s">
        <v>493</v>
      </c>
      <c r="D1863" s="46" t="s">
        <v>18</v>
      </c>
      <c r="E1863" s="46" t="s">
        <v>13</v>
      </c>
      <c r="F1863" s="48">
        <v>93.1</v>
      </c>
    </row>
    <row r="1864">
      <c r="A1864" s="46" t="s">
        <v>483</v>
      </c>
      <c r="B1864" s="46" t="s">
        <v>498</v>
      </c>
      <c r="C1864" s="46" t="s">
        <v>490</v>
      </c>
      <c r="D1864" s="46" t="s">
        <v>18</v>
      </c>
      <c r="E1864" s="46" t="s">
        <v>13</v>
      </c>
      <c r="F1864" s="48">
        <v>69.1</v>
      </c>
    </row>
    <row r="1865">
      <c r="A1865" s="46" t="s">
        <v>483</v>
      </c>
      <c r="B1865" s="46" t="s">
        <v>504</v>
      </c>
      <c r="C1865" s="46" t="s">
        <v>490</v>
      </c>
      <c r="D1865" s="46" t="s">
        <v>17</v>
      </c>
      <c r="E1865" s="46" t="s">
        <v>14</v>
      </c>
      <c r="F1865" s="48">
        <v>95.7</v>
      </c>
    </row>
    <row r="1866">
      <c r="A1866" s="46" t="s">
        <v>483</v>
      </c>
      <c r="B1866" s="46" t="s">
        <v>506</v>
      </c>
      <c r="C1866" s="46" t="s">
        <v>507</v>
      </c>
      <c r="D1866" s="46" t="s">
        <v>18</v>
      </c>
      <c r="E1866" s="46" t="s">
        <v>14</v>
      </c>
      <c r="F1866" s="48">
        <v>103.4</v>
      </c>
    </row>
    <row r="1867">
      <c r="A1867" s="46" t="s">
        <v>182</v>
      </c>
      <c r="B1867" s="46" t="s">
        <v>514</v>
      </c>
      <c r="C1867" s="46" t="s">
        <v>182</v>
      </c>
      <c r="D1867" s="46" t="s">
        <v>18</v>
      </c>
      <c r="E1867" s="46" t="s">
        <v>13</v>
      </c>
      <c r="F1867" s="48">
        <v>84.6</v>
      </c>
    </row>
    <row r="1868">
      <c r="A1868" s="46" t="s">
        <v>182</v>
      </c>
      <c r="B1868" s="46" t="s">
        <v>516</v>
      </c>
      <c r="C1868" s="46" t="s">
        <v>182</v>
      </c>
      <c r="D1868" s="46" t="s">
        <v>18</v>
      </c>
      <c r="E1868" s="46" t="s">
        <v>14</v>
      </c>
      <c r="F1868" s="48">
        <v>82.7</v>
      </c>
    </row>
    <row r="1869">
      <c r="A1869" s="46" t="s">
        <v>182</v>
      </c>
      <c r="B1869" s="46" t="s">
        <v>518</v>
      </c>
      <c r="C1869" s="46" t="s">
        <v>182</v>
      </c>
      <c r="D1869" s="46" t="s">
        <v>18</v>
      </c>
      <c r="E1869" s="46" t="s">
        <v>13</v>
      </c>
      <c r="F1869" s="48">
        <v>86.7</v>
      </c>
    </row>
    <row r="1870">
      <c r="A1870" s="46" t="s">
        <v>182</v>
      </c>
      <c r="B1870" s="46" t="s">
        <v>520</v>
      </c>
      <c r="C1870" s="46" t="s">
        <v>521</v>
      </c>
      <c r="D1870" s="46" t="s">
        <v>18</v>
      </c>
      <c r="E1870" s="46" t="s">
        <v>13</v>
      </c>
      <c r="F1870" s="48">
        <v>91.8</v>
      </c>
    </row>
    <row r="1871">
      <c r="A1871" s="46" t="s">
        <v>182</v>
      </c>
      <c r="B1871" s="46" t="s">
        <v>523</v>
      </c>
      <c r="C1871" s="46" t="s">
        <v>182</v>
      </c>
      <c r="D1871" s="46" t="s">
        <v>17</v>
      </c>
      <c r="E1871" s="46" t="s">
        <v>13</v>
      </c>
      <c r="F1871" s="48">
        <v>103.6</v>
      </c>
    </row>
    <row r="1872">
      <c r="A1872" s="46" t="s">
        <v>182</v>
      </c>
      <c r="B1872" s="46" t="s">
        <v>525</v>
      </c>
      <c r="C1872" s="46" t="s">
        <v>182</v>
      </c>
      <c r="D1872" s="46" t="s">
        <v>18</v>
      </c>
      <c r="E1872" s="46" t="s">
        <v>15</v>
      </c>
      <c r="F1872" s="48">
        <v>101.6</v>
      </c>
    </row>
    <row r="1873">
      <c r="A1873" s="46" t="s">
        <v>182</v>
      </c>
      <c r="B1873" s="46" t="s">
        <v>529</v>
      </c>
      <c r="C1873" s="46" t="s">
        <v>182</v>
      </c>
      <c r="D1873" s="46" t="s">
        <v>17</v>
      </c>
      <c r="E1873" s="46" t="s">
        <v>13</v>
      </c>
      <c r="F1873" s="48">
        <v>86.6</v>
      </c>
    </row>
    <row r="1874">
      <c r="A1874" s="46" t="s">
        <v>182</v>
      </c>
      <c r="B1874" s="46" t="s">
        <v>533</v>
      </c>
      <c r="C1874" s="46" t="s">
        <v>182</v>
      </c>
      <c r="D1874" s="46" t="s">
        <v>17</v>
      </c>
      <c r="E1874" s="46" t="s">
        <v>13</v>
      </c>
      <c r="F1874" s="48">
        <v>88.7</v>
      </c>
    </row>
    <row r="1875">
      <c r="A1875" s="46" t="s">
        <v>182</v>
      </c>
      <c r="B1875" s="46" t="s">
        <v>535</v>
      </c>
      <c r="C1875" s="46" t="s">
        <v>182</v>
      </c>
      <c r="D1875" s="46" t="s">
        <v>17</v>
      </c>
      <c r="E1875" s="46" t="s">
        <v>13</v>
      </c>
      <c r="F1875" s="48">
        <v>87.5</v>
      </c>
    </row>
    <row r="1876">
      <c r="A1876" s="46" t="s">
        <v>182</v>
      </c>
      <c r="B1876" s="46" t="s">
        <v>547</v>
      </c>
      <c r="C1876" s="46" t="s">
        <v>548</v>
      </c>
      <c r="D1876" s="46" t="s">
        <v>18</v>
      </c>
      <c r="E1876" s="46" t="s">
        <v>13</v>
      </c>
      <c r="F1876" s="48">
        <v>100.5</v>
      </c>
    </row>
    <row r="1877">
      <c r="A1877" s="46" t="s">
        <v>182</v>
      </c>
      <c r="B1877" s="46" t="s">
        <v>550</v>
      </c>
      <c r="C1877" s="46" t="s">
        <v>551</v>
      </c>
      <c r="D1877" s="46" t="s">
        <v>18</v>
      </c>
      <c r="E1877" s="46" t="s">
        <v>13</v>
      </c>
      <c r="F1877" s="48">
        <v>88.5</v>
      </c>
    </row>
    <row r="1878">
      <c r="A1878" s="46" t="s">
        <v>377</v>
      </c>
      <c r="B1878" s="46" t="s">
        <v>565</v>
      </c>
      <c r="C1878" s="46" t="s">
        <v>566</v>
      </c>
      <c r="D1878" s="46" t="s">
        <v>18</v>
      </c>
      <c r="E1878" s="46" t="s">
        <v>13</v>
      </c>
      <c r="F1878" s="48">
        <v>88.4</v>
      </c>
    </row>
    <row r="1879">
      <c r="A1879" s="46" t="s">
        <v>377</v>
      </c>
      <c r="B1879" s="46" t="s">
        <v>574</v>
      </c>
      <c r="C1879" s="46" t="s">
        <v>377</v>
      </c>
      <c r="D1879" s="46" t="s">
        <v>18</v>
      </c>
      <c r="E1879" s="46" t="s">
        <v>13</v>
      </c>
      <c r="F1879" s="48">
        <v>100.0</v>
      </c>
    </row>
    <row r="1880">
      <c r="A1880" s="46" t="s">
        <v>377</v>
      </c>
      <c r="B1880" s="46" t="s">
        <v>576</v>
      </c>
      <c r="C1880" s="46" t="s">
        <v>577</v>
      </c>
      <c r="D1880" s="46" t="s">
        <v>18</v>
      </c>
      <c r="E1880" s="46" t="s">
        <v>13</v>
      </c>
      <c r="F1880" s="48">
        <v>93.1</v>
      </c>
    </row>
    <row r="1881">
      <c r="A1881" s="46" t="s">
        <v>377</v>
      </c>
      <c r="B1881" s="46" t="s">
        <v>579</v>
      </c>
      <c r="C1881" s="46" t="s">
        <v>580</v>
      </c>
      <c r="D1881" s="46" t="s">
        <v>18</v>
      </c>
      <c r="E1881" s="46" t="s">
        <v>13</v>
      </c>
      <c r="F1881" s="48">
        <v>91.7</v>
      </c>
    </row>
    <row r="1882">
      <c r="A1882" s="46" t="s">
        <v>377</v>
      </c>
      <c r="B1882" s="46" t="s">
        <v>595</v>
      </c>
      <c r="C1882" s="46" t="s">
        <v>596</v>
      </c>
      <c r="D1882" s="46" t="s">
        <v>17</v>
      </c>
      <c r="E1882" s="46" t="s">
        <v>13</v>
      </c>
      <c r="F1882" s="48">
        <v>83.0</v>
      </c>
    </row>
    <row r="1883">
      <c r="A1883" s="46" t="s">
        <v>377</v>
      </c>
      <c r="B1883" s="46" t="s">
        <v>600</v>
      </c>
      <c r="C1883" s="46" t="s">
        <v>563</v>
      </c>
      <c r="D1883" s="46" t="s">
        <v>18</v>
      </c>
      <c r="E1883" s="46" t="s">
        <v>13</v>
      </c>
      <c r="F1883" s="48">
        <v>97.0</v>
      </c>
    </row>
    <row r="1884">
      <c r="A1884" s="46" t="s">
        <v>377</v>
      </c>
      <c r="B1884" s="46" t="s">
        <v>602</v>
      </c>
      <c r="C1884" s="46" t="s">
        <v>377</v>
      </c>
      <c r="D1884" s="46" t="s">
        <v>18</v>
      </c>
      <c r="E1884" s="46" t="s">
        <v>13</v>
      </c>
      <c r="F1884" s="48">
        <v>93.0</v>
      </c>
    </row>
    <row r="1885">
      <c r="A1885" s="46" t="s">
        <v>377</v>
      </c>
      <c r="B1885" s="46" t="s">
        <v>607</v>
      </c>
      <c r="C1885" s="46" t="s">
        <v>608</v>
      </c>
      <c r="D1885" s="46" t="s">
        <v>17</v>
      </c>
      <c r="E1885" s="46" t="s">
        <v>15</v>
      </c>
      <c r="F1885" s="48">
        <v>97.7</v>
      </c>
    </row>
    <row r="1886">
      <c r="A1886" s="46" t="s">
        <v>483</v>
      </c>
      <c r="B1886" s="46" t="s">
        <v>619</v>
      </c>
      <c r="C1886" s="46" t="s">
        <v>483</v>
      </c>
      <c r="D1886" s="46" t="s">
        <v>18</v>
      </c>
      <c r="E1886" s="46" t="s">
        <v>13</v>
      </c>
      <c r="F1886" s="48">
        <v>81.9</v>
      </c>
    </row>
    <row r="1887">
      <c r="A1887" s="46" t="s">
        <v>354</v>
      </c>
      <c r="B1887" s="46" t="s">
        <v>624</v>
      </c>
      <c r="C1887" s="46" t="s">
        <v>354</v>
      </c>
      <c r="D1887" s="46" t="s">
        <v>18</v>
      </c>
      <c r="E1887" s="46" t="s">
        <v>13</v>
      </c>
      <c r="F1887" s="48">
        <v>81.5</v>
      </c>
    </row>
    <row r="1888">
      <c r="A1888" s="46" t="s">
        <v>313</v>
      </c>
      <c r="B1888" s="46" t="s">
        <v>636</v>
      </c>
      <c r="C1888" s="46" t="s">
        <v>634</v>
      </c>
      <c r="D1888" s="46" t="s">
        <v>18</v>
      </c>
      <c r="E1888" s="46" t="s">
        <v>13</v>
      </c>
      <c r="F1888" s="48">
        <v>79.9</v>
      </c>
    </row>
    <row r="1889">
      <c r="A1889" s="46" t="s">
        <v>313</v>
      </c>
      <c r="B1889" s="46" t="s">
        <v>639</v>
      </c>
      <c r="C1889" s="46" t="s">
        <v>640</v>
      </c>
      <c r="D1889" s="46" t="s">
        <v>18</v>
      </c>
      <c r="E1889" s="46" t="s">
        <v>13</v>
      </c>
      <c r="F1889" s="48">
        <v>90.0</v>
      </c>
    </row>
    <row r="1890">
      <c r="A1890" s="46" t="s">
        <v>313</v>
      </c>
      <c r="B1890" s="46" t="s">
        <v>647</v>
      </c>
      <c r="C1890" s="46" t="s">
        <v>640</v>
      </c>
      <c r="D1890" s="46" t="s">
        <v>17</v>
      </c>
      <c r="E1890" s="46" t="s">
        <v>13</v>
      </c>
      <c r="F1890" s="48">
        <v>100.6</v>
      </c>
    </row>
    <row r="1891">
      <c r="A1891" s="46" t="s">
        <v>313</v>
      </c>
      <c r="B1891" s="46" t="s">
        <v>649</v>
      </c>
      <c r="C1891" s="46" t="s">
        <v>640</v>
      </c>
      <c r="D1891" s="46" t="s">
        <v>18</v>
      </c>
      <c r="E1891" s="46" t="s">
        <v>13</v>
      </c>
      <c r="F1891" s="48">
        <v>93.0</v>
      </c>
    </row>
    <row r="1892">
      <c r="A1892" s="46" t="s">
        <v>313</v>
      </c>
      <c r="B1892" s="46" t="s">
        <v>651</v>
      </c>
      <c r="C1892" s="46" t="s">
        <v>645</v>
      </c>
      <c r="D1892" s="46" t="s">
        <v>18</v>
      </c>
      <c r="E1892" s="46" t="s">
        <v>13</v>
      </c>
      <c r="F1892" s="48">
        <v>102.3</v>
      </c>
    </row>
    <row r="1893">
      <c r="A1893" s="46" t="s">
        <v>313</v>
      </c>
      <c r="B1893" s="46" t="s">
        <v>653</v>
      </c>
      <c r="C1893" s="46" t="s">
        <v>640</v>
      </c>
      <c r="D1893" s="46" t="s">
        <v>18</v>
      </c>
      <c r="E1893" s="46" t="s">
        <v>13</v>
      </c>
      <c r="F1893" s="48">
        <v>93.8</v>
      </c>
    </row>
    <row r="1894">
      <c r="A1894" s="46" t="s">
        <v>313</v>
      </c>
      <c r="B1894" s="46" t="s">
        <v>655</v>
      </c>
      <c r="C1894" s="46" t="s">
        <v>656</v>
      </c>
      <c r="D1894" s="46" t="s">
        <v>18</v>
      </c>
      <c r="E1894" s="46" t="s">
        <v>13</v>
      </c>
      <c r="F1894" s="48">
        <v>90.1</v>
      </c>
    </row>
    <row r="1895">
      <c r="A1895" s="46" t="s">
        <v>313</v>
      </c>
      <c r="B1895" s="46" t="s">
        <v>658</v>
      </c>
      <c r="C1895" s="46" t="s">
        <v>659</v>
      </c>
      <c r="D1895" s="46" t="s">
        <v>18</v>
      </c>
      <c r="E1895" s="46" t="s">
        <v>13</v>
      </c>
      <c r="F1895" s="48">
        <v>88.9</v>
      </c>
    </row>
    <row r="1896">
      <c r="A1896" s="46" t="s">
        <v>313</v>
      </c>
      <c r="B1896" s="46" t="s">
        <v>661</v>
      </c>
      <c r="C1896" s="46" t="s">
        <v>662</v>
      </c>
      <c r="D1896" s="46" t="s">
        <v>18</v>
      </c>
      <c r="E1896" s="46" t="s">
        <v>13</v>
      </c>
      <c r="F1896" s="48">
        <v>83.4</v>
      </c>
    </row>
    <row r="1897">
      <c r="A1897" s="46" t="s">
        <v>161</v>
      </c>
      <c r="B1897" s="46" t="s">
        <v>665</v>
      </c>
      <c r="C1897" s="46" t="s">
        <v>666</v>
      </c>
      <c r="D1897" s="46" t="s">
        <v>18</v>
      </c>
      <c r="E1897" s="46" t="s">
        <v>14</v>
      </c>
      <c r="F1897" s="48">
        <v>102.0</v>
      </c>
    </row>
    <row r="1898">
      <c r="A1898" s="46" t="s">
        <v>161</v>
      </c>
      <c r="B1898" s="46" t="s">
        <v>668</v>
      </c>
      <c r="C1898" s="46" t="s">
        <v>161</v>
      </c>
      <c r="D1898" s="46" t="s">
        <v>18</v>
      </c>
      <c r="E1898" s="46" t="s">
        <v>14</v>
      </c>
      <c r="F1898" s="48">
        <v>87.6</v>
      </c>
    </row>
    <row r="1899">
      <c r="A1899" s="46" t="s">
        <v>161</v>
      </c>
      <c r="B1899" s="46" t="s">
        <v>679</v>
      </c>
      <c r="C1899" s="46" t="s">
        <v>680</v>
      </c>
      <c r="D1899" s="46" t="s">
        <v>18</v>
      </c>
      <c r="E1899" s="46" t="s">
        <v>13</v>
      </c>
      <c r="F1899" s="48">
        <v>83.8</v>
      </c>
    </row>
    <row r="1900">
      <c r="A1900" s="46" t="s">
        <v>161</v>
      </c>
      <c r="B1900" s="46" t="s">
        <v>686</v>
      </c>
      <c r="C1900" s="46" t="s">
        <v>687</v>
      </c>
      <c r="D1900" s="46" t="s">
        <v>17</v>
      </c>
      <c r="E1900" s="46" t="s">
        <v>14</v>
      </c>
      <c r="F1900" s="48">
        <v>97.6</v>
      </c>
    </row>
    <row r="1901">
      <c r="A1901" s="46" t="s">
        <v>393</v>
      </c>
      <c r="B1901" s="46" t="s">
        <v>210</v>
      </c>
      <c r="C1901" s="46" t="s">
        <v>710</v>
      </c>
      <c r="D1901" s="46" t="s">
        <v>17</v>
      </c>
      <c r="E1901" s="46" t="s">
        <v>15</v>
      </c>
      <c r="F1901" s="48">
        <v>97.7</v>
      </c>
    </row>
    <row r="1902">
      <c r="A1902" s="46" t="s">
        <v>393</v>
      </c>
      <c r="B1902" s="46" t="s">
        <v>712</v>
      </c>
      <c r="C1902" s="46" t="s">
        <v>713</v>
      </c>
      <c r="D1902" s="46" t="s">
        <v>18</v>
      </c>
      <c r="E1902" s="46" t="s">
        <v>13</v>
      </c>
      <c r="F1902" s="48">
        <v>90.0</v>
      </c>
    </row>
    <row r="1903">
      <c r="A1903" s="46" t="s">
        <v>377</v>
      </c>
      <c r="B1903" s="46" t="s">
        <v>218</v>
      </c>
      <c r="C1903" s="46" t="s">
        <v>728</v>
      </c>
      <c r="D1903" s="46" t="s">
        <v>17</v>
      </c>
      <c r="E1903" s="46" t="s">
        <v>13</v>
      </c>
      <c r="F1903" s="48">
        <v>96.8</v>
      </c>
    </row>
    <row r="1904">
      <c r="A1904" s="46" t="s">
        <v>313</v>
      </c>
      <c r="B1904" s="46" t="s">
        <v>737</v>
      </c>
      <c r="C1904" s="46" t="s">
        <v>738</v>
      </c>
      <c r="D1904" s="46" t="s">
        <v>18</v>
      </c>
      <c r="E1904" s="46" t="s">
        <v>13</v>
      </c>
      <c r="F1904" s="48">
        <v>91.1</v>
      </c>
    </row>
    <row r="1905">
      <c r="A1905" s="46" t="s">
        <v>71</v>
      </c>
      <c r="B1905" s="46" t="s">
        <v>754</v>
      </c>
      <c r="C1905" s="46" t="s">
        <v>745</v>
      </c>
      <c r="D1905" s="46" t="s">
        <v>17</v>
      </c>
      <c r="E1905" s="46" t="s">
        <v>13</v>
      </c>
      <c r="F1905" s="48">
        <v>95.4</v>
      </c>
    </row>
    <row r="1906">
      <c r="A1906" s="46" t="s">
        <v>71</v>
      </c>
      <c r="B1906" s="46" t="s">
        <v>758</v>
      </c>
      <c r="C1906" s="46" t="s">
        <v>759</v>
      </c>
      <c r="D1906" s="46" t="s">
        <v>18</v>
      </c>
      <c r="E1906" s="46" t="s">
        <v>13</v>
      </c>
      <c r="F1906" s="48">
        <v>80.9</v>
      </c>
    </row>
    <row r="1907">
      <c r="A1907" s="46" t="s">
        <v>71</v>
      </c>
      <c r="B1907" s="46" t="s">
        <v>761</v>
      </c>
      <c r="C1907" s="46" t="s">
        <v>748</v>
      </c>
      <c r="D1907" s="46" t="s">
        <v>17</v>
      </c>
      <c r="E1907" s="46" t="s">
        <v>13</v>
      </c>
      <c r="F1907" s="48">
        <v>87.8</v>
      </c>
    </row>
    <row r="1908">
      <c r="A1908" s="46" t="s">
        <v>71</v>
      </c>
      <c r="B1908" s="46" t="s">
        <v>763</v>
      </c>
      <c r="C1908" s="46" t="s">
        <v>748</v>
      </c>
      <c r="D1908" s="46" t="s">
        <v>17</v>
      </c>
      <c r="E1908" s="46" t="s">
        <v>14</v>
      </c>
      <c r="F1908" s="48">
        <v>92.8</v>
      </c>
    </row>
    <row r="1909">
      <c r="A1909" s="46" t="s">
        <v>116</v>
      </c>
      <c r="B1909" s="46" t="s">
        <v>775</v>
      </c>
      <c r="C1909" s="46" t="s">
        <v>776</v>
      </c>
      <c r="D1909" s="46" t="s">
        <v>17</v>
      </c>
      <c r="E1909" s="46" t="s">
        <v>13</v>
      </c>
      <c r="F1909" s="48">
        <v>92.5</v>
      </c>
    </row>
    <row r="1910">
      <c r="A1910" s="46" t="s">
        <v>779</v>
      </c>
      <c r="B1910" s="46" t="s">
        <v>784</v>
      </c>
      <c r="C1910" s="46" t="s">
        <v>785</v>
      </c>
      <c r="D1910" s="46" t="s">
        <v>18</v>
      </c>
      <c r="E1910" s="46" t="s">
        <v>13</v>
      </c>
      <c r="F1910" s="48">
        <v>88.6</v>
      </c>
    </row>
    <row r="1911">
      <c r="A1911" s="46" t="s">
        <v>779</v>
      </c>
      <c r="B1911" s="46" t="s">
        <v>794</v>
      </c>
      <c r="C1911" s="46" t="s">
        <v>795</v>
      </c>
      <c r="D1911" s="46" t="s">
        <v>17</v>
      </c>
      <c r="E1911" s="46" t="s">
        <v>13</v>
      </c>
      <c r="F1911" s="48">
        <v>96.0</v>
      </c>
    </row>
    <row r="1912">
      <c r="A1912" s="46" t="s">
        <v>779</v>
      </c>
      <c r="B1912" s="46" t="s">
        <v>797</v>
      </c>
      <c r="C1912" s="46" t="s">
        <v>798</v>
      </c>
      <c r="D1912" s="46" t="s">
        <v>17</v>
      </c>
      <c r="E1912" s="46" t="s">
        <v>14</v>
      </c>
      <c r="F1912" s="48">
        <v>103.4</v>
      </c>
    </row>
    <row r="1913">
      <c r="A1913" s="46" t="s">
        <v>779</v>
      </c>
      <c r="B1913" s="46" t="s">
        <v>800</v>
      </c>
      <c r="C1913" s="46" t="s">
        <v>801</v>
      </c>
      <c r="D1913" s="46" t="s">
        <v>17</v>
      </c>
      <c r="E1913" s="46" t="s">
        <v>13</v>
      </c>
      <c r="F1913" s="48">
        <v>99.3</v>
      </c>
    </row>
    <row r="1914">
      <c r="A1914" s="46" t="s">
        <v>779</v>
      </c>
      <c r="B1914" s="46" t="s">
        <v>803</v>
      </c>
      <c r="C1914" s="46" t="s">
        <v>804</v>
      </c>
      <c r="D1914" s="46" t="s">
        <v>18</v>
      </c>
      <c r="E1914" s="46" t="s">
        <v>13</v>
      </c>
      <c r="F1914" s="48">
        <v>83.2</v>
      </c>
    </row>
    <row r="1915">
      <c r="A1915" s="46" t="s">
        <v>779</v>
      </c>
      <c r="B1915" s="46" t="s">
        <v>806</v>
      </c>
      <c r="C1915" s="46" t="s">
        <v>807</v>
      </c>
      <c r="D1915" s="46" t="s">
        <v>18</v>
      </c>
      <c r="E1915" s="46" t="s">
        <v>13</v>
      </c>
      <c r="F1915" s="48">
        <v>95.2</v>
      </c>
    </row>
    <row r="1916">
      <c r="A1916" s="46" t="s">
        <v>779</v>
      </c>
      <c r="B1916" s="46" t="s">
        <v>809</v>
      </c>
      <c r="C1916" s="46" t="s">
        <v>779</v>
      </c>
      <c r="D1916" s="46" t="s">
        <v>18</v>
      </c>
      <c r="E1916" s="46" t="s">
        <v>15</v>
      </c>
      <c r="F1916" s="48">
        <v>97.1</v>
      </c>
    </row>
    <row r="1917">
      <c r="A1917" s="46" t="s">
        <v>313</v>
      </c>
      <c r="B1917" s="46" t="s">
        <v>826</v>
      </c>
      <c r="C1917" s="46" t="s">
        <v>827</v>
      </c>
      <c r="D1917" s="46" t="s">
        <v>18</v>
      </c>
      <c r="E1917" s="46" t="s">
        <v>13</v>
      </c>
      <c r="F1917" s="48">
        <v>80.6</v>
      </c>
    </row>
    <row r="1918">
      <c r="A1918" s="46" t="s">
        <v>313</v>
      </c>
      <c r="B1918" s="46" t="s">
        <v>829</v>
      </c>
      <c r="C1918" s="46" t="s">
        <v>830</v>
      </c>
      <c r="D1918" s="46" t="s">
        <v>18</v>
      </c>
      <c r="E1918" s="46" t="s">
        <v>14</v>
      </c>
      <c r="F1918" s="48">
        <v>101.8</v>
      </c>
    </row>
    <row r="1919">
      <c r="A1919" s="46" t="s">
        <v>313</v>
      </c>
      <c r="B1919" s="46" t="s">
        <v>834</v>
      </c>
      <c r="C1919" s="46" t="s">
        <v>827</v>
      </c>
      <c r="D1919" s="46" t="s">
        <v>17</v>
      </c>
      <c r="E1919" s="46" t="s">
        <v>14</v>
      </c>
      <c r="F1919" s="48">
        <v>95.7</v>
      </c>
    </row>
    <row r="1920">
      <c r="A1920" s="46" t="s">
        <v>313</v>
      </c>
      <c r="B1920" s="46" t="s">
        <v>836</v>
      </c>
      <c r="C1920" s="46" t="s">
        <v>837</v>
      </c>
      <c r="D1920" s="46" t="s">
        <v>18</v>
      </c>
      <c r="E1920" s="46" t="s">
        <v>14</v>
      </c>
      <c r="F1920" s="48">
        <v>89.3</v>
      </c>
    </row>
    <row r="1921">
      <c r="A1921" s="46" t="s">
        <v>182</v>
      </c>
      <c r="B1921" s="46" t="s">
        <v>846</v>
      </c>
      <c r="C1921" s="46" t="s">
        <v>841</v>
      </c>
      <c r="D1921" s="46" t="s">
        <v>18</v>
      </c>
      <c r="E1921" s="46" t="s">
        <v>13</v>
      </c>
      <c r="F1921" s="48">
        <v>91.9</v>
      </c>
    </row>
    <row r="1922">
      <c r="A1922" s="46" t="s">
        <v>377</v>
      </c>
      <c r="B1922" s="46" t="s">
        <v>854</v>
      </c>
      <c r="C1922" s="46" t="s">
        <v>855</v>
      </c>
      <c r="D1922" s="46" t="s">
        <v>18</v>
      </c>
      <c r="E1922" s="46" t="s">
        <v>15</v>
      </c>
      <c r="F1922" s="48">
        <v>101.4</v>
      </c>
    </row>
    <row r="1923">
      <c r="A1923" s="46" t="s">
        <v>779</v>
      </c>
      <c r="B1923" s="46" t="s">
        <v>861</v>
      </c>
      <c r="C1923" s="46" t="s">
        <v>862</v>
      </c>
      <c r="D1923" s="46" t="s">
        <v>18</v>
      </c>
      <c r="E1923" s="46" t="s">
        <v>13</v>
      </c>
      <c r="F1923" s="48">
        <v>90.0</v>
      </c>
    </row>
    <row r="1924">
      <c r="A1924" s="46" t="s">
        <v>779</v>
      </c>
      <c r="B1924" s="46" t="s">
        <v>864</v>
      </c>
      <c r="C1924" s="46" t="s">
        <v>859</v>
      </c>
      <c r="D1924" s="46" t="s">
        <v>18</v>
      </c>
      <c r="E1924" s="46" t="s">
        <v>13</v>
      </c>
      <c r="F1924" s="48">
        <v>78.5</v>
      </c>
    </row>
    <row r="1925">
      <c r="A1925" s="46" t="s">
        <v>779</v>
      </c>
      <c r="B1925" s="46" t="s">
        <v>866</v>
      </c>
      <c r="C1925" s="46" t="s">
        <v>867</v>
      </c>
      <c r="D1925" s="46" t="s">
        <v>17</v>
      </c>
      <c r="E1925" s="46" t="s">
        <v>13</v>
      </c>
      <c r="F1925" s="48">
        <v>102.7</v>
      </c>
    </row>
    <row r="1926">
      <c r="A1926" s="46" t="s">
        <v>779</v>
      </c>
      <c r="B1926" s="46" t="s">
        <v>869</v>
      </c>
      <c r="C1926" s="46" t="s">
        <v>870</v>
      </c>
      <c r="D1926" s="46" t="s">
        <v>17</v>
      </c>
      <c r="E1926" s="46" t="s">
        <v>13</v>
      </c>
      <c r="F1926" s="48">
        <v>91.3</v>
      </c>
    </row>
    <row r="1927">
      <c r="A1927" s="46" t="s">
        <v>269</v>
      </c>
      <c r="B1927" s="46" t="s">
        <v>895</v>
      </c>
      <c r="C1927" s="46" t="s">
        <v>884</v>
      </c>
      <c r="D1927" s="46" t="s">
        <v>17</v>
      </c>
      <c r="E1927" s="46" t="s">
        <v>13</v>
      </c>
      <c r="F1927" s="48">
        <v>87.7</v>
      </c>
    </row>
    <row r="1928">
      <c r="A1928" s="46" t="s">
        <v>269</v>
      </c>
      <c r="B1928" s="46" t="s">
        <v>897</v>
      </c>
      <c r="C1928" s="46" t="s">
        <v>898</v>
      </c>
      <c r="D1928" s="46" t="s">
        <v>17</v>
      </c>
      <c r="E1928" s="46" t="s">
        <v>13</v>
      </c>
      <c r="F1928" s="48">
        <v>95.8</v>
      </c>
    </row>
    <row r="1929">
      <c r="A1929" s="46" t="s">
        <v>169</v>
      </c>
      <c r="B1929" s="46" t="s">
        <v>910</v>
      </c>
      <c r="C1929" s="46" t="s">
        <v>911</v>
      </c>
      <c r="D1929" s="46" t="s">
        <v>18</v>
      </c>
      <c r="E1929" s="46" t="s">
        <v>14</v>
      </c>
      <c r="F1929" s="48">
        <v>94.4</v>
      </c>
    </row>
    <row r="1930">
      <c r="A1930" s="46" t="s">
        <v>169</v>
      </c>
      <c r="B1930" s="46" t="s">
        <v>918</v>
      </c>
      <c r="C1930" s="46" t="s">
        <v>914</v>
      </c>
      <c r="D1930" s="46" t="s">
        <v>17</v>
      </c>
      <c r="E1930" s="46" t="s">
        <v>13</v>
      </c>
      <c r="F1930" s="48">
        <v>93.7</v>
      </c>
    </row>
    <row r="1931">
      <c r="A1931" s="46" t="s">
        <v>169</v>
      </c>
      <c r="B1931" s="46" t="s">
        <v>920</v>
      </c>
      <c r="C1931" s="46" t="s">
        <v>169</v>
      </c>
      <c r="D1931" s="46" t="s">
        <v>18</v>
      </c>
      <c r="E1931" s="46" t="s">
        <v>13</v>
      </c>
      <c r="F1931" s="48">
        <v>74.3</v>
      </c>
    </row>
    <row r="1932">
      <c r="A1932" s="46" t="s">
        <v>169</v>
      </c>
      <c r="B1932" s="46" t="s">
        <v>922</v>
      </c>
      <c r="C1932" s="46" t="s">
        <v>169</v>
      </c>
      <c r="D1932" s="46" t="s">
        <v>18</v>
      </c>
      <c r="E1932" s="46" t="s">
        <v>13</v>
      </c>
      <c r="F1932" s="48">
        <v>87.5</v>
      </c>
    </row>
    <row r="1933">
      <c r="A1933" s="46" t="s">
        <v>169</v>
      </c>
      <c r="B1933" s="46" t="s">
        <v>925</v>
      </c>
      <c r="C1933" s="46" t="s">
        <v>926</v>
      </c>
      <c r="D1933" s="46" t="s">
        <v>18</v>
      </c>
      <c r="E1933" s="46" t="s">
        <v>13</v>
      </c>
      <c r="F1933" s="48">
        <v>78.3</v>
      </c>
    </row>
    <row r="1934">
      <c r="A1934" s="46" t="s">
        <v>779</v>
      </c>
      <c r="B1934" s="46" t="s">
        <v>929</v>
      </c>
      <c r="C1934" s="46" t="s">
        <v>927</v>
      </c>
      <c r="D1934" s="46" t="s">
        <v>17</v>
      </c>
      <c r="E1934" s="46" t="s">
        <v>13</v>
      </c>
      <c r="F1934" s="48">
        <v>93.3</v>
      </c>
    </row>
    <row r="1935">
      <c r="A1935" s="46" t="s">
        <v>930</v>
      </c>
      <c r="B1935" s="46" t="s">
        <v>936</v>
      </c>
      <c r="C1935" s="46" t="s">
        <v>937</v>
      </c>
      <c r="D1935" s="46" t="s">
        <v>18</v>
      </c>
      <c r="E1935" s="46" t="s">
        <v>15</v>
      </c>
      <c r="F1935" s="48">
        <v>99.0</v>
      </c>
    </row>
    <row r="1936">
      <c r="A1936" s="46" t="s">
        <v>930</v>
      </c>
      <c r="B1936" s="46" t="s">
        <v>944</v>
      </c>
      <c r="C1936" s="46" t="s">
        <v>945</v>
      </c>
      <c r="D1936" s="46" t="s">
        <v>18</v>
      </c>
      <c r="E1936" s="46" t="s">
        <v>14</v>
      </c>
      <c r="F1936" s="48">
        <v>98.8</v>
      </c>
    </row>
    <row r="1937">
      <c r="A1937" s="46" t="s">
        <v>930</v>
      </c>
      <c r="B1937" s="46" t="s">
        <v>947</v>
      </c>
      <c r="C1937" s="46" t="s">
        <v>948</v>
      </c>
      <c r="D1937" s="46" t="s">
        <v>18</v>
      </c>
      <c r="E1937" s="46" t="s">
        <v>13</v>
      </c>
      <c r="F1937" s="48">
        <v>75.2</v>
      </c>
    </row>
    <row r="1938">
      <c r="A1938" s="46" t="s">
        <v>930</v>
      </c>
      <c r="B1938" s="46" t="s">
        <v>950</v>
      </c>
      <c r="C1938" s="46" t="s">
        <v>951</v>
      </c>
      <c r="D1938" s="46" t="s">
        <v>18</v>
      </c>
      <c r="E1938" s="46" t="s">
        <v>14</v>
      </c>
      <c r="F1938" s="48">
        <v>97.5</v>
      </c>
    </row>
    <row r="1939">
      <c r="A1939" s="46" t="s">
        <v>930</v>
      </c>
      <c r="B1939" s="46" t="s">
        <v>956</v>
      </c>
      <c r="C1939" s="46" t="s">
        <v>934</v>
      </c>
      <c r="D1939" s="46" t="s">
        <v>18</v>
      </c>
      <c r="E1939" s="46" t="s">
        <v>14</v>
      </c>
      <c r="F1939" s="48">
        <v>97.6</v>
      </c>
    </row>
    <row r="1940">
      <c r="A1940" s="46" t="s">
        <v>930</v>
      </c>
      <c r="B1940" s="46" t="s">
        <v>962</v>
      </c>
      <c r="C1940" s="46" t="s">
        <v>963</v>
      </c>
      <c r="D1940" s="46" t="s">
        <v>18</v>
      </c>
      <c r="E1940" s="46" t="s">
        <v>14</v>
      </c>
      <c r="F1940" s="48">
        <v>96.8</v>
      </c>
    </row>
    <row r="1941">
      <c r="A1941" s="46" t="s">
        <v>930</v>
      </c>
      <c r="B1941" s="46" t="s">
        <v>968</v>
      </c>
      <c r="C1941" s="46" t="s">
        <v>969</v>
      </c>
      <c r="D1941" s="46" t="s">
        <v>18</v>
      </c>
      <c r="E1941" s="46" t="s">
        <v>14</v>
      </c>
      <c r="F1941" s="48">
        <v>94.1</v>
      </c>
    </row>
    <row r="1942">
      <c r="A1942" s="46" t="s">
        <v>930</v>
      </c>
      <c r="B1942" s="46" t="s">
        <v>971</v>
      </c>
      <c r="C1942" s="46" t="s">
        <v>966</v>
      </c>
      <c r="D1942" s="46" t="s">
        <v>18</v>
      </c>
      <c r="E1942" s="46" t="s">
        <v>13</v>
      </c>
      <c r="F1942" s="48">
        <v>79.9</v>
      </c>
    </row>
    <row r="1943">
      <c r="A1943" s="46" t="s">
        <v>354</v>
      </c>
      <c r="B1943" s="46" t="s">
        <v>980</v>
      </c>
      <c r="C1943" s="46" t="s">
        <v>978</v>
      </c>
      <c r="D1943" s="46" t="s">
        <v>17</v>
      </c>
      <c r="E1943" s="46" t="s">
        <v>13</v>
      </c>
      <c r="F1943" s="48">
        <v>97.8</v>
      </c>
    </row>
    <row r="1944">
      <c r="A1944" s="46" t="s">
        <v>930</v>
      </c>
      <c r="B1944" s="46" t="s">
        <v>985</v>
      </c>
      <c r="C1944" s="46" t="s">
        <v>986</v>
      </c>
      <c r="D1944" s="46" t="s">
        <v>18</v>
      </c>
      <c r="E1944" s="46" t="s">
        <v>13</v>
      </c>
      <c r="F1944" s="48">
        <v>70.8</v>
      </c>
    </row>
    <row r="1945">
      <c r="A1945" s="46" t="s">
        <v>930</v>
      </c>
      <c r="B1945" s="46" t="s">
        <v>988</v>
      </c>
      <c r="C1945" s="46" t="s">
        <v>989</v>
      </c>
      <c r="D1945" s="46" t="s">
        <v>18</v>
      </c>
      <c r="E1945" s="46" t="s">
        <v>15</v>
      </c>
      <c r="F1945" s="48">
        <v>93.8</v>
      </c>
    </row>
    <row r="1946">
      <c r="A1946" s="46" t="s">
        <v>930</v>
      </c>
      <c r="B1946" s="46" t="s">
        <v>991</v>
      </c>
      <c r="C1946" s="46" t="s">
        <v>992</v>
      </c>
      <c r="D1946" s="46" t="s">
        <v>18</v>
      </c>
      <c r="E1946" s="46" t="s">
        <v>13</v>
      </c>
      <c r="F1946" s="48">
        <v>75.4</v>
      </c>
    </row>
    <row r="1947">
      <c r="A1947" s="46" t="s">
        <v>930</v>
      </c>
      <c r="B1947" s="46" t="s">
        <v>997</v>
      </c>
      <c r="C1947" s="46" t="s">
        <v>998</v>
      </c>
      <c r="D1947" s="46" t="s">
        <v>17</v>
      </c>
      <c r="E1947" s="46" t="s">
        <v>13</v>
      </c>
      <c r="F1947" s="48">
        <v>85.5</v>
      </c>
    </row>
    <row r="1948">
      <c r="A1948" s="46" t="s">
        <v>930</v>
      </c>
      <c r="B1948" s="46" t="s">
        <v>1000</v>
      </c>
      <c r="C1948" s="46" t="s">
        <v>1001</v>
      </c>
      <c r="D1948" s="46" t="s">
        <v>18</v>
      </c>
      <c r="E1948" s="46" t="s">
        <v>14</v>
      </c>
      <c r="F1948" s="48">
        <v>93.1</v>
      </c>
    </row>
    <row r="1949">
      <c r="A1949" s="46" t="s">
        <v>930</v>
      </c>
      <c r="B1949" s="46" t="s">
        <v>1003</v>
      </c>
      <c r="C1949" s="46" t="s">
        <v>1004</v>
      </c>
      <c r="D1949" s="46" t="s">
        <v>18</v>
      </c>
      <c r="E1949" s="46" t="s">
        <v>13</v>
      </c>
      <c r="F1949" s="48">
        <v>73.5</v>
      </c>
    </row>
    <row r="1950">
      <c r="A1950" s="46" t="s">
        <v>930</v>
      </c>
      <c r="B1950" s="46" t="s">
        <v>1006</v>
      </c>
      <c r="C1950" s="46" t="s">
        <v>1007</v>
      </c>
      <c r="D1950" s="46" t="s">
        <v>17</v>
      </c>
      <c r="E1950" s="46" t="s">
        <v>15</v>
      </c>
      <c r="F1950" s="48">
        <v>97.3</v>
      </c>
    </row>
    <row r="1951">
      <c r="A1951" s="46" t="s">
        <v>333</v>
      </c>
      <c r="B1951" s="46" t="s">
        <v>1013</v>
      </c>
      <c r="C1951" s="46" t="s">
        <v>1014</v>
      </c>
      <c r="D1951" s="46" t="s">
        <v>18</v>
      </c>
      <c r="E1951" s="46" t="s">
        <v>14</v>
      </c>
      <c r="F1951" s="48">
        <v>102.3</v>
      </c>
    </row>
    <row r="1952">
      <c r="A1952" s="46" t="s">
        <v>333</v>
      </c>
      <c r="B1952" s="46" t="s">
        <v>1016</v>
      </c>
      <c r="C1952" s="46" t="s">
        <v>1017</v>
      </c>
      <c r="D1952" s="46" t="s">
        <v>18</v>
      </c>
      <c r="E1952" s="46" t="s">
        <v>13</v>
      </c>
      <c r="F1952" s="48">
        <v>90.3</v>
      </c>
    </row>
    <row r="1953">
      <c r="A1953" s="46" t="s">
        <v>333</v>
      </c>
      <c r="B1953" s="46" t="s">
        <v>1019</v>
      </c>
      <c r="C1953" s="46" t="s">
        <v>1020</v>
      </c>
      <c r="D1953" s="46" t="s">
        <v>18</v>
      </c>
      <c r="E1953" s="46" t="s">
        <v>13</v>
      </c>
      <c r="F1953" s="48">
        <v>100.1</v>
      </c>
    </row>
    <row r="1954">
      <c r="A1954" s="46" t="s">
        <v>333</v>
      </c>
      <c r="B1954" s="46" t="s">
        <v>1022</v>
      </c>
      <c r="C1954" s="46" t="s">
        <v>1023</v>
      </c>
      <c r="D1954" s="46" t="s">
        <v>17</v>
      </c>
      <c r="E1954" s="46" t="s">
        <v>14</v>
      </c>
      <c r="F1954" s="48">
        <v>95.9</v>
      </c>
    </row>
    <row r="1955">
      <c r="A1955" s="46" t="s">
        <v>333</v>
      </c>
      <c r="B1955" s="46" t="s">
        <v>1025</v>
      </c>
      <c r="C1955" s="46" t="s">
        <v>1026</v>
      </c>
      <c r="D1955" s="46" t="s">
        <v>18</v>
      </c>
      <c r="E1955" s="46" t="s">
        <v>14</v>
      </c>
      <c r="F1955" s="48">
        <v>101.6</v>
      </c>
    </row>
    <row r="1956">
      <c r="A1956" s="46" t="s">
        <v>46</v>
      </c>
      <c r="B1956" s="46" t="s">
        <v>1035</v>
      </c>
      <c r="C1956" s="46" t="s">
        <v>1036</v>
      </c>
      <c r="D1956" s="46" t="s">
        <v>18</v>
      </c>
      <c r="E1956" s="46" t="s">
        <v>13</v>
      </c>
      <c r="F1956" s="48">
        <v>75.5</v>
      </c>
    </row>
    <row r="1957">
      <c r="A1957" s="46" t="s">
        <v>46</v>
      </c>
      <c r="B1957" s="46" t="s">
        <v>1038</v>
      </c>
      <c r="C1957" s="46" t="s">
        <v>1039</v>
      </c>
      <c r="D1957" s="46" t="s">
        <v>18</v>
      </c>
      <c r="E1957" s="46" t="s">
        <v>14</v>
      </c>
      <c r="F1957" s="48">
        <v>91.8</v>
      </c>
    </row>
    <row r="1958">
      <c r="A1958" s="46" t="s">
        <v>46</v>
      </c>
      <c r="B1958" s="46" t="s">
        <v>1041</v>
      </c>
      <c r="C1958" s="46" t="s">
        <v>1042</v>
      </c>
      <c r="D1958" s="46" t="s">
        <v>18</v>
      </c>
      <c r="E1958" s="46" t="s">
        <v>14</v>
      </c>
      <c r="F1958" s="48">
        <v>86.1</v>
      </c>
    </row>
    <row r="1959">
      <c r="A1959" s="46" t="s">
        <v>46</v>
      </c>
      <c r="B1959" s="46" t="s">
        <v>1047</v>
      </c>
      <c r="C1959" s="46" t="s">
        <v>46</v>
      </c>
      <c r="D1959" s="46" t="s">
        <v>18</v>
      </c>
      <c r="E1959" s="46" t="s">
        <v>15</v>
      </c>
      <c r="F1959" s="48">
        <v>96.1</v>
      </c>
    </row>
    <row r="1960">
      <c r="A1960" s="46" t="s">
        <v>46</v>
      </c>
      <c r="B1960" s="46" t="s">
        <v>1049</v>
      </c>
      <c r="C1960" s="46" t="s">
        <v>1050</v>
      </c>
      <c r="D1960" s="46" t="s">
        <v>18</v>
      </c>
      <c r="E1960" s="46" t="s">
        <v>13</v>
      </c>
      <c r="F1960" s="48">
        <v>69.4</v>
      </c>
    </row>
    <row r="1961">
      <c r="A1961" s="46" t="s">
        <v>46</v>
      </c>
      <c r="B1961" s="46" t="s">
        <v>1052</v>
      </c>
      <c r="C1961" s="46" t="s">
        <v>1053</v>
      </c>
      <c r="D1961" s="46" t="s">
        <v>18</v>
      </c>
      <c r="E1961" s="46" t="s">
        <v>14</v>
      </c>
      <c r="F1961" s="48">
        <v>91.8</v>
      </c>
    </row>
    <row r="1962">
      <c r="A1962" s="46" t="s">
        <v>46</v>
      </c>
      <c r="B1962" s="46" t="s">
        <v>1058</v>
      </c>
      <c r="C1962" s="46" t="s">
        <v>1059</v>
      </c>
      <c r="D1962" s="46" t="s">
        <v>18</v>
      </c>
      <c r="E1962" s="46" t="s">
        <v>13</v>
      </c>
      <c r="F1962" s="48">
        <v>63.4</v>
      </c>
    </row>
    <row r="1963">
      <c r="A1963" s="46" t="s">
        <v>46</v>
      </c>
      <c r="B1963" s="46" t="s">
        <v>1061</v>
      </c>
      <c r="C1963" s="46" t="s">
        <v>1059</v>
      </c>
      <c r="D1963" s="46" t="s">
        <v>18</v>
      </c>
      <c r="E1963" s="46" t="s">
        <v>13</v>
      </c>
      <c r="F1963" s="48">
        <v>63.8</v>
      </c>
    </row>
    <row r="1964">
      <c r="A1964" s="46" t="s">
        <v>46</v>
      </c>
      <c r="B1964" s="46" t="s">
        <v>1066</v>
      </c>
      <c r="C1964" s="46" t="s">
        <v>1067</v>
      </c>
      <c r="D1964" s="46" t="s">
        <v>18</v>
      </c>
      <c r="E1964" s="46" t="s">
        <v>15</v>
      </c>
      <c r="F1964" s="48">
        <v>98.3</v>
      </c>
    </row>
    <row r="1965">
      <c r="A1965" s="46" t="s">
        <v>46</v>
      </c>
      <c r="B1965" s="46" t="s">
        <v>1069</v>
      </c>
      <c r="C1965" s="46" t="s">
        <v>1067</v>
      </c>
      <c r="D1965" s="46" t="s">
        <v>18</v>
      </c>
      <c r="E1965" s="46" t="s">
        <v>15</v>
      </c>
      <c r="F1965" s="48">
        <v>75.1</v>
      </c>
    </row>
    <row r="1966">
      <c r="A1966" s="46" t="s">
        <v>46</v>
      </c>
      <c r="B1966" s="46" t="s">
        <v>1074</v>
      </c>
      <c r="C1966" s="46" t="s">
        <v>1075</v>
      </c>
      <c r="D1966" s="46" t="s">
        <v>18</v>
      </c>
      <c r="E1966" s="46" t="s">
        <v>13</v>
      </c>
      <c r="F1966" s="48">
        <v>68.9</v>
      </c>
    </row>
    <row r="1967">
      <c r="A1967" s="46" t="s">
        <v>46</v>
      </c>
      <c r="B1967" s="46" t="s">
        <v>1077</v>
      </c>
      <c r="C1967" s="46" t="s">
        <v>1078</v>
      </c>
      <c r="D1967" s="46" t="s">
        <v>18</v>
      </c>
      <c r="E1967" s="46" t="s">
        <v>13</v>
      </c>
      <c r="F1967" s="48">
        <v>70.2</v>
      </c>
    </row>
    <row r="1968">
      <c r="A1968" s="46" t="s">
        <v>46</v>
      </c>
      <c r="B1968" s="46" t="s">
        <v>1080</v>
      </c>
      <c r="C1968" s="46" t="s">
        <v>1081</v>
      </c>
      <c r="D1968" s="46" t="s">
        <v>18</v>
      </c>
      <c r="E1968" s="46" t="s">
        <v>13</v>
      </c>
      <c r="F1968" s="48">
        <v>74.1</v>
      </c>
    </row>
    <row r="1969">
      <c r="A1969" s="46" t="s">
        <v>46</v>
      </c>
      <c r="B1969" s="46" t="s">
        <v>1094</v>
      </c>
      <c r="C1969" s="46" t="s">
        <v>1067</v>
      </c>
      <c r="D1969" s="46" t="s">
        <v>17</v>
      </c>
      <c r="E1969" s="46" t="s">
        <v>14</v>
      </c>
      <c r="F1969" s="48">
        <v>101.5</v>
      </c>
    </row>
    <row r="1970">
      <c r="A1970" s="46" t="s">
        <v>46</v>
      </c>
      <c r="B1970" s="46" t="s">
        <v>1096</v>
      </c>
      <c r="C1970" s="46" t="s">
        <v>1059</v>
      </c>
      <c r="D1970" s="46" t="s">
        <v>17</v>
      </c>
      <c r="E1970" s="46" t="s">
        <v>13</v>
      </c>
      <c r="F1970" s="48">
        <v>83.1</v>
      </c>
    </row>
    <row r="1971">
      <c r="A1971" s="46" t="s">
        <v>46</v>
      </c>
      <c r="B1971" s="46" t="s">
        <v>1098</v>
      </c>
      <c r="C1971" s="46" t="s">
        <v>1099</v>
      </c>
      <c r="D1971" s="46" t="s">
        <v>17</v>
      </c>
      <c r="E1971" s="46" t="s">
        <v>13</v>
      </c>
      <c r="F1971" s="48">
        <v>82.8</v>
      </c>
    </row>
    <row r="1972">
      <c r="A1972" s="46" t="s">
        <v>46</v>
      </c>
      <c r="B1972" s="46" t="s">
        <v>1112</v>
      </c>
      <c r="C1972" s="46" t="s">
        <v>1113</v>
      </c>
      <c r="D1972" s="46" t="s">
        <v>18</v>
      </c>
      <c r="E1972" s="46" t="s">
        <v>15</v>
      </c>
      <c r="F1972" s="48">
        <v>93.0</v>
      </c>
    </row>
    <row r="1973">
      <c r="A1973" s="46" t="s">
        <v>46</v>
      </c>
      <c r="B1973" s="46" t="s">
        <v>1117</v>
      </c>
      <c r="C1973" s="46" t="s">
        <v>1118</v>
      </c>
      <c r="D1973" s="46" t="s">
        <v>18</v>
      </c>
      <c r="E1973" s="46" t="s">
        <v>13</v>
      </c>
      <c r="F1973" s="48">
        <v>73.3</v>
      </c>
    </row>
    <row r="1974">
      <c r="A1974" s="46" t="s">
        <v>46</v>
      </c>
      <c r="B1974" s="46" t="s">
        <v>1120</v>
      </c>
      <c r="C1974" s="46" t="s">
        <v>46</v>
      </c>
      <c r="D1974" s="46" t="s">
        <v>18</v>
      </c>
      <c r="E1974" s="46" t="s">
        <v>15</v>
      </c>
      <c r="F1974" s="48">
        <v>103.6</v>
      </c>
    </row>
    <row r="1975">
      <c r="A1975" s="46" t="s">
        <v>46</v>
      </c>
      <c r="B1975" s="46" t="s">
        <v>1125</v>
      </c>
      <c r="C1975" s="46" t="s">
        <v>1126</v>
      </c>
      <c r="D1975" s="46" t="s">
        <v>18</v>
      </c>
      <c r="E1975" s="46" t="s">
        <v>14</v>
      </c>
      <c r="F1975" s="48">
        <v>100.3</v>
      </c>
    </row>
    <row r="1976">
      <c r="A1976" s="46" t="s">
        <v>88</v>
      </c>
      <c r="B1976" s="46" t="s">
        <v>1140</v>
      </c>
      <c r="C1976" s="46" t="s">
        <v>1141</v>
      </c>
      <c r="D1976" s="46" t="s">
        <v>18</v>
      </c>
      <c r="E1976" s="46" t="s">
        <v>13</v>
      </c>
      <c r="F1976" s="48">
        <v>87.6</v>
      </c>
    </row>
    <row r="1977">
      <c r="A1977" s="46" t="s">
        <v>88</v>
      </c>
      <c r="B1977" s="46" t="s">
        <v>1143</v>
      </c>
      <c r="C1977" s="46" t="s">
        <v>1144</v>
      </c>
      <c r="D1977" s="46" t="s">
        <v>18</v>
      </c>
      <c r="E1977" s="46" t="s">
        <v>13</v>
      </c>
      <c r="F1977" s="48">
        <v>85.9</v>
      </c>
    </row>
    <row r="1978">
      <c r="A1978" s="46" t="s">
        <v>88</v>
      </c>
      <c r="B1978" s="46" t="s">
        <v>1146</v>
      </c>
      <c r="C1978" s="46" t="s">
        <v>1147</v>
      </c>
      <c r="D1978" s="46" t="s">
        <v>18</v>
      </c>
      <c r="E1978" s="46" t="s">
        <v>13</v>
      </c>
      <c r="F1978" s="48">
        <v>80.8</v>
      </c>
    </row>
    <row r="1979">
      <c r="A1979" s="46" t="s">
        <v>88</v>
      </c>
      <c r="B1979" s="46" t="s">
        <v>1149</v>
      </c>
      <c r="C1979" s="46" t="s">
        <v>1130</v>
      </c>
      <c r="D1979" s="46" t="s">
        <v>17</v>
      </c>
      <c r="E1979" s="46" t="s">
        <v>15</v>
      </c>
      <c r="F1979" s="48">
        <v>96.3</v>
      </c>
    </row>
    <row r="1980">
      <c r="A1980" s="46" t="s">
        <v>269</v>
      </c>
      <c r="B1980" s="46" t="s">
        <v>1158</v>
      </c>
      <c r="C1980" s="46" t="s">
        <v>1159</v>
      </c>
      <c r="D1980" s="46" t="s">
        <v>18</v>
      </c>
      <c r="E1980" s="46" t="s">
        <v>13</v>
      </c>
      <c r="F1980" s="48">
        <v>77.2</v>
      </c>
    </row>
    <row r="1981">
      <c r="A1981" s="46" t="s">
        <v>46</v>
      </c>
      <c r="B1981" s="46" t="s">
        <v>1167</v>
      </c>
      <c r="C1981" s="46" t="s">
        <v>1168</v>
      </c>
      <c r="D1981" s="46" t="s">
        <v>18</v>
      </c>
      <c r="E1981" s="46" t="s">
        <v>15</v>
      </c>
      <c r="F1981" s="48">
        <v>86.8</v>
      </c>
    </row>
    <row r="1982">
      <c r="A1982" s="46" t="s">
        <v>46</v>
      </c>
      <c r="B1982" s="46" t="s">
        <v>1170</v>
      </c>
      <c r="C1982" s="46" t="s">
        <v>1171</v>
      </c>
      <c r="D1982" s="46" t="s">
        <v>18</v>
      </c>
      <c r="E1982" s="46" t="s">
        <v>14</v>
      </c>
      <c r="F1982" s="48">
        <v>88.8</v>
      </c>
    </row>
    <row r="1983">
      <c r="A1983" s="46" t="s">
        <v>46</v>
      </c>
      <c r="B1983" s="46" t="s">
        <v>1173</v>
      </c>
      <c r="C1983" s="46" t="s">
        <v>1174</v>
      </c>
      <c r="D1983" s="46" t="s">
        <v>18</v>
      </c>
      <c r="E1983" s="46" t="s">
        <v>13</v>
      </c>
      <c r="F1983" s="48">
        <v>69.6</v>
      </c>
    </row>
    <row r="1984">
      <c r="A1984" s="46" t="s">
        <v>46</v>
      </c>
      <c r="B1984" s="46" t="s">
        <v>1179</v>
      </c>
      <c r="C1984" s="46" t="s">
        <v>1180</v>
      </c>
      <c r="D1984" s="46" t="s">
        <v>18</v>
      </c>
      <c r="E1984" s="46" t="s">
        <v>13</v>
      </c>
      <c r="F1984" s="48">
        <v>73.9</v>
      </c>
    </row>
    <row r="1985">
      <c r="A1985" s="46" t="s">
        <v>46</v>
      </c>
      <c r="B1985" s="46" t="s">
        <v>1182</v>
      </c>
      <c r="C1985" s="46" t="s">
        <v>1183</v>
      </c>
      <c r="D1985" s="46" t="s">
        <v>18</v>
      </c>
      <c r="E1985" s="46" t="s">
        <v>13</v>
      </c>
      <c r="F1985" s="48">
        <v>75.7</v>
      </c>
    </row>
    <row r="1986">
      <c r="A1986" s="46" t="s">
        <v>46</v>
      </c>
      <c r="B1986" s="46" t="s">
        <v>1185</v>
      </c>
      <c r="C1986" s="46" t="s">
        <v>1186</v>
      </c>
      <c r="D1986" s="46" t="s">
        <v>18</v>
      </c>
      <c r="E1986" s="46" t="s">
        <v>13</v>
      </c>
      <c r="F1986" s="48">
        <v>80.0</v>
      </c>
    </row>
    <row r="1987">
      <c r="A1987" s="46" t="s">
        <v>46</v>
      </c>
      <c r="B1987" s="46" t="s">
        <v>1192</v>
      </c>
      <c r="C1987" s="46" t="s">
        <v>1188</v>
      </c>
      <c r="D1987" s="46" t="s">
        <v>18</v>
      </c>
      <c r="E1987" s="46" t="s">
        <v>13</v>
      </c>
      <c r="F1987" s="48">
        <v>75.4</v>
      </c>
    </row>
    <row r="1988">
      <c r="A1988" s="46" t="s">
        <v>46</v>
      </c>
      <c r="B1988" s="46" t="s">
        <v>1194</v>
      </c>
      <c r="C1988" s="46" t="s">
        <v>1195</v>
      </c>
      <c r="D1988" s="46" t="s">
        <v>18</v>
      </c>
      <c r="E1988" s="46" t="s">
        <v>14</v>
      </c>
      <c r="F1988" s="48">
        <v>102.6</v>
      </c>
    </row>
    <row r="1989">
      <c r="A1989" s="46" t="s">
        <v>116</v>
      </c>
      <c r="B1989" s="46" t="s">
        <v>1198</v>
      </c>
      <c r="C1989" s="46" t="s">
        <v>1199</v>
      </c>
      <c r="D1989" s="46" t="s">
        <v>18</v>
      </c>
      <c r="E1989" s="46" t="s">
        <v>15</v>
      </c>
      <c r="F1989" s="48">
        <v>100.7</v>
      </c>
    </row>
    <row r="1990">
      <c r="A1990" s="46" t="s">
        <v>116</v>
      </c>
      <c r="B1990" s="46" t="s">
        <v>1207</v>
      </c>
      <c r="C1990" s="46" t="s">
        <v>1199</v>
      </c>
      <c r="D1990" s="46" t="s">
        <v>18</v>
      </c>
      <c r="E1990" s="46" t="s">
        <v>13</v>
      </c>
      <c r="F1990" s="48">
        <v>85.7</v>
      </c>
    </row>
    <row r="1991">
      <c r="A1991" s="46" t="s">
        <v>116</v>
      </c>
      <c r="B1991" s="46" t="s">
        <v>1209</v>
      </c>
      <c r="C1991" s="46" t="s">
        <v>1199</v>
      </c>
      <c r="D1991" s="46" t="s">
        <v>17</v>
      </c>
      <c r="E1991" s="46" t="s">
        <v>13</v>
      </c>
      <c r="F1991" s="48">
        <v>94.1</v>
      </c>
    </row>
    <row r="1992">
      <c r="A1992" s="46" t="s">
        <v>377</v>
      </c>
      <c r="B1992" s="46" t="s">
        <v>1215</v>
      </c>
      <c r="C1992" s="46" t="s">
        <v>1216</v>
      </c>
      <c r="D1992" s="46" t="s">
        <v>18</v>
      </c>
      <c r="E1992" s="46" t="s">
        <v>13</v>
      </c>
      <c r="F1992" s="48">
        <v>90.0</v>
      </c>
    </row>
    <row r="1993">
      <c r="A1993" s="46" t="s">
        <v>377</v>
      </c>
      <c r="B1993" s="46" t="s">
        <v>1221</v>
      </c>
      <c r="C1993" s="46" t="s">
        <v>1222</v>
      </c>
      <c r="D1993" s="46" t="s">
        <v>18</v>
      </c>
      <c r="E1993" s="46" t="s">
        <v>13</v>
      </c>
      <c r="F1993" s="48">
        <v>84.6</v>
      </c>
    </row>
    <row r="1994">
      <c r="A1994" s="46" t="s">
        <v>377</v>
      </c>
      <c r="B1994" s="46" t="s">
        <v>1230</v>
      </c>
      <c r="C1994" s="46" t="s">
        <v>1228</v>
      </c>
      <c r="D1994" s="46" t="s">
        <v>18</v>
      </c>
      <c r="E1994" s="46" t="s">
        <v>13</v>
      </c>
      <c r="F1994" s="48">
        <v>95.2</v>
      </c>
    </row>
    <row r="1995">
      <c r="A1995" s="46" t="s">
        <v>377</v>
      </c>
      <c r="B1995" s="46" t="s">
        <v>985</v>
      </c>
      <c r="C1995" s="46" t="s">
        <v>1232</v>
      </c>
      <c r="D1995" s="46" t="s">
        <v>18</v>
      </c>
      <c r="E1995" s="46" t="s">
        <v>13</v>
      </c>
      <c r="F1995" s="48">
        <v>93.7</v>
      </c>
    </row>
    <row r="1996">
      <c r="A1996" s="46" t="s">
        <v>377</v>
      </c>
      <c r="B1996" s="46" t="s">
        <v>1240</v>
      </c>
      <c r="C1996" s="46" t="s">
        <v>1225</v>
      </c>
      <c r="D1996" s="46" t="s">
        <v>17</v>
      </c>
      <c r="E1996" s="46" t="s">
        <v>13</v>
      </c>
      <c r="F1996" s="48">
        <v>95.0</v>
      </c>
    </row>
    <row r="1997">
      <c r="A1997" s="46" t="s">
        <v>182</v>
      </c>
      <c r="B1997" s="46" t="s">
        <v>1248</v>
      </c>
      <c r="C1997" s="46" t="s">
        <v>1249</v>
      </c>
      <c r="D1997" s="46" t="s">
        <v>18</v>
      </c>
      <c r="E1997" s="46" t="s">
        <v>14</v>
      </c>
      <c r="F1997" s="48">
        <v>88.9</v>
      </c>
    </row>
    <row r="1998">
      <c r="A1998" s="46" t="s">
        <v>483</v>
      </c>
      <c r="B1998" s="46" t="s">
        <v>1257</v>
      </c>
      <c r="C1998" s="46" t="s">
        <v>1258</v>
      </c>
      <c r="D1998" s="46" t="s">
        <v>17</v>
      </c>
      <c r="E1998" s="46" t="s">
        <v>14</v>
      </c>
      <c r="F1998" s="48">
        <v>94.8</v>
      </c>
    </row>
    <row r="1999">
      <c r="A1999" s="46" t="s">
        <v>1259</v>
      </c>
      <c r="B1999" s="46" t="s">
        <v>1270</v>
      </c>
      <c r="C1999" s="46" t="s">
        <v>1259</v>
      </c>
      <c r="D1999" s="46" t="s">
        <v>18</v>
      </c>
      <c r="E1999" s="46" t="s">
        <v>13</v>
      </c>
      <c r="F1999" s="48">
        <v>81.5</v>
      </c>
    </row>
    <row r="2000">
      <c r="A2000" s="46" t="s">
        <v>1259</v>
      </c>
      <c r="B2000" s="46" t="s">
        <v>1274</v>
      </c>
      <c r="C2000" s="46" t="s">
        <v>1275</v>
      </c>
      <c r="D2000" s="46" t="s">
        <v>18</v>
      </c>
      <c r="E2000" s="46" t="s">
        <v>14</v>
      </c>
      <c r="F2000" s="48">
        <v>101.4</v>
      </c>
    </row>
    <row r="2001">
      <c r="A2001" s="46" t="s">
        <v>1259</v>
      </c>
      <c r="B2001" s="46" t="s">
        <v>1291</v>
      </c>
      <c r="C2001" s="46" t="s">
        <v>1292</v>
      </c>
      <c r="D2001" s="46" t="s">
        <v>18</v>
      </c>
      <c r="E2001" s="46" t="s">
        <v>13</v>
      </c>
      <c r="F2001" s="48">
        <v>77.7</v>
      </c>
    </row>
    <row r="2002">
      <c r="A2002" s="46" t="s">
        <v>1259</v>
      </c>
      <c r="B2002" s="46" t="s">
        <v>1297</v>
      </c>
      <c r="C2002" s="46" t="s">
        <v>1298</v>
      </c>
      <c r="D2002" s="46" t="s">
        <v>18</v>
      </c>
      <c r="E2002" s="46" t="s">
        <v>14</v>
      </c>
      <c r="F2002" s="48">
        <v>98.6</v>
      </c>
    </row>
    <row r="2003">
      <c r="A2003" s="46" t="s">
        <v>1259</v>
      </c>
      <c r="B2003" s="46" t="s">
        <v>1307</v>
      </c>
      <c r="C2003" s="46" t="s">
        <v>1292</v>
      </c>
      <c r="D2003" s="46" t="s">
        <v>18</v>
      </c>
      <c r="E2003" s="46" t="s">
        <v>15</v>
      </c>
      <c r="F2003" s="48">
        <v>103.4</v>
      </c>
    </row>
    <row r="2004">
      <c r="A2004" s="46" t="s">
        <v>1259</v>
      </c>
      <c r="B2004" s="46" t="s">
        <v>1309</v>
      </c>
      <c r="C2004" s="46" t="s">
        <v>1292</v>
      </c>
      <c r="D2004" s="46" t="s">
        <v>18</v>
      </c>
      <c r="E2004" s="46" t="s">
        <v>14</v>
      </c>
      <c r="F2004" s="48">
        <v>90.1</v>
      </c>
    </row>
    <row r="2005">
      <c r="A2005" s="46" t="s">
        <v>1259</v>
      </c>
      <c r="B2005" s="46" t="s">
        <v>1311</v>
      </c>
      <c r="C2005" s="46" t="s">
        <v>1312</v>
      </c>
      <c r="D2005" s="46" t="s">
        <v>18</v>
      </c>
      <c r="E2005" s="46" t="s">
        <v>13</v>
      </c>
      <c r="F2005" s="48">
        <v>86.0</v>
      </c>
    </row>
    <row r="2006">
      <c r="A2006" s="46" t="s">
        <v>1259</v>
      </c>
      <c r="B2006" s="46" t="s">
        <v>1314</v>
      </c>
      <c r="C2006" s="46" t="s">
        <v>1315</v>
      </c>
      <c r="D2006" s="46" t="s">
        <v>18</v>
      </c>
      <c r="E2006" s="46" t="s">
        <v>14</v>
      </c>
      <c r="F2006" s="48">
        <v>94.1</v>
      </c>
    </row>
    <row r="2007">
      <c r="A2007" s="46" t="s">
        <v>71</v>
      </c>
      <c r="B2007" s="46" t="s">
        <v>1318</v>
      </c>
      <c r="C2007" s="46" t="s">
        <v>1319</v>
      </c>
      <c r="D2007" s="46" t="s">
        <v>18</v>
      </c>
      <c r="E2007" s="46" t="s">
        <v>13</v>
      </c>
      <c r="F2007" s="48">
        <v>94.9</v>
      </c>
    </row>
    <row r="2008">
      <c r="A2008" s="46" t="s">
        <v>71</v>
      </c>
      <c r="B2008" s="46" t="s">
        <v>1321</v>
      </c>
      <c r="C2008" s="46" t="s">
        <v>1322</v>
      </c>
      <c r="D2008" s="46" t="s">
        <v>18</v>
      </c>
      <c r="E2008" s="46" t="s">
        <v>13</v>
      </c>
      <c r="F2008" s="48">
        <v>80.6</v>
      </c>
    </row>
    <row r="2009">
      <c r="A2009" s="46" t="s">
        <v>71</v>
      </c>
      <c r="B2009" s="46" t="s">
        <v>1327</v>
      </c>
      <c r="C2009" s="46" t="s">
        <v>1328</v>
      </c>
      <c r="D2009" s="46" t="s">
        <v>18</v>
      </c>
      <c r="E2009" s="46" t="s">
        <v>14</v>
      </c>
      <c r="F2009" s="48">
        <v>92.4</v>
      </c>
    </row>
    <row r="2010">
      <c r="A2010" s="46" t="s">
        <v>71</v>
      </c>
      <c r="B2010" s="46" t="s">
        <v>1333</v>
      </c>
      <c r="C2010" s="46" t="s">
        <v>1334</v>
      </c>
      <c r="D2010" s="46" t="s">
        <v>18</v>
      </c>
      <c r="E2010" s="46" t="s">
        <v>13</v>
      </c>
      <c r="F2010" s="48">
        <v>81.5</v>
      </c>
    </row>
    <row r="2011">
      <c r="A2011" s="46" t="s">
        <v>71</v>
      </c>
      <c r="B2011" s="46" t="s">
        <v>1336</v>
      </c>
      <c r="C2011" s="46" t="s">
        <v>1337</v>
      </c>
      <c r="D2011" s="46" t="s">
        <v>18</v>
      </c>
      <c r="E2011" s="46" t="s">
        <v>13</v>
      </c>
      <c r="F2011" s="48">
        <v>77.6</v>
      </c>
    </row>
    <row r="2012">
      <c r="A2012" s="46" t="s">
        <v>71</v>
      </c>
      <c r="B2012" s="46" t="s">
        <v>1352</v>
      </c>
      <c r="C2012" s="46" t="s">
        <v>1353</v>
      </c>
      <c r="D2012" s="46" t="s">
        <v>17</v>
      </c>
      <c r="E2012" s="46" t="s">
        <v>13</v>
      </c>
      <c r="F2012" s="48">
        <v>100.0</v>
      </c>
    </row>
    <row r="2013">
      <c r="A2013" s="46" t="s">
        <v>71</v>
      </c>
      <c r="B2013" s="46" t="s">
        <v>1358</v>
      </c>
      <c r="C2013" s="46" t="s">
        <v>1325</v>
      </c>
      <c r="D2013" s="46" t="s">
        <v>17</v>
      </c>
      <c r="E2013" s="46" t="s">
        <v>13</v>
      </c>
      <c r="F2013" s="48">
        <v>85.1</v>
      </c>
    </row>
    <row r="2014">
      <c r="A2014" s="46" t="s">
        <v>71</v>
      </c>
      <c r="B2014" s="46" t="s">
        <v>1360</v>
      </c>
      <c r="C2014" s="46" t="s">
        <v>1334</v>
      </c>
      <c r="D2014" s="46" t="s">
        <v>17</v>
      </c>
      <c r="E2014" s="46" t="s">
        <v>13</v>
      </c>
      <c r="F2014" s="48">
        <v>75.9</v>
      </c>
    </row>
    <row r="2015">
      <c r="A2015" s="46" t="s">
        <v>71</v>
      </c>
      <c r="B2015" s="46" t="s">
        <v>1362</v>
      </c>
      <c r="C2015" s="46" t="s">
        <v>1350</v>
      </c>
      <c r="D2015" s="46" t="s">
        <v>17</v>
      </c>
      <c r="E2015" s="46" t="s">
        <v>13</v>
      </c>
      <c r="F2015" s="48">
        <v>92.8</v>
      </c>
    </row>
    <row r="2016">
      <c r="A2016" s="46" t="s">
        <v>71</v>
      </c>
      <c r="B2016" s="46" t="s">
        <v>1367</v>
      </c>
      <c r="C2016" s="46" t="s">
        <v>1328</v>
      </c>
      <c r="D2016" s="46" t="s">
        <v>18</v>
      </c>
      <c r="E2016" s="46" t="s">
        <v>15</v>
      </c>
      <c r="F2016" s="48">
        <v>95.6</v>
      </c>
    </row>
    <row r="2017">
      <c r="A2017" s="46" t="s">
        <v>71</v>
      </c>
      <c r="B2017" s="46" t="s">
        <v>1369</v>
      </c>
      <c r="C2017" s="46" t="s">
        <v>1370</v>
      </c>
      <c r="D2017" s="46" t="s">
        <v>18</v>
      </c>
      <c r="E2017" s="46" t="s">
        <v>13</v>
      </c>
      <c r="F2017" s="48">
        <v>82.7</v>
      </c>
    </row>
    <row r="2018">
      <c r="A2018" s="46" t="s">
        <v>71</v>
      </c>
      <c r="B2018" s="46" t="s">
        <v>1382</v>
      </c>
      <c r="C2018" s="46" t="s">
        <v>1383</v>
      </c>
      <c r="D2018" s="46" t="s">
        <v>18</v>
      </c>
      <c r="E2018" s="46" t="s">
        <v>15</v>
      </c>
      <c r="F2018" s="48">
        <v>83.8</v>
      </c>
    </row>
    <row r="2019">
      <c r="A2019" s="46" t="s">
        <v>71</v>
      </c>
      <c r="B2019" s="46" t="s">
        <v>1385</v>
      </c>
      <c r="C2019" s="46" t="s">
        <v>1365</v>
      </c>
      <c r="D2019" s="46" t="s">
        <v>17</v>
      </c>
      <c r="E2019" s="46" t="s">
        <v>15</v>
      </c>
      <c r="F2019" s="48">
        <v>71.0</v>
      </c>
    </row>
    <row r="2020">
      <c r="A2020" s="46" t="s">
        <v>333</v>
      </c>
      <c r="B2020" s="46" t="s">
        <v>1395</v>
      </c>
      <c r="C2020" s="46" t="s">
        <v>1396</v>
      </c>
      <c r="D2020" s="46" t="s">
        <v>18</v>
      </c>
      <c r="E2020" s="46" t="s">
        <v>14</v>
      </c>
      <c r="F2020" s="48">
        <v>100.2</v>
      </c>
    </row>
    <row r="2021">
      <c r="A2021" s="46" t="s">
        <v>779</v>
      </c>
      <c r="B2021" s="46" t="s">
        <v>1399</v>
      </c>
      <c r="C2021" s="46" t="s">
        <v>1400</v>
      </c>
      <c r="D2021" s="46" t="s">
        <v>18</v>
      </c>
      <c r="E2021" s="46" t="s">
        <v>13</v>
      </c>
      <c r="F2021" s="48">
        <v>77.3</v>
      </c>
    </row>
    <row r="2022">
      <c r="A2022" s="46" t="s">
        <v>161</v>
      </c>
      <c r="B2022" s="46" t="s">
        <v>1406</v>
      </c>
      <c r="C2022" s="46" t="s">
        <v>1407</v>
      </c>
      <c r="D2022" s="46" t="s">
        <v>18</v>
      </c>
      <c r="E2022" s="46" t="s">
        <v>13</v>
      </c>
      <c r="F2022" s="48">
        <v>94.7</v>
      </c>
    </row>
    <row r="2023">
      <c r="A2023" s="46" t="s">
        <v>161</v>
      </c>
      <c r="B2023" s="46" t="s">
        <v>1415</v>
      </c>
      <c r="C2023" s="46" t="s">
        <v>1416</v>
      </c>
      <c r="D2023" s="46" t="s">
        <v>17</v>
      </c>
      <c r="E2023" s="46" t="s">
        <v>13</v>
      </c>
      <c r="F2023" s="48">
        <v>100.1</v>
      </c>
    </row>
    <row r="2024">
      <c r="A2024" s="46" t="s">
        <v>161</v>
      </c>
      <c r="B2024" s="46" t="s">
        <v>1418</v>
      </c>
      <c r="C2024" s="46" t="s">
        <v>1410</v>
      </c>
      <c r="D2024" s="46" t="s">
        <v>17</v>
      </c>
      <c r="E2024" s="46" t="s">
        <v>13</v>
      </c>
      <c r="F2024" s="48">
        <v>95.4</v>
      </c>
    </row>
    <row r="2025">
      <c r="A2025" s="46" t="s">
        <v>161</v>
      </c>
      <c r="B2025" s="46" t="s">
        <v>1424</v>
      </c>
      <c r="C2025" s="46" t="s">
        <v>1425</v>
      </c>
      <c r="D2025" s="46" t="s">
        <v>18</v>
      </c>
      <c r="E2025" s="46" t="s">
        <v>14</v>
      </c>
      <c r="F2025" s="48">
        <v>101.8</v>
      </c>
    </row>
    <row r="2026">
      <c r="A2026" s="46" t="s">
        <v>161</v>
      </c>
      <c r="B2026" s="46" t="s">
        <v>1436</v>
      </c>
      <c r="C2026" s="46" t="s">
        <v>1437</v>
      </c>
      <c r="D2026" s="46" t="s">
        <v>17</v>
      </c>
      <c r="E2026" s="46" t="s">
        <v>13</v>
      </c>
      <c r="F2026" s="48">
        <v>97.5</v>
      </c>
    </row>
    <row r="2027">
      <c r="A2027" s="46" t="s">
        <v>161</v>
      </c>
      <c r="B2027" s="46" t="s">
        <v>1439</v>
      </c>
      <c r="C2027" s="46" t="s">
        <v>1440</v>
      </c>
      <c r="D2027" s="46" t="s">
        <v>18</v>
      </c>
      <c r="E2027" s="46" t="s">
        <v>13</v>
      </c>
      <c r="F2027" s="48">
        <v>82.8</v>
      </c>
    </row>
    <row r="2028">
      <c r="A2028" s="46" t="s">
        <v>1441</v>
      </c>
      <c r="B2028" s="46" t="s">
        <v>1443</v>
      </c>
      <c r="C2028" s="46" t="s">
        <v>1444</v>
      </c>
      <c r="D2028" s="46" t="s">
        <v>18</v>
      </c>
      <c r="E2028" s="46" t="s">
        <v>14</v>
      </c>
      <c r="F2028" s="48">
        <v>79.6</v>
      </c>
    </row>
    <row r="2029">
      <c r="A2029" s="46" t="s">
        <v>1441</v>
      </c>
      <c r="B2029" s="46" t="s">
        <v>1462</v>
      </c>
      <c r="C2029" s="46" t="s">
        <v>1463</v>
      </c>
      <c r="D2029" s="46" t="s">
        <v>18</v>
      </c>
      <c r="E2029" s="46" t="s">
        <v>14</v>
      </c>
      <c r="F2029" s="48">
        <v>89.8</v>
      </c>
    </row>
    <row r="2030">
      <c r="A2030" s="46" t="s">
        <v>1441</v>
      </c>
      <c r="B2030" s="46" t="s">
        <v>875</v>
      </c>
      <c r="C2030" s="46" t="s">
        <v>1471</v>
      </c>
      <c r="D2030" s="46" t="s">
        <v>18</v>
      </c>
      <c r="E2030" s="46" t="s">
        <v>15</v>
      </c>
      <c r="F2030" s="48">
        <v>92.4</v>
      </c>
    </row>
    <row r="2031">
      <c r="A2031" s="46" t="s">
        <v>1441</v>
      </c>
      <c r="B2031" s="46" t="s">
        <v>1473</v>
      </c>
      <c r="C2031" s="46" t="s">
        <v>1474</v>
      </c>
      <c r="D2031" s="46" t="s">
        <v>18</v>
      </c>
      <c r="E2031" s="46" t="s">
        <v>13</v>
      </c>
      <c r="F2031" s="48">
        <v>87.4</v>
      </c>
    </row>
    <row r="2032">
      <c r="A2032" s="46" t="s">
        <v>1441</v>
      </c>
      <c r="B2032" s="46" t="s">
        <v>1476</v>
      </c>
      <c r="C2032" s="46" t="s">
        <v>1477</v>
      </c>
      <c r="D2032" s="46" t="s">
        <v>18</v>
      </c>
      <c r="E2032" s="46" t="s">
        <v>13</v>
      </c>
      <c r="F2032" s="48">
        <v>99.7</v>
      </c>
    </row>
    <row r="2033">
      <c r="A2033" s="46" t="s">
        <v>1441</v>
      </c>
      <c r="B2033" s="46" t="s">
        <v>1481</v>
      </c>
      <c r="C2033" s="46" t="s">
        <v>1463</v>
      </c>
      <c r="D2033" s="46" t="s">
        <v>18</v>
      </c>
      <c r="E2033" s="46" t="s">
        <v>13</v>
      </c>
      <c r="F2033" s="48">
        <v>78.6</v>
      </c>
    </row>
    <row r="2034">
      <c r="A2034" s="46" t="s">
        <v>1441</v>
      </c>
      <c r="B2034" s="46" t="s">
        <v>1487</v>
      </c>
      <c r="C2034" s="46" t="s">
        <v>1488</v>
      </c>
      <c r="D2034" s="46" t="s">
        <v>17</v>
      </c>
      <c r="E2034" s="46" t="s">
        <v>15</v>
      </c>
      <c r="F2034" s="48">
        <v>84.8</v>
      </c>
    </row>
    <row r="2035">
      <c r="A2035" s="46" t="s">
        <v>269</v>
      </c>
      <c r="B2035" s="46" t="s">
        <v>1514</v>
      </c>
      <c r="C2035" s="46" t="s">
        <v>1515</v>
      </c>
      <c r="D2035" s="46" t="s">
        <v>18</v>
      </c>
      <c r="E2035" s="46" t="s">
        <v>14</v>
      </c>
      <c r="F2035" s="48">
        <v>79.5</v>
      </c>
    </row>
    <row r="2036">
      <c r="A2036" s="46" t="s">
        <v>269</v>
      </c>
      <c r="B2036" s="46" t="s">
        <v>1520</v>
      </c>
      <c r="C2036" s="46" t="s">
        <v>1521</v>
      </c>
      <c r="D2036" s="46" t="s">
        <v>18</v>
      </c>
      <c r="E2036" s="46" t="s">
        <v>13</v>
      </c>
      <c r="F2036" s="48">
        <v>76.3</v>
      </c>
    </row>
    <row r="2037">
      <c r="A2037" s="46" t="s">
        <v>269</v>
      </c>
      <c r="B2037" s="46" t="s">
        <v>1526</v>
      </c>
      <c r="C2037" s="46" t="s">
        <v>1509</v>
      </c>
      <c r="D2037" s="46" t="s">
        <v>17</v>
      </c>
      <c r="E2037" s="46" t="s">
        <v>13</v>
      </c>
      <c r="F2037" s="48">
        <v>94.0</v>
      </c>
    </row>
    <row r="2038">
      <c r="A2038" s="46" t="s">
        <v>269</v>
      </c>
      <c r="B2038" s="46" t="s">
        <v>1539</v>
      </c>
      <c r="C2038" s="46" t="s">
        <v>1540</v>
      </c>
      <c r="D2038" s="46" t="s">
        <v>18</v>
      </c>
      <c r="E2038" s="46" t="s">
        <v>14</v>
      </c>
      <c r="F2038" s="48">
        <v>80.9</v>
      </c>
    </row>
    <row r="2039">
      <c r="A2039" s="46" t="s">
        <v>269</v>
      </c>
      <c r="B2039" s="46" t="s">
        <v>1544</v>
      </c>
      <c r="C2039" s="46" t="s">
        <v>1515</v>
      </c>
      <c r="D2039" s="46" t="s">
        <v>17</v>
      </c>
      <c r="E2039" s="46" t="s">
        <v>14</v>
      </c>
      <c r="F2039" s="48">
        <v>94.1</v>
      </c>
    </row>
    <row r="2040">
      <c r="A2040" s="46" t="s">
        <v>1545</v>
      </c>
      <c r="B2040" s="46" t="s">
        <v>1551</v>
      </c>
      <c r="C2040" s="46" t="s">
        <v>1552</v>
      </c>
      <c r="D2040" s="46" t="s">
        <v>18</v>
      </c>
      <c r="E2040" s="46" t="s">
        <v>14</v>
      </c>
      <c r="F2040" s="48">
        <v>85.8</v>
      </c>
    </row>
    <row r="2041">
      <c r="A2041" s="46" t="s">
        <v>1545</v>
      </c>
      <c r="B2041" s="46" t="s">
        <v>1569</v>
      </c>
      <c r="C2041" s="46" t="s">
        <v>1549</v>
      </c>
      <c r="D2041" s="46" t="s">
        <v>18</v>
      </c>
      <c r="E2041" s="46" t="s">
        <v>14</v>
      </c>
      <c r="F2041" s="48">
        <v>101.0</v>
      </c>
    </row>
    <row r="2042">
      <c r="A2042" s="46" t="s">
        <v>1579</v>
      </c>
      <c r="B2042" s="46" t="s">
        <v>1582</v>
      </c>
      <c r="C2042" s="46" t="s">
        <v>1583</v>
      </c>
      <c r="D2042" s="46" t="s">
        <v>18</v>
      </c>
      <c r="E2042" s="46" t="s">
        <v>13</v>
      </c>
      <c r="F2042" s="48">
        <v>90.5</v>
      </c>
    </row>
    <row r="2043">
      <c r="A2043" s="46" t="s">
        <v>1579</v>
      </c>
      <c r="B2043" s="46" t="s">
        <v>1599</v>
      </c>
      <c r="C2043" s="46" t="s">
        <v>1600</v>
      </c>
      <c r="D2043" s="46" t="s">
        <v>18</v>
      </c>
      <c r="E2043" s="46" t="s">
        <v>14</v>
      </c>
      <c r="F2043" s="48">
        <v>88.3</v>
      </c>
    </row>
    <row r="2044">
      <c r="A2044" s="46" t="s">
        <v>1579</v>
      </c>
      <c r="B2044" s="46" t="s">
        <v>1620</v>
      </c>
      <c r="C2044" s="46" t="s">
        <v>1621</v>
      </c>
      <c r="D2044" s="46" t="s">
        <v>18</v>
      </c>
      <c r="E2044" s="46" t="s">
        <v>13</v>
      </c>
      <c r="F2044" s="48">
        <v>82.1</v>
      </c>
    </row>
    <row r="2045">
      <c r="A2045" s="46" t="s">
        <v>284</v>
      </c>
      <c r="B2045" s="46" t="s">
        <v>1631</v>
      </c>
      <c r="C2045" s="46" t="s">
        <v>1632</v>
      </c>
      <c r="D2045" s="46" t="s">
        <v>18</v>
      </c>
      <c r="E2045" s="46" t="s">
        <v>13</v>
      </c>
      <c r="F2045" s="48">
        <v>84.6</v>
      </c>
    </row>
    <row r="2046">
      <c r="A2046" s="46" t="s">
        <v>88</v>
      </c>
      <c r="B2046" s="46" t="s">
        <v>1637</v>
      </c>
      <c r="C2046" s="46" t="s">
        <v>88</v>
      </c>
      <c r="D2046" s="46" t="s">
        <v>18</v>
      </c>
      <c r="E2046" s="46" t="s">
        <v>13</v>
      </c>
      <c r="F2046" s="48">
        <v>75.5</v>
      </c>
    </row>
    <row r="2047">
      <c r="A2047" s="46" t="s">
        <v>88</v>
      </c>
      <c r="B2047" s="46" t="s">
        <v>1642</v>
      </c>
      <c r="C2047" s="46" t="s">
        <v>1643</v>
      </c>
      <c r="D2047" s="46" t="s">
        <v>17</v>
      </c>
      <c r="E2047" s="46" t="s">
        <v>13</v>
      </c>
      <c r="F2047" s="48">
        <v>89.8</v>
      </c>
    </row>
    <row r="2048">
      <c r="A2048" s="46" t="s">
        <v>88</v>
      </c>
      <c r="B2048" s="46" t="s">
        <v>1645</v>
      </c>
      <c r="C2048" s="46" t="s">
        <v>88</v>
      </c>
      <c r="D2048" s="46" t="s">
        <v>18</v>
      </c>
      <c r="E2048" s="46" t="s">
        <v>15</v>
      </c>
      <c r="F2048" s="48">
        <v>82.9</v>
      </c>
    </row>
    <row r="2049">
      <c r="A2049" s="46" t="s">
        <v>182</v>
      </c>
      <c r="B2049" s="46" t="s">
        <v>1652</v>
      </c>
      <c r="C2049" s="46" t="s">
        <v>1653</v>
      </c>
      <c r="D2049" s="46" t="s">
        <v>18</v>
      </c>
      <c r="E2049" s="46" t="s">
        <v>13</v>
      </c>
      <c r="F2049" s="48">
        <v>90.4</v>
      </c>
    </row>
    <row r="2050">
      <c r="A2050" s="46" t="s">
        <v>182</v>
      </c>
      <c r="B2050" s="46" t="s">
        <v>1617</v>
      </c>
      <c r="C2050" s="46" t="s">
        <v>1659</v>
      </c>
      <c r="D2050" s="46" t="s">
        <v>17</v>
      </c>
      <c r="E2050" s="46" t="s">
        <v>15</v>
      </c>
      <c r="F2050" s="48">
        <v>101.7</v>
      </c>
    </row>
    <row r="2051">
      <c r="A2051" s="46" t="s">
        <v>182</v>
      </c>
      <c r="B2051" s="46" t="s">
        <v>1661</v>
      </c>
      <c r="C2051" s="46" t="s">
        <v>1653</v>
      </c>
      <c r="D2051" s="46" t="s">
        <v>17</v>
      </c>
      <c r="E2051" s="46" t="s">
        <v>13</v>
      </c>
      <c r="F2051" s="48">
        <v>87.7</v>
      </c>
    </row>
    <row r="2052">
      <c r="A2052" s="46" t="s">
        <v>182</v>
      </c>
      <c r="B2052" s="46" t="s">
        <v>1663</v>
      </c>
      <c r="C2052" s="46" t="s">
        <v>1664</v>
      </c>
      <c r="D2052" s="46" t="s">
        <v>18</v>
      </c>
      <c r="E2052" s="46" t="s">
        <v>13</v>
      </c>
      <c r="F2052" s="48">
        <v>84.6</v>
      </c>
    </row>
    <row r="2053">
      <c r="A2053" s="46" t="s">
        <v>182</v>
      </c>
      <c r="B2053" s="46" t="s">
        <v>1670</v>
      </c>
      <c r="C2053" s="46" t="s">
        <v>1671</v>
      </c>
      <c r="D2053" s="46" t="s">
        <v>18</v>
      </c>
      <c r="E2053" s="46" t="s">
        <v>14</v>
      </c>
      <c r="F2053" s="48">
        <v>102.5</v>
      </c>
    </row>
    <row r="2054">
      <c r="A2054" s="46" t="s">
        <v>182</v>
      </c>
      <c r="B2054" s="46" t="s">
        <v>1673</v>
      </c>
      <c r="C2054" s="46" t="s">
        <v>1674</v>
      </c>
      <c r="D2054" s="46" t="s">
        <v>17</v>
      </c>
      <c r="E2054" s="46" t="s">
        <v>13</v>
      </c>
      <c r="F2054" s="48">
        <v>93.1</v>
      </c>
    </row>
    <row r="2055">
      <c r="A2055" s="46" t="s">
        <v>134</v>
      </c>
      <c r="B2055" s="46" t="s">
        <v>1687</v>
      </c>
      <c r="C2055" s="46" t="s">
        <v>1688</v>
      </c>
      <c r="D2055" s="46" t="s">
        <v>18</v>
      </c>
      <c r="E2055" s="46" t="s">
        <v>13</v>
      </c>
      <c r="F2055" s="48">
        <v>88.2</v>
      </c>
    </row>
    <row r="2056">
      <c r="A2056" s="46" t="s">
        <v>134</v>
      </c>
      <c r="B2056" s="46" t="s">
        <v>1690</v>
      </c>
      <c r="C2056" s="46" t="s">
        <v>1688</v>
      </c>
      <c r="D2056" s="46" t="s">
        <v>18</v>
      </c>
      <c r="E2056" s="46" t="s">
        <v>13</v>
      </c>
      <c r="F2056" s="48">
        <v>81.2</v>
      </c>
    </row>
    <row r="2057">
      <c r="A2057" s="46" t="s">
        <v>134</v>
      </c>
      <c r="B2057" s="46" t="s">
        <v>1694</v>
      </c>
      <c r="C2057" s="46" t="s">
        <v>1695</v>
      </c>
      <c r="D2057" s="46" t="s">
        <v>18</v>
      </c>
      <c r="E2057" s="46" t="s">
        <v>13</v>
      </c>
      <c r="F2057" s="48">
        <v>87.5</v>
      </c>
    </row>
    <row r="2058">
      <c r="A2058" s="46" t="s">
        <v>134</v>
      </c>
      <c r="B2058" s="46" t="s">
        <v>1697</v>
      </c>
      <c r="C2058" s="46" t="s">
        <v>1698</v>
      </c>
      <c r="D2058" s="46" t="s">
        <v>18</v>
      </c>
      <c r="E2058" s="46" t="s">
        <v>13</v>
      </c>
      <c r="F2058" s="48">
        <v>91.5</v>
      </c>
    </row>
    <row r="2059">
      <c r="A2059" s="46" t="s">
        <v>134</v>
      </c>
      <c r="B2059" s="46" t="s">
        <v>1700</v>
      </c>
      <c r="C2059" s="46" t="s">
        <v>1688</v>
      </c>
      <c r="D2059" s="46" t="s">
        <v>18</v>
      </c>
      <c r="E2059" s="46" t="s">
        <v>14</v>
      </c>
      <c r="F2059" s="48">
        <v>101.3</v>
      </c>
    </row>
    <row r="2060">
      <c r="A2060" s="46" t="s">
        <v>779</v>
      </c>
      <c r="B2060" s="46" t="s">
        <v>1710</v>
      </c>
      <c r="C2060" s="46" t="s">
        <v>1711</v>
      </c>
      <c r="D2060" s="46" t="s">
        <v>18</v>
      </c>
      <c r="E2060" s="46" t="s">
        <v>14</v>
      </c>
      <c r="F2060" s="48">
        <v>99.3</v>
      </c>
    </row>
    <row r="2061">
      <c r="A2061" s="46" t="s">
        <v>779</v>
      </c>
      <c r="B2061" s="46" t="s">
        <v>1713</v>
      </c>
      <c r="C2061" s="46" t="s">
        <v>1714</v>
      </c>
      <c r="D2061" s="46" t="s">
        <v>18</v>
      </c>
      <c r="E2061" s="46" t="s">
        <v>13</v>
      </c>
      <c r="F2061" s="48">
        <v>95.1</v>
      </c>
    </row>
    <row r="2062">
      <c r="A2062" s="46" t="s">
        <v>779</v>
      </c>
      <c r="B2062" s="46" t="s">
        <v>1721</v>
      </c>
      <c r="C2062" s="46" t="s">
        <v>1722</v>
      </c>
      <c r="D2062" s="46" t="s">
        <v>17</v>
      </c>
      <c r="E2062" s="46" t="s">
        <v>15</v>
      </c>
      <c r="F2062" s="48">
        <v>103.0</v>
      </c>
    </row>
    <row r="2063">
      <c r="A2063" s="46" t="s">
        <v>284</v>
      </c>
      <c r="B2063" s="46" t="s">
        <v>1728</v>
      </c>
      <c r="C2063" s="46" t="s">
        <v>1729</v>
      </c>
      <c r="D2063" s="46" t="s">
        <v>18</v>
      </c>
      <c r="E2063" s="46" t="s">
        <v>13</v>
      </c>
      <c r="F2063" s="48">
        <v>86.6</v>
      </c>
    </row>
    <row r="2064">
      <c r="A2064" s="46" t="s">
        <v>284</v>
      </c>
      <c r="B2064" s="46" t="s">
        <v>1735</v>
      </c>
      <c r="C2064" s="46" t="s">
        <v>284</v>
      </c>
      <c r="D2064" s="46" t="s">
        <v>18</v>
      </c>
      <c r="E2064" s="46" t="s">
        <v>14</v>
      </c>
      <c r="F2064" s="48">
        <v>99.2</v>
      </c>
    </row>
    <row r="2065">
      <c r="A2065" s="46" t="s">
        <v>322</v>
      </c>
      <c r="B2065" s="46" t="s">
        <v>1738</v>
      </c>
      <c r="C2065" s="46" t="s">
        <v>322</v>
      </c>
      <c r="D2065" s="46" t="s">
        <v>17</v>
      </c>
      <c r="E2065" s="46" t="s">
        <v>13</v>
      </c>
      <c r="F2065" s="48">
        <v>83.7</v>
      </c>
    </row>
    <row r="2066">
      <c r="A2066" s="46" t="s">
        <v>322</v>
      </c>
      <c r="B2066" s="46" t="s">
        <v>1740</v>
      </c>
      <c r="C2066" s="46" t="s">
        <v>322</v>
      </c>
      <c r="D2066" s="46" t="s">
        <v>18</v>
      </c>
      <c r="E2066" s="46" t="s">
        <v>13</v>
      </c>
      <c r="F2066" s="48">
        <v>84.3</v>
      </c>
    </row>
    <row r="2067">
      <c r="A2067" s="46" t="s">
        <v>322</v>
      </c>
      <c r="B2067" s="46" t="s">
        <v>1744</v>
      </c>
      <c r="C2067" s="46" t="s">
        <v>322</v>
      </c>
      <c r="D2067" s="46" t="s">
        <v>18</v>
      </c>
      <c r="E2067" s="46" t="s">
        <v>14</v>
      </c>
      <c r="F2067" s="48">
        <v>91.0</v>
      </c>
    </row>
    <row r="2068">
      <c r="A2068" s="46" t="s">
        <v>930</v>
      </c>
      <c r="B2068" s="46" t="s">
        <v>1750</v>
      </c>
      <c r="C2068" s="46" t="s">
        <v>1751</v>
      </c>
      <c r="D2068" s="46" t="s">
        <v>18</v>
      </c>
      <c r="E2068" s="46" t="s">
        <v>14</v>
      </c>
      <c r="F2068" s="48">
        <v>102.9</v>
      </c>
    </row>
    <row r="2069">
      <c r="A2069" s="46" t="s">
        <v>930</v>
      </c>
      <c r="B2069" s="46" t="s">
        <v>1753</v>
      </c>
      <c r="C2069" s="46" t="s">
        <v>1754</v>
      </c>
      <c r="D2069" s="46" t="s">
        <v>18</v>
      </c>
      <c r="E2069" s="46" t="s">
        <v>13</v>
      </c>
      <c r="F2069" s="48">
        <v>84.4</v>
      </c>
    </row>
    <row r="2070">
      <c r="A2070" s="46" t="s">
        <v>930</v>
      </c>
      <c r="B2070" s="46" t="s">
        <v>595</v>
      </c>
      <c r="C2070" s="46" t="s">
        <v>1756</v>
      </c>
      <c r="D2070" s="46" t="s">
        <v>17</v>
      </c>
      <c r="E2070" s="46" t="s">
        <v>13</v>
      </c>
      <c r="F2070" s="48">
        <v>80.6</v>
      </c>
    </row>
    <row r="2071">
      <c r="A2071" s="46" t="s">
        <v>930</v>
      </c>
      <c r="B2071" s="46" t="s">
        <v>1758</v>
      </c>
      <c r="C2071" s="46" t="s">
        <v>1759</v>
      </c>
      <c r="D2071" s="46" t="s">
        <v>17</v>
      </c>
      <c r="E2071" s="46" t="s">
        <v>13</v>
      </c>
      <c r="F2071" s="48">
        <v>78.0</v>
      </c>
    </row>
    <row r="2072">
      <c r="A2072" s="46" t="s">
        <v>930</v>
      </c>
      <c r="B2072" s="46" t="s">
        <v>1761</v>
      </c>
      <c r="C2072" s="46" t="s">
        <v>1762</v>
      </c>
      <c r="D2072" s="46" t="s">
        <v>18</v>
      </c>
      <c r="E2072" s="46" t="s">
        <v>14</v>
      </c>
      <c r="F2072" s="48">
        <v>95.3</v>
      </c>
    </row>
    <row r="2073">
      <c r="A2073" s="46" t="s">
        <v>333</v>
      </c>
      <c r="B2073" s="46" t="s">
        <v>1765</v>
      </c>
      <c r="C2073" s="46" t="s">
        <v>1766</v>
      </c>
      <c r="D2073" s="46" t="s">
        <v>18</v>
      </c>
      <c r="E2073" s="46" t="s">
        <v>14</v>
      </c>
      <c r="F2073" s="48">
        <v>98.7</v>
      </c>
    </row>
    <row r="2074">
      <c r="A2074" s="46" t="s">
        <v>333</v>
      </c>
      <c r="B2074" s="46" t="s">
        <v>1771</v>
      </c>
      <c r="C2074" s="46" t="s">
        <v>1772</v>
      </c>
      <c r="D2074" s="46" t="s">
        <v>18</v>
      </c>
      <c r="E2074" s="46" t="s">
        <v>14</v>
      </c>
      <c r="F2074" s="48">
        <v>100.6</v>
      </c>
    </row>
    <row r="2075">
      <c r="A2075" s="46" t="s">
        <v>333</v>
      </c>
      <c r="B2075" s="46" t="s">
        <v>848</v>
      </c>
      <c r="C2075" s="46" t="s">
        <v>1769</v>
      </c>
      <c r="D2075" s="46" t="s">
        <v>17</v>
      </c>
      <c r="E2075" s="46" t="s">
        <v>14</v>
      </c>
      <c r="F2075" s="48">
        <v>99.7</v>
      </c>
    </row>
    <row r="2076">
      <c r="A2076" s="46" t="s">
        <v>393</v>
      </c>
      <c r="B2076" s="46" t="s">
        <v>1783</v>
      </c>
      <c r="C2076" s="46" t="s">
        <v>1781</v>
      </c>
      <c r="D2076" s="46" t="s">
        <v>18</v>
      </c>
      <c r="E2076" s="46" t="s">
        <v>13</v>
      </c>
      <c r="F2076" s="48">
        <v>82.1</v>
      </c>
    </row>
    <row r="2077">
      <c r="A2077" s="46" t="s">
        <v>1579</v>
      </c>
      <c r="B2077" s="46" t="s">
        <v>1786</v>
      </c>
      <c r="C2077" s="46" t="s">
        <v>1787</v>
      </c>
      <c r="D2077" s="46" t="s">
        <v>18</v>
      </c>
      <c r="E2077" s="46" t="s">
        <v>13</v>
      </c>
      <c r="F2077" s="48">
        <v>87.3</v>
      </c>
    </row>
    <row r="2078">
      <c r="A2078" s="46" t="s">
        <v>1579</v>
      </c>
      <c r="B2078" s="46" t="s">
        <v>1800</v>
      </c>
      <c r="C2078" s="46" t="s">
        <v>1801</v>
      </c>
      <c r="D2078" s="46" t="s">
        <v>18</v>
      </c>
      <c r="E2078" s="46" t="s">
        <v>13</v>
      </c>
      <c r="F2078" s="48">
        <v>91.7</v>
      </c>
    </row>
    <row r="2079">
      <c r="A2079" s="46" t="s">
        <v>1579</v>
      </c>
      <c r="B2079" s="46" t="s">
        <v>1803</v>
      </c>
      <c r="C2079" s="46" t="s">
        <v>1804</v>
      </c>
      <c r="D2079" s="46" t="s">
        <v>18</v>
      </c>
      <c r="E2079" s="46" t="s">
        <v>15</v>
      </c>
      <c r="F2079" s="48">
        <v>99.6</v>
      </c>
    </row>
    <row r="2080">
      <c r="A2080" s="46" t="s">
        <v>1579</v>
      </c>
      <c r="B2080" s="46" t="s">
        <v>1806</v>
      </c>
      <c r="C2080" s="46" t="s">
        <v>1804</v>
      </c>
      <c r="D2080" s="46" t="s">
        <v>18</v>
      </c>
      <c r="E2080" s="46" t="s">
        <v>13</v>
      </c>
      <c r="F2080" s="48">
        <v>84.4</v>
      </c>
    </row>
    <row r="2081">
      <c r="A2081" s="46" t="s">
        <v>1579</v>
      </c>
      <c r="B2081" s="46" t="s">
        <v>1811</v>
      </c>
      <c r="C2081" s="46" t="s">
        <v>1812</v>
      </c>
      <c r="D2081" s="46" t="s">
        <v>18</v>
      </c>
      <c r="E2081" s="46" t="s">
        <v>14</v>
      </c>
      <c r="F2081" s="48">
        <v>95.5</v>
      </c>
    </row>
    <row r="2082">
      <c r="A2082" s="46" t="s">
        <v>1579</v>
      </c>
      <c r="B2082" s="46" t="s">
        <v>1844</v>
      </c>
      <c r="C2082" s="46" t="s">
        <v>1845</v>
      </c>
      <c r="D2082" s="46" t="s">
        <v>18</v>
      </c>
      <c r="E2082" s="46" t="s">
        <v>14</v>
      </c>
      <c r="F2082" s="48">
        <v>91.7</v>
      </c>
    </row>
    <row r="2083">
      <c r="A2083" s="46" t="s">
        <v>1545</v>
      </c>
      <c r="B2083" s="46" t="s">
        <v>1854</v>
      </c>
      <c r="C2083" s="46" t="s">
        <v>1855</v>
      </c>
      <c r="D2083" s="46" t="s">
        <v>18</v>
      </c>
      <c r="E2083" s="46" t="s">
        <v>15</v>
      </c>
      <c r="F2083" s="48">
        <v>101.9</v>
      </c>
    </row>
    <row r="2084">
      <c r="A2084" s="46" t="s">
        <v>1545</v>
      </c>
      <c r="B2084" s="46" t="s">
        <v>1857</v>
      </c>
      <c r="C2084" s="46" t="s">
        <v>1858</v>
      </c>
      <c r="D2084" s="46" t="s">
        <v>18</v>
      </c>
      <c r="E2084" s="46" t="s">
        <v>14</v>
      </c>
      <c r="F2084" s="48">
        <v>72.4</v>
      </c>
    </row>
    <row r="2085">
      <c r="A2085" s="46" t="s">
        <v>1545</v>
      </c>
      <c r="B2085" s="46" t="s">
        <v>1860</v>
      </c>
      <c r="C2085" s="46" t="s">
        <v>1861</v>
      </c>
      <c r="D2085" s="46" t="s">
        <v>18</v>
      </c>
      <c r="E2085" s="46" t="s">
        <v>15</v>
      </c>
      <c r="F2085" s="48">
        <v>79.8</v>
      </c>
    </row>
    <row r="2086">
      <c r="A2086" s="46" t="s">
        <v>1545</v>
      </c>
      <c r="B2086" s="46" t="s">
        <v>1865</v>
      </c>
      <c r="C2086" s="46" t="s">
        <v>1866</v>
      </c>
      <c r="D2086" s="46" t="s">
        <v>17</v>
      </c>
      <c r="E2086" s="46" t="s">
        <v>15</v>
      </c>
      <c r="F2086" s="48">
        <v>98.0</v>
      </c>
    </row>
    <row r="2087">
      <c r="A2087" s="46" t="s">
        <v>1545</v>
      </c>
      <c r="B2087" s="46" t="s">
        <v>1873</v>
      </c>
      <c r="C2087" s="46" t="s">
        <v>1874</v>
      </c>
      <c r="D2087" s="46" t="s">
        <v>18</v>
      </c>
      <c r="E2087" s="46" t="s">
        <v>14</v>
      </c>
      <c r="F2087" s="48">
        <v>71.7</v>
      </c>
    </row>
    <row r="2088">
      <c r="A2088" s="46" t="s">
        <v>1545</v>
      </c>
      <c r="B2088" s="46" t="s">
        <v>1876</v>
      </c>
      <c r="C2088" s="46" t="s">
        <v>1877</v>
      </c>
      <c r="D2088" s="46" t="s">
        <v>18</v>
      </c>
      <c r="E2088" s="46" t="s">
        <v>15</v>
      </c>
      <c r="F2088" s="48">
        <v>99.2</v>
      </c>
    </row>
    <row r="2089">
      <c r="A2089" s="46" t="s">
        <v>1545</v>
      </c>
      <c r="B2089" s="46" t="s">
        <v>1879</v>
      </c>
      <c r="C2089" s="46" t="s">
        <v>1880</v>
      </c>
      <c r="D2089" s="46" t="s">
        <v>18</v>
      </c>
      <c r="E2089" s="46" t="s">
        <v>15</v>
      </c>
      <c r="F2089" s="48">
        <v>78.3</v>
      </c>
    </row>
    <row r="2090">
      <c r="A2090" s="46" t="s">
        <v>1545</v>
      </c>
      <c r="B2090" s="46" t="s">
        <v>982</v>
      </c>
      <c r="C2090" s="46" t="s">
        <v>1886</v>
      </c>
      <c r="D2090" s="46" t="s">
        <v>18</v>
      </c>
      <c r="E2090" s="46" t="s">
        <v>15</v>
      </c>
      <c r="F2090" s="48">
        <v>95.4</v>
      </c>
    </row>
    <row r="2091">
      <c r="A2091" s="46" t="s">
        <v>1545</v>
      </c>
      <c r="B2091" s="46" t="s">
        <v>1888</v>
      </c>
      <c r="C2091" s="46" t="s">
        <v>1871</v>
      </c>
      <c r="D2091" s="46" t="s">
        <v>18</v>
      </c>
      <c r="E2091" s="46" t="s">
        <v>14</v>
      </c>
      <c r="F2091" s="48">
        <v>83.2</v>
      </c>
    </row>
    <row r="2092">
      <c r="A2092" s="46" t="s">
        <v>1545</v>
      </c>
      <c r="B2092" s="46" t="s">
        <v>1897</v>
      </c>
      <c r="C2092" s="46" t="s">
        <v>1898</v>
      </c>
      <c r="D2092" s="46" t="s">
        <v>18</v>
      </c>
      <c r="E2092" s="46" t="s">
        <v>14</v>
      </c>
      <c r="F2092" s="48">
        <v>87.7</v>
      </c>
    </row>
    <row r="2093">
      <c r="A2093" s="46" t="s">
        <v>1545</v>
      </c>
      <c r="B2093" s="46" t="s">
        <v>1900</v>
      </c>
      <c r="C2093" s="46" t="s">
        <v>1901</v>
      </c>
      <c r="D2093" s="46" t="s">
        <v>18</v>
      </c>
      <c r="E2093" s="46" t="s">
        <v>15</v>
      </c>
      <c r="F2093" s="48">
        <v>96.9</v>
      </c>
    </row>
    <row r="2094">
      <c r="A2094" s="46" t="s">
        <v>1545</v>
      </c>
      <c r="B2094" s="46" t="s">
        <v>1906</v>
      </c>
      <c r="C2094" s="46" t="s">
        <v>1907</v>
      </c>
      <c r="D2094" s="46" t="s">
        <v>18</v>
      </c>
      <c r="E2094" s="46" t="s">
        <v>14</v>
      </c>
      <c r="F2094" s="48">
        <v>91.3</v>
      </c>
    </row>
    <row r="2095">
      <c r="A2095" s="46" t="s">
        <v>1545</v>
      </c>
      <c r="B2095" s="46" t="s">
        <v>1912</v>
      </c>
      <c r="C2095" s="46" t="s">
        <v>1913</v>
      </c>
      <c r="D2095" s="46" t="s">
        <v>17</v>
      </c>
      <c r="E2095" s="46" t="s">
        <v>13</v>
      </c>
      <c r="F2095" s="48">
        <v>85.3</v>
      </c>
    </row>
    <row r="2096">
      <c r="A2096" s="46" t="s">
        <v>1545</v>
      </c>
      <c r="B2096" s="46" t="s">
        <v>1926</v>
      </c>
      <c r="C2096" s="46" t="s">
        <v>1901</v>
      </c>
      <c r="D2096" s="46" t="s">
        <v>18</v>
      </c>
      <c r="E2096" s="46" t="s">
        <v>14</v>
      </c>
      <c r="F2096" s="48">
        <v>82.9</v>
      </c>
    </row>
    <row r="2097">
      <c r="A2097" s="46" t="s">
        <v>1579</v>
      </c>
      <c r="B2097" s="46" t="s">
        <v>1929</v>
      </c>
      <c r="C2097" s="46" t="s">
        <v>1930</v>
      </c>
      <c r="D2097" s="46" t="s">
        <v>18</v>
      </c>
      <c r="E2097" s="46" t="s">
        <v>15</v>
      </c>
      <c r="F2097" s="48">
        <v>100.8</v>
      </c>
    </row>
    <row r="2098">
      <c r="A2098" s="46" t="s">
        <v>1579</v>
      </c>
      <c r="B2098" s="46" t="s">
        <v>1932</v>
      </c>
      <c r="C2098" s="46" t="s">
        <v>1933</v>
      </c>
      <c r="D2098" s="46" t="s">
        <v>18</v>
      </c>
      <c r="E2098" s="46" t="s">
        <v>14</v>
      </c>
      <c r="F2098" s="48">
        <v>85.3</v>
      </c>
    </row>
    <row r="2099">
      <c r="A2099" s="46" t="s">
        <v>1579</v>
      </c>
      <c r="B2099" s="46" t="s">
        <v>1935</v>
      </c>
      <c r="C2099" s="46" t="s">
        <v>1936</v>
      </c>
      <c r="D2099" s="46" t="s">
        <v>18</v>
      </c>
      <c r="E2099" s="46" t="s">
        <v>13</v>
      </c>
      <c r="F2099" s="48">
        <v>84.1</v>
      </c>
    </row>
    <row r="2100">
      <c r="A2100" s="46" t="s">
        <v>1579</v>
      </c>
      <c r="B2100" s="46" t="s">
        <v>1944</v>
      </c>
      <c r="C2100" s="46" t="s">
        <v>1930</v>
      </c>
      <c r="D2100" s="46" t="s">
        <v>17</v>
      </c>
      <c r="E2100" s="46" t="s">
        <v>13</v>
      </c>
      <c r="F2100" s="48">
        <v>96.1</v>
      </c>
    </row>
    <row r="2101">
      <c r="A2101" s="46" t="s">
        <v>1579</v>
      </c>
      <c r="B2101" s="46" t="s">
        <v>1946</v>
      </c>
      <c r="C2101" s="46" t="s">
        <v>1933</v>
      </c>
      <c r="D2101" s="46" t="s">
        <v>18</v>
      </c>
      <c r="E2101" s="46" t="s">
        <v>14</v>
      </c>
      <c r="F2101" s="48">
        <v>81.8</v>
      </c>
    </row>
    <row r="2102">
      <c r="A2102" s="46" t="s">
        <v>1579</v>
      </c>
      <c r="B2102" s="46" t="s">
        <v>1956</v>
      </c>
      <c r="C2102" s="46" t="s">
        <v>1957</v>
      </c>
      <c r="D2102" s="46" t="s">
        <v>18</v>
      </c>
      <c r="E2102" s="46" t="s">
        <v>14</v>
      </c>
      <c r="F2102" s="48">
        <v>71.6</v>
      </c>
    </row>
    <row r="2103">
      <c r="A2103" s="46" t="s">
        <v>1964</v>
      </c>
      <c r="B2103" s="46" t="s">
        <v>1968</v>
      </c>
      <c r="C2103" s="46" t="s">
        <v>1970</v>
      </c>
      <c r="D2103" s="46" t="s">
        <v>18</v>
      </c>
      <c r="E2103" s="46" t="s">
        <v>13</v>
      </c>
      <c r="F2103" s="48">
        <v>88.9</v>
      </c>
    </row>
    <row r="2104">
      <c r="A2104" s="46" t="s">
        <v>1964</v>
      </c>
      <c r="B2104" s="46" t="s">
        <v>1972</v>
      </c>
      <c r="C2104" s="46" t="s">
        <v>1974</v>
      </c>
      <c r="D2104" s="46" t="s">
        <v>18</v>
      </c>
      <c r="E2104" s="46" t="s">
        <v>14</v>
      </c>
      <c r="F2104" s="48">
        <v>98.8</v>
      </c>
    </row>
    <row r="2105">
      <c r="A2105" s="46" t="s">
        <v>1964</v>
      </c>
      <c r="B2105" s="46" t="s">
        <v>1978</v>
      </c>
      <c r="C2105" s="46" t="s">
        <v>1980</v>
      </c>
      <c r="D2105" s="46" t="s">
        <v>18</v>
      </c>
      <c r="E2105" s="46" t="s">
        <v>14</v>
      </c>
      <c r="F2105" s="48">
        <v>85.3</v>
      </c>
    </row>
    <row r="2106">
      <c r="A2106" s="46" t="s">
        <v>1989</v>
      </c>
      <c r="B2106" s="46" t="s">
        <v>1991</v>
      </c>
      <c r="C2106" s="46" t="s">
        <v>1992</v>
      </c>
      <c r="D2106" s="46" t="s">
        <v>17</v>
      </c>
      <c r="E2106" s="46" t="s">
        <v>14</v>
      </c>
      <c r="F2106" s="48">
        <v>100.9</v>
      </c>
    </row>
    <row r="2107">
      <c r="A2107" s="46" t="s">
        <v>1989</v>
      </c>
      <c r="B2107" s="46" t="s">
        <v>1994</v>
      </c>
      <c r="C2107" s="46" t="s">
        <v>1995</v>
      </c>
      <c r="D2107" s="46" t="s">
        <v>17</v>
      </c>
      <c r="E2107" s="46" t="s">
        <v>13</v>
      </c>
      <c r="F2107" s="48">
        <v>74.3</v>
      </c>
    </row>
    <row r="2108">
      <c r="A2108" s="46" t="s">
        <v>1989</v>
      </c>
      <c r="B2108" s="46" t="s">
        <v>1997</v>
      </c>
      <c r="C2108" s="46" t="s">
        <v>1998</v>
      </c>
      <c r="D2108" s="46" t="s">
        <v>18</v>
      </c>
      <c r="E2108" s="46" t="s">
        <v>13</v>
      </c>
      <c r="F2108" s="48">
        <v>71.0</v>
      </c>
    </row>
    <row r="2109">
      <c r="A2109" s="46" t="s">
        <v>1989</v>
      </c>
      <c r="B2109" s="46" t="s">
        <v>2000</v>
      </c>
      <c r="C2109" s="46" t="s">
        <v>2001</v>
      </c>
      <c r="D2109" s="46" t="s">
        <v>18</v>
      </c>
      <c r="E2109" s="46" t="s">
        <v>14</v>
      </c>
      <c r="F2109" s="48">
        <v>71.6</v>
      </c>
    </row>
    <row r="2110">
      <c r="A2110" s="46" t="s">
        <v>1989</v>
      </c>
      <c r="B2110" s="46" t="s">
        <v>2006</v>
      </c>
      <c r="C2110" s="46" t="s">
        <v>2007</v>
      </c>
      <c r="D2110" s="46" t="s">
        <v>18</v>
      </c>
      <c r="E2110" s="46" t="s">
        <v>13</v>
      </c>
      <c r="F2110" s="48">
        <v>73.9</v>
      </c>
    </row>
    <row r="2111">
      <c r="A2111" s="46" t="s">
        <v>1989</v>
      </c>
      <c r="B2111" s="46" t="s">
        <v>2009</v>
      </c>
      <c r="C2111" s="46" t="s">
        <v>1992</v>
      </c>
      <c r="D2111" s="46" t="s">
        <v>17</v>
      </c>
      <c r="E2111" s="46" t="s">
        <v>15</v>
      </c>
      <c r="F2111" s="48">
        <v>78.1</v>
      </c>
    </row>
    <row r="2112">
      <c r="A2112" s="46" t="s">
        <v>1989</v>
      </c>
      <c r="B2112" s="46" t="s">
        <v>2011</v>
      </c>
      <c r="C2112" s="46" t="s">
        <v>2012</v>
      </c>
      <c r="D2112" s="46" t="s">
        <v>18</v>
      </c>
      <c r="E2112" s="46" t="s">
        <v>14</v>
      </c>
      <c r="F2112" s="48">
        <v>85.0</v>
      </c>
    </row>
    <row r="2113">
      <c r="A2113" s="46" t="s">
        <v>2013</v>
      </c>
      <c r="B2113" s="46" t="s">
        <v>2015</v>
      </c>
      <c r="C2113" s="46" t="s">
        <v>2016</v>
      </c>
      <c r="D2113" s="46" t="s">
        <v>17</v>
      </c>
      <c r="E2113" s="46" t="s">
        <v>15</v>
      </c>
      <c r="F2113" s="48">
        <v>87.1</v>
      </c>
    </row>
    <row r="2114">
      <c r="A2114" s="46" t="s">
        <v>2013</v>
      </c>
      <c r="B2114" s="46" t="s">
        <v>2018</v>
      </c>
      <c r="C2114" s="46" t="s">
        <v>2019</v>
      </c>
      <c r="D2114" s="46" t="s">
        <v>18</v>
      </c>
      <c r="E2114" s="46" t="s">
        <v>13</v>
      </c>
      <c r="F2114" s="48">
        <v>74.2</v>
      </c>
    </row>
    <row r="2115">
      <c r="A2115" s="46" t="s">
        <v>2013</v>
      </c>
      <c r="B2115" s="46" t="s">
        <v>2021</v>
      </c>
      <c r="C2115" s="46" t="s">
        <v>2022</v>
      </c>
      <c r="D2115" s="46" t="s">
        <v>18</v>
      </c>
      <c r="E2115" s="46" t="s">
        <v>13</v>
      </c>
      <c r="F2115" s="48">
        <v>73.5</v>
      </c>
    </row>
    <row r="2116">
      <c r="A2116" s="46" t="s">
        <v>2013</v>
      </c>
      <c r="B2116" s="46" t="s">
        <v>2024</v>
      </c>
      <c r="C2116" s="46" t="s">
        <v>2025</v>
      </c>
      <c r="D2116" s="46" t="s">
        <v>18</v>
      </c>
      <c r="E2116" s="46" t="s">
        <v>14</v>
      </c>
      <c r="F2116" s="48">
        <v>76.2</v>
      </c>
    </row>
    <row r="2117">
      <c r="A2117" s="46" t="s">
        <v>2013</v>
      </c>
      <c r="B2117" s="46" t="s">
        <v>2027</v>
      </c>
      <c r="C2117" s="46" t="s">
        <v>2028</v>
      </c>
      <c r="D2117" s="46" t="s">
        <v>18</v>
      </c>
      <c r="E2117" s="46" t="s">
        <v>15</v>
      </c>
      <c r="F2117" s="48">
        <v>92.2</v>
      </c>
    </row>
    <row r="2118">
      <c r="A2118" s="46" t="s">
        <v>2013</v>
      </c>
      <c r="B2118" s="46" t="s">
        <v>2030</v>
      </c>
      <c r="C2118" s="46" t="s">
        <v>2031</v>
      </c>
      <c r="D2118" s="46" t="s">
        <v>18</v>
      </c>
      <c r="E2118" s="46" t="s">
        <v>14</v>
      </c>
      <c r="F2118" s="48">
        <v>89.4</v>
      </c>
    </row>
    <row r="2119">
      <c r="A2119" s="46" t="s">
        <v>2013</v>
      </c>
      <c r="B2119" s="46" t="s">
        <v>2033</v>
      </c>
      <c r="C2119" s="46" t="s">
        <v>2034</v>
      </c>
      <c r="D2119" s="46" t="s">
        <v>18</v>
      </c>
      <c r="E2119" s="46" t="s">
        <v>14</v>
      </c>
      <c r="F2119" s="48">
        <v>96.8</v>
      </c>
    </row>
    <row r="2120">
      <c r="A2120" s="46" t="s">
        <v>2035</v>
      </c>
      <c r="B2120" s="46" t="s">
        <v>2037</v>
      </c>
      <c r="C2120" s="46" t="s">
        <v>2038</v>
      </c>
      <c r="D2120" s="46" t="s">
        <v>18</v>
      </c>
      <c r="E2120" s="46" t="s">
        <v>15</v>
      </c>
      <c r="F2120" s="48">
        <v>89.3</v>
      </c>
    </row>
    <row r="2121">
      <c r="A2121" s="46" t="s">
        <v>2035</v>
      </c>
      <c r="B2121" s="46" t="s">
        <v>2040</v>
      </c>
      <c r="C2121" s="46" t="s">
        <v>2041</v>
      </c>
      <c r="D2121" s="46" t="s">
        <v>18</v>
      </c>
      <c r="E2121" s="46" t="s">
        <v>15</v>
      </c>
      <c r="F2121" s="48">
        <v>92.6</v>
      </c>
    </row>
    <row r="2122">
      <c r="A2122" s="46" t="s">
        <v>2035</v>
      </c>
      <c r="B2122" s="46" t="s">
        <v>2043</v>
      </c>
      <c r="C2122" s="46" t="s">
        <v>2038</v>
      </c>
      <c r="D2122" s="46" t="s">
        <v>18</v>
      </c>
      <c r="E2122" s="46" t="s">
        <v>14</v>
      </c>
      <c r="F2122" s="48">
        <v>68.6</v>
      </c>
    </row>
    <row r="2123">
      <c r="A2123" s="46" t="s">
        <v>2035</v>
      </c>
      <c r="B2123" s="46" t="s">
        <v>2045</v>
      </c>
      <c r="C2123" s="46" t="s">
        <v>2046</v>
      </c>
      <c r="D2123" s="46" t="s">
        <v>18</v>
      </c>
      <c r="E2123" s="46" t="s">
        <v>14</v>
      </c>
      <c r="F2123" s="48">
        <v>78.8</v>
      </c>
    </row>
    <row r="2124">
      <c r="A2124" s="46" t="s">
        <v>2035</v>
      </c>
      <c r="B2124" s="46" t="s">
        <v>2048</v>
      </c>
      <c r="C2124" s="46" t="s">
        <v>2049</v>
      </c>
      <c r="D2124" s="46" t="s">
        <v>18</v>
      </c>
      <c r="E2124" s="46" t="s">
        <v>14</v>
      </c>
      <c r="F2124" s="48">
        <v>60.7</v>
      </c>
    </row>
    <row r="2125">
      <c r="A2125" s="46" t="s">
        <v>2035</v>
      </c>
      <c r="B2125" s="46" t="s">
        <v>2051</v>
      </c>
      <c r="C2125" s="46" t="s">
        <v>2041</v>
      </c>
      <c r="D2125" s="46" t="s">
        <v>18</v>
      </c>
      <c r="E2125" s="46" t="s">
        <v>14</v>
      </c>
      <c r="F2125" s="48">
        <v>97.1</v>
      </c>
    </row>
    <row r="2126">
      <c r="A2126" s="46" t="s">
        <v>2054</v>
      </c>
      <c r="B2126" s="46" t="s">
        <v>2056</v>
      </c>
      <c r="C2126" s="46" t="s">
        <v>2057</v>
      </c>
      <c r="D2126" s="46" t="s">
        <v>18</v>
      </c>
      <c r="E2126" s="46" t="s">
        <v>14</v>
      </c>
      <c r="F2126" s="48">
        <v>91.9</v>
      </c>
    </row>
    <row r="2127">
      <c r="A2127" s="46" t="s">
        <v>2054</v>
      </c>
      <c r="B2127" s="46" t="s">
        <v>2059</v>
      </c>
      <c r="C2127" s="46" t="s">
        <v>2060</v>
      </c>
      <c r="D2127" s="46" t="s">
        <v>18</v>
      </c>
      <c r="E2127" s="46" t="s">
        <v>13</v>
      </c>
      <c r="F2127" s="48">
        <v>65.0</v>
      </c>
    </row>
    <row r="2128">
      <c r="A2128" s="46" t="s">
        <v>2054</v>
      </c>
      <c r="B2128" s="46" t="s">
        <v>391</v>
      </c>
      <c r="C2128" s="46" t="s">
        <v>2062</v>
      </c>
      <c r="D2128" s="46" t="s">
        <v>18</v>
      </c>
      <c r="E2128" s="46" t="s">
        <v>14</v>
      </c>
      <c r="F2128" s="48">
        <v>101.9</v>
      </c>
    </row>
    <row r="2129">
      <c r="A2129" s="46" t="s">
        <v>2054</v>
      </c>
      <c r="B2129" s="46" t="s">
        <v>2064</v>
      </c>
      <c r="C2129" s="46" t="s">
        <v>1858</v>
      </c>
      <c r="D2129" s="46" t="s">
        <v>18</v>
      </c>
      <c r="E2129" s="46" t="s">
        <v>13</v>
      </c>
      <c r="F2129" s="48">
        <v>62.4</v>
      </c>
    </row>
    <row r="2130">
      <c r="A2130" s="46" t="s">
        <v>2054</v>
      </c>
      <c r="B2130" s="46" t="s">
        <v>2066</v>
      </c>
      <c r="C2130" s="46" t="s">
        <v>2067</v>
      </c>
      <c r="D2130" s="46" t="s">
        <v>18</v>
      </c>
      <c r="E2130" s="46" t="s">
        <v>15</v>
      </c>
      <c r="F2130" s="48">
        <v>86.4</v>
      </c>
    </row>
    <row r="2131">
      <c r="A2131" s="46" t="s">
        <v>2054</v>
      </c>
      <c r="B2131" s="46" t="s">
        <v>2069</v>
      </c>
      <c r="C2131" s="46" t="s">
        <v>1858</v>
      </c>
      <c r="D2131" s="46" t="s">
        <v>18</v>
      </c>
      <c r="E2131" s="46" t="s">
        <v>13</v>
      </c>
      <c r="F2131" s="48">
        <v>64.9</v>
      </c>
    </row>
    <row r="2132">
      <c r="A2132" s="46" t="s">
        <v>2054</v>
      </c>
      <c r="B2132" s="46" t="s">
        <v>2071</v>
      </c>
      <c r="C2132" s="46" t="s">
        <v>2060</v>
      </c>
      <c r="D2132" s="46" t="s">
        <v>18</v>
      </c>
      <c r="E2132" s="46" t="s">
        <v>15</v>
      </c>
      <c r="F2132" s="48">
        <v>81.7</v>
      </c>
    </row>
    <row r="2133">
      <c r="A2133" s="46" t="s">
        <v>2054</v>
      </c>
      <c r="B2133" s="46" t="s">
        <v>2073</v>
      </c>
      <c r="C2133" s="46" t="s">
        <v>2074</v>
      </c>
      <c r="D2133" s="46" t="s">
        <v>18</v>
      </c>
      <c r="E2133" s="46" t="s">
        <v>14</v>
      </c>
      <c r="F2133" s="48">
        <v>74.7</v>
      </c>
    </row>
    <row r="2134">
      <c r="A2134" s="46" t="s">
        <v>2054</v>
      </c>
      <c r="B2134" s="46" t="s">
        <v>2079</v>
      </c>
      <c r="C2134" s="46" t="s">
        <v>2034</v>
      </c>
      <c r="D2134" s="46" t="s">
        <v>18</v>
      </c>
      <c r="E2134" s="46" t="s">
        <v>14</v>
      </c>
      <c r="F2134" s="48">
        <v>88.9</v>
      </c>
    </row>
    <row r="2135">
      <c r="A2135" s="46" t="s">
        <v>2054</v>
      </c>
      <c r="B2135" s="46" t="s">
        <v>2081</v>
      </c>
      <c r="C2135" s="46" t="s">
        <v>2067</v>
      </c>
      <c r="D2135" s="46" t="s">
        <v>18</v>
      </c>
      <c r="E2135" s="46" t="s">
        <v>14</v>
      </c>
      <c r="F2135" s="48">
        <v>78.4</v>
      </c>
    </row>
    <row r="2136">
      <c r="A2136" s="46" t="s">
        <v>2054</v>
      </c>
      <c r="B2136" s="46" t="s">
        <v>2083</v>
      </c>
      <c r="C2136" s="46" t="s">
        <v>2077</v>
      </c>
      <c r="D2136" s="46" t="s">
        <v>18</v>
      </c>
      <c r="E2136" s="46" t="s">
        <v>14</v>
      </c>
      <c r="F2136" s="48">
        <v>92.5</v>
      </c>
    </row>
    <row r="2137">
      <c r="A2137" s="46" t="s">
        <v>2084</v>
      </c>
      <c r="B2137" s="46" t="s">
        <v>2086</v>
      </c>
      <c r="C2137" s="46" t="s">
        <v>2087</v>
      </c>
      <c r="D2137" s="46" t="s">
        <v>18</v>
      </c>
      <c r="E2137" s="46" t="s">
        <v>14</v>
      </c>
      <c r="F2137" s="48">
        <v>79.2</v>
      </c>
    </row>
    <row r="2138">
      <c r="A2138" s="46" t="s">
        <v>71</v>
      </c>
      <c r="B2138" s="46" t="s">
        <v>2091</v>
      </c>
      <c r="C2138" s="46" t="s">
        <v>2092</v>
      </c>
      <c r="D2138" s="46" t="s">
        <v>18</v>
      </c>
      <c r="E2138" s="46" t="s">
        <v>13</v>
      </c>
      <c r="F2138" s="48">
        <v>100.4</v>
      </c>
    </row>
    <row r="2139">
      <c r="A2139" s="46" t="s">
        <v>71</v>
      </c>
      <c r="B2139" s="46" t="s">
        <v>2094</v>
      </c>
      <c r="C2139" s="46" t="s">
        <v>84</v>
      </c>
      <c r="D2139" s="46" t="s">
        <v>18</v>
      </c>
      <c r="E2139" s="46" t="s">
        <v>13</v>
      </c>
      <c r="F2139" s="48">
        <v>84.3</v>
      </c>
    </row>
    <row r="2140">
      <c r="A2140" s="46" t="s">
        <v>88</v>
      </c>
      <c r="B2140" s="46" t="s">
        <v>2101</v>
      </c>
      <c r="C2140" s="46" t="s">
        <v>113</v>
      </c>
      <c r="D2140" s="46" t="s">
        <v>18</v>
      </c>
      <c r="E2140" s="46" t="s">
        <v>14</v>
      </c>
      <c r="F2140" s="48">
        <v>94.0</v>
      </c>
    </row>
    <row r="2141">
      <c r="A2141" s="46" t="s">
        <v>88</v>
      </c>
      <c r="B2141" s="46" t="s">
        <v>2103</v>
      </c>
      <c r="C2141" s="46" t="s">
        <v>108</v>
      </c>
      <c r="D2141" s="46" t="s">
        <v>18</v>
      </c>
      <c r="E2141" s="46" t="s">
        <v>15</v>
      </c>
      <c r="F2141" s="48">
        <v>102.5</v>
      </c>
    </row>
    <row r="2142">
      <c r="A2142" s="46" t="s">
        <v>88</v>
      </c>
      <c r="B2142" s="46" t="s">
        <v>2105</v>
      </c>
      <c r="C2142" s="46" t="s">
        <v>105</v>
      </c>
      <c r="D2142" s="46" t="s">
        <v>18</v>
      </c>
      <c r="E2142" s="46" t="s">
        <v>13</v>
      </c>
      <c r="F2142" s="48">
        <v>75.4</v>
      </c>
    </row>
    <row r="2143">
      <c r="A2143" s="46" t="s">
        <v>88</v>
      </c>
      <c r="B2143" s="46" t="s">
        <v>2107</v>
      </c>
      <c r="C2143" s="46" t="s">
        <v>2108</v>
      </c>
      <c r="D2143" s="46" t="s">
        <v>18</v>
      </c>
      <c r="E2143" s="46" t="s">
        <v>13</v>
      </c>
      <c r="F2143" s="48">
        <v>71.9</v>
      </c>
    </row>
    <row r="2144">
      <c r="A2144" s="46" t="s">
        <v>116</v>
      </c>
      <c r="B2144" s="46" t="s">
        <v>2113</v>
      </c>
      <c r="C2144" s="46" t="s">
        <v>123</v>
      </c>
      <c r="D2144" s="46" t="s">
        <v>18</v>
      </c>
      <c r="E2144" s="46" t="s">
        <v>13</v>
      </c>
      <c r="F2144" s="48">
        <v>81.5</v>
      </c>
    </row>
    <row r="2145">
      <c r="A2145" s="46" t="s">
        <v>116</v>
      </c>
      <c r="B2145" s="46" t="s">
        <v>2115</v>
      </c>
      <c r="C2145" s="46" t="s">
        <v>126</v>
      </c>
      <c r="D2145" s="46" t="s">
        <v>17</v>
      </c>
      <c r="E2145" s="46" t="s">
        <v>15</v>
      </c>
      <c r="F2145" s="48">
        <v>102.7</v>
      </c>
    </row>
    <row r="2146">
      <c r="A2146" s="46" t="s">
        <v>116</v>
      </c>
      <c r="B2146" s="46" t="s">
        <v>2117</v>
      </c>
      <c r="C2146" s="46" t="s">
        <v>120</v>
      </c>
      <c r="D2146" s="46" t="s">
        <v>18</v>
      </c>
      <c r="E2146" s="46" t="s">
        <v>13</v>
      </c>
      <c r="F2146" s="48">
        <v>89.2</v>
      </c>
    </row>
    <row r="2147">
      <c r="A2147" s="46" t="s">
        <v>116</v>
      </c>
      <c r="B2147" s="46" t="s">
        <v>2119</v>
      </c>
      <c r="C2147" s="46" t="s">
        <v>2120</v>
      </c>
      <c r="D2147" s="46" t="s">
        <v>18</v>
      </c>
      <c r="E2147" s="46" t="s">
        <v>14</v>
      </c>
      <c r="F2147" s="48">
        <v>84.2</v>
      </c>
    </row>
    <row r="2148">
      <c r="A2148" s="46" t="s">
        <v>129</v>
      </c>
      <c r="B2148" s="46" t="s">
        <v>2122</v>
      </c>
      <c r="C2148" s="46" t="s">
        <v>2123</v>
      </c>
      <c r="D2148" s="46" t="s">
        <v>18</v>
      </c>
      <c r="E2148" s="46" t="s">
        <v>13</v>
      </c>
      <c r="F2148" s="48">
        <v>85.7</v>
      </c>
    </row>
    <row r="2149">
      <c r="A2149" s="46" t="s">
        <v>129</v>
      </c>
      <c r="B2149" s="46" t="s">
        <v>2132</v>
      </c>
      <c r="C2149" s="46" t="s">
        <v>2133</v>
      </c>
      <c r="D2149" s="46" t="s">
        <v>18</v>
      </c>
      <c r="E2149" s="46" t="s">
        <v>13</v>
      </c>
      <c r="F2149" s="48">
        <v>96.7</v>
      </c>
    </row>
    <row r="2150">
      <c r="A2150" s="46" t="s">
        <v>134</v>
      </c>
      <c r="B2150" s="46" t="s">
        <v>2135</v>
      </c>
      <c r="C2150" s="46" t="s">
        <v>158</v>
      </c>
      <c r="D2150" s="46" t="s">
        <v>18</v>
      </c>
      <c r="E2150" s="46" t="s">
        <v>15</v>
      </c>
      <c r="F2150" s="48">
        <v>98.9</v>
      </c>
    </row>
    <row r="2151">
      <c r="A2151" s="46" t="s">
        <v>134</v>
      </c>
      <c r="B2151" s="46" t="s">
        <v>2137</v>
      </c>
      <c r="C2151" s="46" t="s">
        <v>158</v>
      </c>
      <c r="D2151" s="46" t="s">
        <v>18</v>
      </c>
      <c r="E2151" s="46" t="s">
        <v>14</v>
      </c>
      <c r="F2151" s="48">
        <v>88.9</v>
      </c>
    </row>
    <row r="2152">
      <c r="A2152" s="46" t="s">
        <v>134</v>
      </c>
      <c r="B2152" s="46" t="s">
        <v>2139</v>
      </c>
      <c r="C2152" s="46" t="s">
        <v>147</v>
      </c>
      <c r="D2152" s="46" t="s">
        <v>18</v>
      </c>
      <c r="E2152" s="46" t="s">
        <v>13</v>
      </c>
      <c r="F2152" s="48">
        <v>83.8</v>
      </c>
    </row>
    <row r="2153">
      <c r="A2153" s="46" t="s">
        <v>134</v>
      </c>
      <c r="B2153" s="46" t="s">
        <v>2145</v>
      </c>
      <c r="C2153" s="46" t="s">
        <v>134</v>
      </c>
      <c r="D2153" s="46" t="s">
        <v>18</v>
      </c>
      <c r="E2153" s="46" t="s">
        <v>13</v>
      </c>
      <c r="F2153" s="48">
        <v>92.7</v>
      </c>
    </row>
    <row r="2154">
      <c r="A2154" s="46" t="s">
        <v>161</v>
      </c>
      <c r="B2154" s="46" t="s">
        <v>2160</v>
      </c>
      <c r="C2154" s="46" t="s">
        <v>2161</v>
      </c>
      <c r="D2154" s="46" t="s">
        <v>18</v>
      </c>
      <c r="E2154" s="46" t="s">
        <v>13</v>
      </c>
      <c r="F2154" s="48">
        <v>77.3</v>
      </c>
    </row>
    <row r="2155">
      <c r="A2155" s="46" t="s">
        <v>161</v>
      </c>
      <c r="B2155" s="46" t="s">
        <v>2166</v>
      </c>
      <c r="C2155" s="46" t="s">
        <v>2167</v>
      </c>
      <c r="D2155" s="46" t="s">
        <v>18</v>
      </c>
      <c r="E2155" s="46" t="s">
        <v>13</v>
      </c>
      <c r="F2155" s="48">
        <v>94.0</v>
      </c>
    </row>
    <row r="2156">
      <c r="A2156" s="46" t="s">
        <v>161</v>
      </c>
      <c r="B2156" s="46" t="s">
        <v>2169</v>
      </c>
      <c r="C2156" s="46" t="s">
        <v>2170</v>
      </c>
      <c r="D2156" s="46" t="s">
        <v>18</v>
      </c>
      <c r="E2156" s="46" t="s">
        <v>14</v>
      </c>
      <c r="F2156" s="48">
        <v>103.9</v>
      </c>
    </row>
    <row r="2157">
      <c r="A2157" s="46" t="s">
        <v>161</v>
      </c>
      <c r="B2157" s="46" t="s">
        <v>2177</v>
      </c>
      <c r="C2157" s="46" t="s">
        <v>2178</v>
      </c>
      <c r="D2157" s="46" t="s">
        <v>17</v>
      </c>
      <c r="E2157" s="46" t="s">
        <v>13</v>
      </c>
      <c r="F2157" s="48">
        <v>79.6</v>
      </c>
    </row>
    <row r="2158">
      <c r="A2158" s="46" t="s">
        <v>169</v>
      </c>
      <c r="B2158" s="46" t="s">
        <v>2182</v>
      </c>
      <c r="C2158" s="46" t="s">
        <v>173</v>
      </c>
      <c r="D2158" s="46" t="s">
        <v>18</v>
      </c>
      <c r="E2158" s="46" t="s">
        <v>13</v>
      </c>
      <c r="F2158" s="48">
        <v>73.1</v>
      </c>
    </row>
    <row r="2159">
      <c r="A2159" s="46" t="s">
        <v>169</v>
      </c>
      <c r="B2159" s="46" t="s">
        <v>2184</v>
      </c>
      <c r="C2159" s="46" t="s">
        <v>179</v>
      </c>
      <c r="D2159" s="46" t="s">
        <v>18</v>
      </c>
      <c r="E2159" s="46" t="s">
        <v>13</v>
      </c>
      <c r="F2159" s="48">
        <v>72.5</v>
      </c>
    </row>
    <row r="2160">
      <c r="A2160" s="46" t="s">
        <v>169</v>
      </c>
      <c r="B2160" s="46" t="s">
        <v>595</v>
      </c>
      <c r="C2160" s="46" t="s">
        <v>2186</v>
      </c>
      <c r="D2160" s="46" t="s">
        <v>17</v>
      </c>
      <c r="E2160" s="46" t="s">
        <v>13</v>
      </c>
      <c r="F2160" s="48">
        <v>79.8</v>
      </c>
    </row>
    <row r="2161">
      <c r="A2161" s="46" t="s">
        <v>182</v>
      </c>
      <c r="B2161" s="46" t="s">
        <v>2188</v>
      </c>
      <c r="C2161" s="46" t="s">
        <v>2189</v>
      </c>
      <c r="D2161" s="46" t="s">
        <v>18</v>
      </c>
      <c r="E2161" s="46" t="s">
        <v>13</v>
      </c>
      <c r="F2161" s="48">
        <v>84.9</v>
      </c>
    </row>
    <row r="2162">
      <c r="A2162" s="46" t="s">
        <v>182</v>
      </c>
      <c r="B2162" s="46" t="s">
        <v>2191</v>
      </c>
      <c r="C2162" s="46" t="s">
        <v>2192</v>
      </c>
      <c r="D2162" s="46" t="s">
        <v>18</v>
      </c>
      <c r="E2162" s="46" t="s">
        <v>13</v>
      </c>
      <c r="F2162" s="48">
        <v>90.0</v>
      </c>
    </row>
    <row r="2163">
      <c r="A2163" s="46" t="s">
        <v>182</v>
      </c>
      <c r="B2163" s="46" t="s">
        <v>2194</v>
      </c>
      <c r="C2163" s="46" t="s">
        <v>2195</v>
      </c>
      <c r="D2163" s="46" t="s">
        <v>18</v>
      </c>
      <c r="E2163" s="46" t="s">
        <v>13</v>
      </c>
      <c r="F2163" s="48">
        <v>98.4</v>
      </c>
    </row>
    <row r="2164">
      <c r="A2164" s="46" t="s">
        <v>169</v>
      </c>
      <c r="B2164" s="46" t="s">
        <v>2199</v>
      </c>
      <c r="C2164" s="46" t="s">
        <v>2200</v>
      </c>
      <c r="D2164" s="46" t="s">
        <v>18</v>
      </c>
      <c r="E2164" s="46" t="s">
        <v>15</v>
      </c>
      <c r="F2164" s="48">
        <v>100.3</v>
      </c>
    </row>
    <row r="2165">
      <c r="A2165" s="46" t="s">
        <v>169</v>
      </c>
      <c r="B2165" s="46" t="s">
        <v>2202</v>
      </c>
      <c r="C2165" s="46" t="s">
        <v>193</v>
      </c>
      <c r="D2165" s="46" t="s">
        <v>18</v>
      </c>
      <c r="E2165" s="46" t="s">
        <v>14</v>
      </c>
      <c r="F2165" s="48">
        <v>95.9</v>
      </c>
    </row>
    <row r="2166">
      <c r="A2166" s="46" t="s">
        <v>483</v>
      </c>
      <c r="B2166" s="46" t="s">
        <v>2205</v>
      </c>
      <c r="C2166" s="46" t="s">
        <v>2206</v>
      </c>
      <c r="D2166" s="46" t="s">
        <v>18</v>
      </c>
      <c r="E2166" s="46" t="s">
        <v>14</v>
      </c>
      <c r="F2166" s="48">
        <v>103.6</v>
      </c>
    </row>
    <row r="2167">
      <c r="A2167" s="46" t="s">
        <v>182</v>
      </c>
      <c r="B2167" s="46" t="s">
        <v>2209</v>
      </c>
      <c r="C2167" s="46" t="s">
        <v>206</v>
      </c>
      <c r="D2167" s="46" t="s">
        <v>17</v>
      </c>
      <c r="E2167" s="46" t="s">
        <v>13</v>
      </c>
      <c r="F2167" s="48">
        <v>103.5</v>
      </c>
    </row>
    <row r="2168">
      <c r="A2168" s="46" t="s">
        <v>129</v>
      </c>
      <c r="B2168" s="46" t="s">
        <v>2217</v>
      </c>
      <c r="C2168" s="46" t="s">
        <v>2218</v>
      </c>
      <c r="D2168" s="46" t="s">
        <v>18</v>
      </c>
      <c r="E2168" s="46" t="s">
        <v>14</v>
      </c>
      <c r="F2168" s="48">
        <v>95.9</v>
      </c>
    </row>
    <row r="2169">
      <c r="A2169" s="46" t="s">
        <v>129</v>
      </c>
      <c r="B2169" s="46" t="s">
        <v>2220</v>
      </c>
      <c r="C2169" s="46" t="s">
        <v>2221</v>
      </c>
      <c r="D2169" s="46" t="s">
        <v>18</v>
      </c>
      <c r="E2169" s="46" t="s">
        <v>13</v>
      </c>
      <c r="F2169" s="48">
        <v>64.2</v>
      </c>
    </row>
    <row r="2170">
      <c r="A2170" s="46" t="s">
        <v>129</v>
      </c>
      <c r="B2170" s="46" t="s">
        <v>2223</v>
      </c>
      <c r="C2170" s="46" t="s">
        <v>2224</v>
      </c>
      <c r="D2170" s="46" t="s">
        <v>18</v>
      </c>
      <c r="E2170" s="46" t="s">
        <v>13</v>
      </c>
      <c r="F2170" s="48">
        <v>71.2</v>
      </c>
    </row>
    <row r="2171">
      <c r="A2171" s="46" t="s">
        <v>129</v>
      </c>
      <c r="B2171" s="46" t="s">
        <v>2226</v>
      </c>
      <c r="C2171" s="46" t="s">
        <v>2218</v>
      </c>
      <c r="D2171" s="46" t="s">
        <v>18</v>
      </c>
      <c r="E2171" s="46" t="s">
        <v>13</v>
      </c>
      <c r="F2171" s="48">
        <v>68.4</v>
      </c>
    </row>
    <row r="2172">
      <c r="A2172" s="46" t="s">
        <v>129</v>
      </c>
      <c r="B2172" s="46" t="s">
        <v>2228</v>
      </c>
      <c r="C2172" s="46" t="s">
        <v>231</v>
      </c>
      <c r="D2172" s="46" t="s">
        <v>18</v>
      </c>
      <c r="E2172" s="46" t="s">
        <v>13</v>
      </c>
      <c r="F2172" s="48">
        <v>71.1</v>
      </c>
    </row>
    <row r="2173">
      <c r="A2173" s="46" t="s">
        <v>129</v>
      </c>
      <c r="B2173" s="46" t="s">
        <v>2230</v>
      </c>
      <c r="C2173" s="46" t="s">
        <v>2231</v>
      </c>
      <c r="D2173" s="46" t="s">
        <v>18</v>
      </c>
      <c r="E2173" s="46" t="s">
        <v>13</v>
      </c>
      <c r="F2173" s="48">
        <v>77.7</v>
      </c>
    </row>
    <row r="2174">
      <c r="A2174" s="46" t="s">
        <v>129</v>
      </c>
      <c r="B2174" s="46" t="s">
        <v>2233</v>
      </c>
      <c r="C2174" s="46" t="s">
        <v>2234</v>
      </c>
      <c r="D2174" s="46" t="s">
        <v>18</v>
      </c>
      <c r="E2174" s="46" t="s">
        <v>13</v>
      </c>
      <c r="F2174" s="48">
        <v>81.7</v>
      </c>
    </row>
    <row r="2175">
      <c r="A2175" s="46" t="s">
        <v>129</v>
      </c>
      <c r="B2175" s="46" t="s">
        <v>2245</v>
      </c>
      <c r="C2175" s="46" t="s">
        <v>228</v>
      </c>
      <c r="D2175" s="46" t="s">
        <v>17</v>
      </c>
      <c r="E2175" s="46" t="s">
        <v>15</v>
      </c>
      <c r="F2175" s="48">
        <v>103.5</v>
      </c>
    </row>
    <row r="2176">
      <c r="A2176" s="46" t="s">
        <v>129</v>
      </c>
      <c r="B2176" s="46" t="s">
        <v>1009</v>
      </c>
      <c r="C2176" s="46" t="s">
        <v>222</v>
      </c>
      <c r="D2176" s="46" t="s">
        <v>17</v>
      </c>
      <c r="E2176" s="46" t="s">
        <v>14</v>
      </c>
      <c r="F2176" s="48">
        <v>86.2</v>
      </c>
    </row>
    <row r="2177">
      <c r="A2177" s="46" t="s">
        <v>129</v>
      </c>
      <c r="B2177" s="46" t="s">
        <v>2253</v>
      </c>
      <c r="C2177" s="46" t="s">
        <v>222</v>
      </c>
      <c r="D2177" s="46" t="s">
        <v>17</v>
      </c>
      <c r="E2177" s="46" t="s">
        <v>13</v>
      </c>
      <c r="F2177" s="48">
        <v>88.2</v>
      </c>
    </row>
    <row r="2178">
      <c r="A2178" s="46" t="s">
        <v>129</v>
      </c>
      <c r="B2178" s="46" t="s">
        <v>2255</v>
      </c>
      <c r="C2178" s="46" t="s">
        <v>250</v>
      </c>
      <c r="D2178" s="46" t="s">
        <v>17</v>
      </c>
      <c r="E2178" s="46" t="s">
        <v>13</v>
      </c>
      <c r="F2178" s="48">
        <v>97.2</v>
      </c>
    </row>
    <row r="2179">
      <c r="A2179" s="46" t="s">
        <v>129</v>
      </c>
      <c r="B2179" s="46" t="s">
        <v>2257</v>
      </c>
      <c r="C2179" s="46" t="s">
        <v>2258</v>
      </c>
      <c r="D2179" s="46" t="s">
        <v>17</v>
      </c>
      <c r="E2179" s="46" t="s">
        <v>13</v>
      </c>
      <c r="F2179" s="48">
        <v>89.2</v>
      </c>
    </row>
    <row r="2180">
      <c r="A2180" s="46" t="s">
        <v>129</v>
      </c>
      <c r="B2180" s="46" t="s">
        <v>2260</v>
      </c>
      <c r="C2180" s="46" t="s">
        <v>2261</v>
      </c>
      <c r="D2180" s="46" t="s">
        <v>18</v>
      </c>
      <c r="E2180" s="46" t="s">
        <v>14</v>
      </c>
      <c r="F2180" s="48">
        <v>100.3</v>
      </c>
    </row>
    <row r="2181">
      <c r="A2181" s="46" t="s">
        <v>129</v>
      </c>
      <c r="B2181" s="46" t="s">
        <v>2266</v>
      </c>
      <c r="C2181" s="46" t="s">
        <v>2267</v>
      </c>
      <c r="D2181" s="46" t="s">
        <v>17</v>
      </c>
      <c r="E2181" s="46" t="s">
        <v>14</v>
      </c>
      <c r="F2181" s="48">
        <v>93.1</v>
      </c>
    </row>
    <row r="2182">
      <c r="A2182" s="46" t="s">
        <v>129</v>
      </c>
      <c r="B2182" s="46" t="s">
        <v>2269</v>
      </c>
      <c r="C2182" s="46" t="s">
        <v>2250</v>
      </c>
      <c r="D2182" s="46" t="s">
        <v>17</v>
      </c>
      <c r="E2182" s="46" t="s">
        <v>15</v>
      </c>
      <c r="F2182" s="48">
        <v>93.7</v>
      </c>
    </row>
    <row r="2183">
      <c r="A2183" s="46" t="s">
        <v>129</v>
      </c>
      <c r="B2183" s="46" t="s">
        <v>2271</v>
      </c>
      <c r="C2183" s="46" t="s">
        <v>2272</v>
      </c>
      <c r="D2183" s="46" t="s">
        <v>17</v>
      </c>
      <c r="E2183" s="46" t="s">
        <v>15</v>
      </c>
      <c r="F2183" s="48">
        <v>93.1</v>
      </c>
    </row>
    <row r="2184">
      <c r="A2184" s="46" t="s">
        <v>129</v>
      </c>
      <c r="B2184" s="46" t="s">
        <v>2274</v>
      </c>
      <c r="C2184" s="46" t="s">
        <v>2250</v>
      </c>
      <c r="D2184" s="46" t="s">
        <v>18</v>
      </c>
      <c r="E2184" s="46" t="s">
        <v>14</v>
      </c>
      <c r="F2184" s="48">
        <v>98.5</v>
      </c>
    </row>
    <row r="2185">
      <c r="A2185" s="46" t="s">
        <v>129</v>
      </c>
      <c r="B2185" s="46" t="s">
        <v>2276</v>
      </c>
      <c r="C2185" s="46" t="s">
        <v>2272</v>
      </c>
      <c r="D2185" s="46" t="s">
        <v>17</v>
      </c>
      <c r="E2185" s="46" t="s">
        <v>14</v>
      </c>
      <c r="F2185" s="48">
        <v>61.3</v>
      </c>
    </row>
    <row r="2186">
      <c r="A2186" s="46" t="s">
        <v>129</v>
      </c>
      <c r="B2186" s="46" t="s">
        <v>2278</v>
      </c>
      <c r="C2186" s="46" t="s">
        <v>2272</v>
      </c>
      <c r="D2186" s="46" t="s">
        <v>17</v>
      </c>
      <c r="E2186" s="46" t="s">
        <v>15</v>
      </c>
      <c r="F2186" s="48">
        <v>87.4</v>
      </c>
    </row>
    <row r="2187">
      <c r="A2187" s="46" t="s">
        <v>269</v>
      </c>
      <c r="B2187" s="46" t="s">
        <v>2293</v>
      </c>
      <c r="C2187" s="46" t="s">
        <v>273</v>
      </c>
      <c r="D2187" s="46" t="s">
        <v>17</v>
      </c>
      <c r="E2187" s="46" t="s">
        <v>13</v>
      </c>
      <c r="F2187" s="48">
        <v>84.2</v>
      </c>
    </row>
    <row r="2188">
      <c r="A2188" s="46" t="s">
        <v>269</v>
      </c>
      <c r="B2188" s="46" t="s">
        <v>2295</v>
      </c>
      <c r="C2188" s="46" t="s">
        <v>2289</v>
      </c>
      <c r="D2188" s="46" t="s">
        <v>18</v>
      </c>
      <c r="E2188" s="46" t="s">
        <v>14</v>
      </c>
      <c r="F2188" s="48">
        <v>95.5</v>
      </c>
    </row>
    <row r="2189">
      <c r="A2189" s="46" t="s">
        <v>269</v>
      </c>
      <c r="B2189" s="46" t="s">
        <v>2298</v>
      </c>
      <c r="C2189" s="46" t="s">
        <v>273</v>
      </c>
      <c r="D2189" s="46" t="s">
        <v>17</v>
      </c>
      <c r="E2189" s="46" t="s">
        <v>13</v>
      </c>
      <c r="F2189" s="48">
        <v>92.5</v>
      </c>
    </row>
    <row r="2190">
      <c r="A2190" s="46" t="s">
        <v>269</v>
      </c>
      <c r="B2190" s="46" t="s">
        <v>2300</v>
      </c>
      <c r="C2190" s="46" t="s">
        <v>2301</v>
      </c>
      <c r="D2190" s="46" t="s">
        <v>17</v>
      </c>
      <c r="E2190" s="46" t="s">
        <v>13</v>
      </c>
      <c r="F2190" s="48">
        <v>85.4</v>
      </c>
    </row>
    <row r="2191">
      <c r="A2191" s="46" t="s">
        <v>116</v>
      </c>
      <c r="B2191" s="46" t="s">
        <v>2306</v>
      </c>
      <c r="C2191" s="46" t="s">
        <v>2307</v>
      </c>
      <c r="D2191" s="46" t="s">
        <v>18</v>
      </c>
      <c r="E2191" s="46" t="s">
        <v>13</v>
      </c>
      <c r="F2191" s="48">
        <v>88.6</v>
      </c>
    </row>
    <row r="2192">
      <c r="A2192" s="46" t="s">
        <v>284</v>
      </c>
      <c r="B2192" s="46" t="s">
        <v>2319</v>
      </c>
      <c r="C2192" s="46" t="s">
        <v>288</v>
      </c>
      <c r="D2192" s="46" t="s">
        <v>18</v>
      </c>
      <c r="E2192" s="46" t="s">
        <v>13</v>
      </c>
      <c r="F2192" s="48">
        <v>82.6</v>
      </c>
    </row>
    <row r="2193">
      <c r="A2193" s="46" t="s">
        <v>284</v>
      </c>
      <c r="B2193" s="46" t="s">
        <v>2321</v>
      </c>
      <c r="C2193" s="46" t="s">
        <v>2322</v>
      </c>
      <c r="D2193" s="46" t="s">
        <v>18</v>
      </c>
      <c r="E2193" s="46" t="s">
        <v>13</v>
      </c>
      <c r="F2193" s="48">
        <v>90.2</v>
      </c>
    </row>
    <row r="2194">
      <c r="A2194" s="46" t="s">
        <v>284</v>
      </c>
      <c r="B2194" s="46" t="s">
        <v>2326</v>
      </c>
      <c r="C2194" s="46" t="s">
        <v>297</v>
      </c>
      <c r="D2194" s="46" t="s">
        <v>18</v>
      </c>
      <c r="E2194" s="46" t="s">
        <v>13</v>
      </c>
      <c r="F2194" s="48">
        <v>86.7</v>
      </c>
    </row>
    <row r="2195">
      <c r="A2195" s="46" t="s">
        <v>284</v>
      </c>
      <c r="B2195" s="46" t="s">
        <v>2328</v>
      </c>
      <c r="C2195" s="46" t="s">
        <v>2329</v>
      </c>
      <c r="D2195" s="46" t="s">
        <v>18</v>
      </c>
      <c r="E2195" s="46" t="s">
        <v>13</v>
      </c>
      <c r="F2195" s="48">
        <v>93.9</v>
      </c>
    </row>
    <row r="2196">
      <c r="A2196" s="46" t="s">
        <v>284</v>
      </c>
      <c r="B2196" s="46" t="s">
        <v>2337</v>
      </c>
      <c r="C2196" s="46" t="s">
        <v>302</v>
      </c>
      <c r="D2196" s="46" t="s">
        <v>18</v>
      </c>
      <c r="E2196" s="46" t="s">
        <v>13</v>
      </c>
      <c r="F2196" s="48">
        <v>95.2</v>
      </c>
    </row>
    <row r="2197">
      <c r="A2197" s="46" t="s">
        <v>322</v>
      </c>
      <c r="B2197" s="46" t="s">
        <v>1061</v>
      </c>
      <c r="C2197" s="46" t="s">
        <v>332</v>
      </c>
      <c r="D2197" s="46" t="s">
        <v>18</v>
      </c>
      <c r="E2197" s="46" t="s">
        <v>13</v>
      </c>
      <c r="F2197" s="48">
        <v>86.6</v>
      </c>
    </row>
    <row r="2198">
      <c r="A2198" s="46" t="s">
        <v>354</v>
      </c>
      <c r="B2198" s="46" t="s">
        <v>2353</v>
      </c>
      <c r="C2198" s="46" t="s">
        <v>2351</v>
      </c>
      <c r="D2198" s="46" t="s">
        <v>18</v>
      </c>
      <c r="E2198" s="46" t="s">
        <v>13</v>
      </c>
      <c r="F2198" s="48">
        <v>83.0</v>
      </c>
    </row>
    <row r="2199">
      <c r="A2199" s="46" t="s">
        <v>354</v>
      </c>
      <c r="B2199" s="46" t="s">
        <v>2355</v>
      </c>
      <c r="C2199" s="46" t="s">
        <v>361</v>
      </c>
      <c r="D2199" s="46" t="s">
        <v>18</v>
      </c>
      <c r="E2199" s="46" t="s">
        <v>13</v>
      </c>
      <c r="F2199" s="48">
        <v>79.2</v>
      </c>
    </row>
    <row r="2200">
      <c r="A2200" s="46" t="s">
        <v>354</v>
      </c>
      <c r="B2200" s="46" t="s">
        <v>2360</v>
      </c>
      <c r="C2200" s="46" t="s">
        <v>361</v>
      </c>
      <c r="D2200" s="46" t="s">
        <v>18</v>
      </c>
      <c r="E2200" s="46" t="s">
        <v>13</v>
      </c>
      <c r="F2200" s="48">
        <v>94.0</v>
      </c>
    </row>
    <row r="2201">
      <c r="A2201" s="46" t="s">
        <v>354</v>
      </c>
      <c r="B2201" s="46" t="s">
        <v>2364</v>
      </c>
      <c r="C2201" s="46" t="s">
        <v>2351</v>
      </c>
      <c r="D2201" s="46" t="s">
        <v>17</v>
      </c>
      <c r="E2201" s="46" t="s">
        <v>13</v>
      </c>
      <c r="F2201" s="48">
        <v>98.7</v>
      </c>
    </row>
    <row r="2202">
      <c r="A2202" s="46" t="s">
        <v>354</v>
      </c>
      <c r="B2202" s="46" t="s">
        <v>2366</v>
      </c>
      <c r="C2202" s="46" t="s">
        <v>2367</v>
      </c>
      <c r="D2202" s="46" t="s">
        <v>17</v>
      </c>
      <c r="E2202" s="46" t="s">
        <v>13</v>
      </c>
      <c r="F2202" s="48">
        <v>87.6</v>
      </c>
    </row>
    <row r="2203">
      <c r="A2203" s="46" t="s">
        <v>322</v>
      </c>
      <c r="B2203" s="46" t="s">
        <v>2372</v>
      </c>
      <c r="C2203" s="46" t="s">
        <v>2373</v>
      </c>
      <c r="D2203" s="46" t="s">
        <v>18</v>
      </c>
      <c r="E2203" s="46" t="s">
        <v>13</v>
      </c>
      <c r="F2203" s="48">
        <v>87.8</v>
      </c>
    </row>
    <row r="2204">
      <c r="A2204" s="46" t="s">
        <v>377</v>
      </c>
      <c r="B2204" s="46" t="s">
        <v>2378</v>
      </c>
      <c r="C2204" s="46" t="s">
        <v>2376</v>
      </c>
      <c r="D2204" s="46" t="s">
        <v>18</v>
      </c>
      <c r="E2204" s="46" t="s">
        <v>13</v>
      </c>
      <c r="F2204" s="48">
        <v>85.9</v>
      </c>
    </row>
    <row r="2205">
      <c r="A2205" s="46" t="s">
        <v>377</v>
      </c>
      <c r="B2205" s="46" t="s">
        <v>2380</v>
      </c>
      <c r="C2205" s="46" t="s">
        <v>2381</v>
      </c>
      <c r="D2205" s="46" t="s">
        <v>18</v>
      </c>
      <c r="E2205" s="46" t="s">
        <v>13</v>
      </c>
      <c r="F2205" s="48">
        <v>78.6</v>
      </c>
    </row>
    <row r="2206">
      <c r="A2206" s="46" t="s">
        <v>377</v>
      </c>
      <c r="B2206" s="46" t="s">
        <v>2388</v>
      </c>
      <c r="C2206" s="46" t="s">
        <v>386</v>
      </c>
      <c r="D2206" s="46" t="s">
        <v>18</v>
      </c>
      <c r="E2206" s="46" t="s">
        <v>13</v>
      </c>
      <c r="F2206" s="48">
        <v>88.8</v>
      </c>
    </row>
    <row r="2207">
      <c r="A2207" s="46" t="s">
        <v>377</v>
      </c>
      <c r="B2207" s="46" t="s">
        <v>2390</v>
      </c>
      <c r="C2207" s="46" t="s">
        <v>2391</v>
      </c>
      <c r="D2207" s="46" t="s">
        <v>18</v>
      </c>
      <c r="E2207" s="46" t="s">
        <v>13</v>
      </c>
      <c r="F2207" s="48">
        <v>81.8</v>
      </c>
    </row>
    <row r="2208">
      <c r="A2208" s="46" t="s">
        <v>393</v>
      </c>
      <c r="B2208" s="46" t="s">
        <v>2397</v>
      </c>
      <c r="C2208" s="46" t="s">
        <v>393</v>
      </c>
      <c r="D2208" s="46" t="s">
        <v>18</v>
      </c>
      <c r="E2208" s="46" t="s">
        <v>13</v>
      </c>
      <c r="F2208" s="48">
        <v>80.7</v>
      </c>
    </row>
    <row r="2209">
      <c r="A2209" s="46" t="s">
        <v>393</v>
      </c>
      <c r="B2209" s="46" t="s">
        <v>2399</v>
      </c>
      <c r="C2209" s="46" t="s">
        <v>2400</v>
      </c>
      <c r="D2209" s="46" t="s">
        <v>18</v>
      </c>
      <c r="E2209" s="46" t="s">
        <v>15</v>
      </c>
      <c r="F2209" s="48">
        <v>102.4</v>
      </c>
    </row>
    <row r="2210">
      <c r="A2210" s="46" t="s">
        <v>393</v>
      </c>
      <c r="B2210" s="46" t="s">
        <v>2402</v>
      </c>
      <c r="C2210" s="46" t="s">
        <v>2403</v>
      </c>
      <c r="D2210" s="46" t="s">
        <v>18</v>
      </c>
      <c r="E2210" s="46" t="s">
        <v>13</v>
      </c>
      <c r="F2210" s="48">
        <v>83.1</v>
      </c>
    </row>
    <row r="2211">
      <c r="A2211" s="46" t="s">
        <v>393</v>
      </c>
      <c r="B2211" s="46" t="s">
        <v>2405</v>
      </c>
      <c r="C2211" s="46" t="s">
        <v>2403</v>
      </c>
      <c r="D2211" s="46" t="s">
        <v>18</v>
      </c>
      <c r="E2211" s="46" t="s">
        <v>14</v>
      </c>
      <c r="F2211" s="48">
        <v>97.7</v>
      </c>
    </row>
    <row r="2212">
      <c r="A2212" s="46" t="s">
        <v>161</v>
      </c>
      <c r="B2212" s="46" t="s">
        <v>2413</v>
      </c>
      <c r="C2212" s="46" t="s">
        <v>2414</v>
      </c>
      <c r="D2212" s="46" t="s">
        <v>18</v>
      </c>
      <c r="E2212" s="46" t="s">
        <v>14</v>
      </c>
      <c r="F2212" s="48">
        <v>100.6</v>
      </c>
    </row>
    <row r="2213">
      <c r="A2213" s="46" t="s">
        <v>161</v>
      </c>
      <c r="B2213" s="46" t="s">
        <v>897</v>
      </c>
      <c r="C2213" s="46" t="s">
        <v>411</v>
      </c>
      <c r="D2213" s="46" t="s">
        <v>17</v>
      </c>
      <c r="E2213" s="46" t="s">
        <v>13</v>
      </c>
      <c r="F2213" s="48">
        <v>96.2</v>
      </c>
    </row>
    <row r="2214">
      <c r="A2214" s="46" t="s">
        <v>161</v>
      </c>
      <c r="B2214" s="46" t="s">
        <v>2422</v>
      </c>
      <c r="C2214" s="46" t="s">
        <v>411</v>
      </c>
      <c r="D2214" s="46" t="s">
        <v>18</v>
      </c>
      <c r="E2214" s="46" t="s">
        <v>13</v>
      </c>
      <c r="F2214" s="48">
        <v>88.7</v>
      </c>
    </row>
    <row r="2215">
      <c r="A2215" s="46" t="s">
        <v>269</v>
      </c>
      <c r="B2215" s="46" t="s">
        <v>2429</v>
      </c>
      <c r="C2215" s="46" t="s">
        <v>2430</v>
      </c>
      <c r="D2215" s="46" t="s">
        <v>18</v>
      </c>
      <c r="E2215" s="46" t="s">
        <v>14</v>
      </c>
      <c r="F2215" s="48">
        <v>98.9</v>
      </c>
    </row>
    <row r="2216">
      <c r="A2216" s="46" t="s">
        <v>269</v>
      </c>
      <c r="B2216" s="46" t="s">
        <v>2432</v>
      </c>
      <c r="C2216" s="46" t="s">
        <v>2433</v>
      </c>
      <c r="D2216" s="46" t="s">
        <v>18</v>
      </c>
      <c r="E2216" s="46" t="s">
        <v>13</v>
      </c>
      <c r="F2216" s="48">
        <v>82.8</v>
      </c>
    </row>
    <row r="2217">
      <c r="A2217" s="46" t="s">
        <v>269</v>
      </c>
      <c r="B2217" s="46" t="s">
        <v>2437</v>
      </c>
      <c r="C2217" s="46" t="s">
        <v>2427</v>
      </c>
      <c r="D2217" s="46" t="s">
        <v>17</v>
      </c>
      <c r="E2217" s="46" t="s">
        <v>13</v>
      </c>
      <c r="F2217" s="48">
        <v>93.2</v>
      </c>
    </row>
    <row r="2218">
      <c r="A2218" s="46" t="s">
        <v>269</v>
      </c>
      <c r="B2218" s="46" t="s">
        <v>2439</v>
      </c>
      <c r="C2218" s="46" t="s">
        <v>429</v>
      </c>
      <c r="D2218" s="46" t="s">
        <v>18</v>
      </c>
      <c r="E2218" s="46" t="s">
        <v>13</v>
      </c>
      <c r="F2218" s="48">
        <v>82.6</v>
      </c>
    </row>
    <row r="2219">
      <c r="A2219" s="46" t="s">
        <v>269</v>
      </c>
      <c r="B2219" s="46" t="s">
        <v>2446</v>
      </c>
      <c r="C2219" s="46" t="s">
        <v>2447</v>
      </c>
      <c r="D2219" s="46" t="s">
        <v>18</v>
      </c>
      <c r="E2219" s="46" t="s">
        <v>14</v>
      </c>
      <c r="F2219" s="48">
        <v>95.4</v>
      </c>
    </row>
    <row r="2220">
      <c r="A2220" s="46" t="s">
        <v>313</v>
      </c>
      <c r="B2220" s="46" t="s">
        <v>2452</v>
      </c>
      <c r="C2220" s="46" t="s">
        <v>2453</v>
      </c>
      <c r="D2220" s="46" t="s">
        <v>17</v>
      </c>
      <c r="E2220" s="46" t="s">
        <v>13</v>
      </c>
      <c r="F2220" s="48">
        <v>97.3</v>
      </c>
    </row>
    <row r="2221">
      <c r="A2221" s="46" t="s">
        <v>354</v>
      </c>
      <c r="B2221" s="46" t="s">
        <v>658</v>
      </c>
      <c r="C2221" s="46" t="s">
        <v>466</v>
      </c>
      <c r="D2221" s="46" t="s">
        <v>18</v>
      </c>
      <c r="E2221" s="46" t="s">
        <v>13</v>
      </c>
      <c r="F2221" s="48">
        <v>88.3</v>
      </c>
    </row>
    <row r="2222">
      <c r="A2222" s="46" t="s">
        <v>354</v>
      </c>
      <c r="B2222" s="46" t="s">
        <v>2465</v>
      </c>
      <c r="C2222" s="46" t="s">
        <v>449</v>
      </c>
      <c r="D2222" s="46" t="s">
        <v>18</v>
      </c>
      <c r="E2222" s="46" t="s">
        <v>14</v>
      </c>
      <c r="F2222" s="48">
        <v>83.1</v>
      </c>
    </row>
    <row r="2223">
      <c r="A2223" s="46" t="s">
        <v>354</v>
      </c>
      <c r="B2223" s="46" t="s">
        <v>2467</v>
      </c>
      <c r="C2223" s="46" t="s">
        <v>2468</v>
      </c>
      <c r="D2223" s="46" t="s">
        <v>18</v>
      </c>
      <c r="E2223" s="46" t="s">
        <v>13</v>
      </c>
      <c r="F2223" s="48">
        <v>88.2</v>
      </c>
    </row>
    <row r="2224">
      <c r="A2224" s="46" t="s">
        <v>483</v>
      </c>
      <c r="B2224" s="46" t="s">
        <v>2473</v>
      </c>
      <c r="C2224" s="46" t="s">
        <v>490</v>
      </c>
      <c r="D2224" s="46" t="s">
        <v>18</v>
      </c>
      <c r="E2224" s="46" t="s">
        <v>13</v>
      </c>
      <c r="F2224" s="48">
        <v>77.4</v>
      </c>
    </row>
    <row r="2225">
      <c r="A2225" s="46" t="s">
        <v>483</v>
      </c>
      <c r="B2225" s="46" t="s">
        <v>2478</v>
      </c>
      <c r="C2225" s="46" t="s">
        <v>490</v>
      </c>
      <c r="D2225" s="46" t="s">
        <v>17</v>
      </c>
      <c r="E2225" s="46" t="s">
        <v>13</v>
      </c>
      <c r="F2225" s="48">
        <v>85.7</v>
      </c>
    </row>
    <row r="2226">
      <c r="A2226" s="46" t="s">
        <v>483</v>
      </c>
      <c r="B2226" s="46" t="s">
        <v>2480</v>
      </c>
      <c r="C2226" s="46" t="s">
        <v>490</v>
      </c>
      <c r="D2226" s="46" t="s">
        <v>18</v>
      </c>
      <c r="E2226" s="46" t="s">
        <v>13</v>
      </c>
      <c r="F2226" s="48">
        <v>79.8</v>
      </c>
    </row>
    <row r="2227">
      <c r="A2227" s="46" t="s">
        <v>182</v>
      </c>
      <c r="B2227" s="46" t="s">
        <v>2487</v>
      </c>
      <c r="C2227" s="46" t="s">
        <v>182</v>
      </c>
      <c r="D2227" s="46" t="s">
        <v>18</v>
      </c>
      <c r="E2227" s="46" t="s">
        <v>13</v>
      </c>
      <c r="F2227" s="48">
        <v>79.8</v>
      </c>
    </row>
    <row r="2228">
      <c r="A2228" s="46" t="s">
        <v>182</v>
      </c>
      <c r="B2228" s="46" t="s">
        <v>2489</v>
      </c>
      <c r="C2228" s="46" t="s">
        <v>182</v>
      </c>
      <c r="D2228" s="46" t="s">
        <v>18</v>
      </c>
      <c r="E2228" s="46" t="s">
        <v>13</v>
      </c>
      <c r="F2228" s="48">
        <v>83.7</v>
      </c>
    </row>
    <row r="2229">
      <c r="A2229" s="46" t="s">
        <v>182</v>
      </c>
      <c r="B2229" s="46" t="s">
        <v>2498</v>
      </c>
      <c r="C2229" s="46" t="s">
        <v>182</v>
      </c>
      <c r="D2229" s="46" t="s">
        <v>17</v>
      </c>
      <c r="E2229" s="46" t="s">
        <v>13</v>
      </c>
      <c r="F2229" s="48">
        <v>73.6</v>
      </c>
    </row>
    <row r="2230">
      <c r="A2230" s="46" t="s">
        <v>377</v>
      </c>
      <c r="B2230" s="46" t="s">
        <v>2518</v>
      </c>
      <c r="C2230" s="46" t="s">
        <v>377</v>
      </c>
      <c r="D2230" s="46" t="s">
        <v>18</v>
      </c>
      <c r="E2230" s="46" t="s">
        <v>13</v>
      </c>
      <c r="F2230" s="48">
        <v>84.0</v>
      </c>
    </row>
    <row r="2231">
      <c r="A2231" s="46" t="s">
        <v>377</v>
      </c>
      <c r="B2231" s="46" t="s">
        <v>2316</v>
      </c>
      <c r="C2231" s="46" t="s">
        <v>593</v>
      </c>
      <c r="D2231" s="46" t="s">
        <v>18</v>
      </c>
      <c r="E2231" s="46" t="s">
        <v>14</v>
      </c>
      <c r="F2231" s="48">
        <v>97.1</v>
      </c>
    </row>
    <row r="2232">
      <c r="A2232" s="46" t="s">
        <v>377</v>
      </c>
      <c r="B2232" s="46" t="s">
        <v>2521</v>
      </c>
      <c r="C2232" s="46" t="s">
        <v>2522</v>
      </c>
      <c r="D2232" s="46" t="s">
        <v>18</v>
      </c>
      <c r="E2232" s="46" t="s">
        <v>13</v>
      </c>
      <c r="F2232" s="48">
        <v>80.5</v>
      </c>
    </row>
    <row r="2233">
      <c r="A2233" s="46" t="s">
        <v>377</v>
      </c>
      <c r="B2233" s="46" t="s">
        <v>2525</v>
      </c>
      <c r="C2233" s="46" t="s">
        <v>377</v>
      </c>
      <c r="D2233" s="46" t="s">
        <v>17</v>
      </c>
      <c r="E2233" s="46" t="s">
        <v>13</v>
      </c>
      <c r="F2233" s="48">
        <v>103.6</v>
      </c>
    </row>
    <row r="2234">
      <c r="A2234" s="46" t="s">
        <v>377</v>
      </c>
      <c r="B2234" s="46" t="s">
        <v>2529</v>
      </c>
      <c r="C2234" s="46" t="s">
        <v>2530</v>
      </c>
      <c r="D2234" s="46" t="s">
        <v>18</v>
      </c>
      <c r="E2234" s="46" t="s">
        <v>13</v>
      </c>
      <c r="F2234" s="48">
        <v>90.4</v>
      </c>
    </row>
    <row r="2235">
      <c r="A2235" s="46" t="s">
        <v>377</v>
      </c>
      <c r="B2235" s="46" t="s">
        <v>2532</v>
      </c>
      <c r="C2235" s="46" t="s">
        <v>2530</v>
      </c>
      <c r="D2235" s="46" t="s">
        <v>18</v>
      </c>
      <c r="E2235" s="46" t="s">
        <v>15</v>
      </c>
      <c r="F2235" s="48">
        <v>101.1</v>
      </c>
    </row>
    <row r="2236">
      <c r="A2236" s="46" t="s">
        <v>483</v>
      </c>
      <c r="B2236" s="46" t="s">
        <v>2542</v>
      </c>
      <c r="C2236" s="46" t="s">
        <v>483</v>
      </c>
      <c r="D2236" s="46" t="s">
        <v>18</v>
      </c>
      <c r="E2236" s="46" t="s">
        <v>13</v>
      </c>
      <c r="F2236" s="48">
        <v>80.6</v>
      </c>
    </row>
    <row r="2237">
      <c r="A2237" s="46" t="s">
        <v>354</v>
      </c>
      <c r="B2237" s="46" t="s">
        <v>2558</v>
      </c>
      <c r="C2237" s="46" t="s">
        <v>2559</v>
      </c>
      <c r="D2237" s="46" t="s">
        <v>18</v>
      </c>
      <c r="E2237" s="46" t="s">
        <v>13</v>
      </c>
      <c r="F2237" s="48">
        <v>89.6</v>
      </c>
    </row>
    <row r="2238">
      <c r="A2238" s="46" t="s">
        <v>354</v>
      </c>
      <c r="B2238" s="46" t="s">
        <v>1526</v>
      </c>
      <c r="C2238" s="46" t="s">
        <v>2563</v>
      </c>
      <c r="D2238" s="46" t="s">
        <v>17</v>
      </c>
      <c r="E2238" s="46" t="s">
        <v>13</v>
      </c>
      <c r="F2238" s="48">
        <v>94.9</v>
      </c>
    </row>
    <row r="2239">
      <c r="A2239" s="46" t="s">
        <v>354</v>
      </c>
      <c r="B2239" s="46" t="s">
        <v>2567</v>
      </c>
      <c r="C2239" s="46" t="s">
        <v>354</v>
      </c>
      <c r="D2239" s="46" t="s">
        <v>18</v>
      </c>
      <c r="E2239" s="46" t="s">
        <v>13</v>
      </c>
      <c r="F2239" s="48">
        <v>83.8</v>
      </c>
    </row>
    <row r="2240">
      <c r="A2240" s="46" t="s">
        <v>313</v>
      </c>
      <c r="B2240" s="46" t="s">
        <v>2571</v>
      </c>
      <c r="C2240" s="46" t="s">
        <v>631</v>
      </c>
      <c r="D2240" s="46" t="s">
        <v>18</v>
      </c>
      <c r="E2240" s="46" t="s">
        <v>13</v>
      </c>
      <c r="F2240" s="48">
        <v>82.1</v>
      </c>
    </row>
    <row r="2241">
      <c r="A2241" s="46" t="s">
        <v>313</v>
      </c>
      <c r="B2241" s="46" t="s">
        <v>2573</v>
      </c>
      <c r="C2241" s="46" t="s">
        <v>2574</v>
      </c>
      <c r="D2241" s="46" t="s">
        <v>18</v>
      </c>
      <c r="E2241" s="46" t="s">
        <v>14</v>
      </c>
      <c r="F2241" s="48">
        <v>103.3</v>
      </c>
    </row>
    <row r="2242">
      <c r="A2242" s="46" t="s">
        <v>313</v>
      </c>
      <c r="B2242" s="46" t="s">
        <v>2587</v>
      </c>
      <c r="C2242" s="46" t="s">
        <v>640</v>
      </c>
      <c r="D2242" s="46" t="s">
        <v>18</v>
      </c>
      <c r="E2242" s="46" t="s">
        <v>13</v>
      </c>
      <c r="F2242" s="48">
        <v>89.8</v>
      </c>
    </row>
    <row r="2243">
      <c r="A2243" s="46" t="s">
        <v>313</v>
      </c>
      <c r="B2243" s="46" t="s">
        <v>2589</v>
      </c>
      <c r="C2243" s="46" t="s">
        <v>2590</v>
      </c>
      <c r="D2243" s="46" t="s">
        <v>18</v>
      </c>
      <c r="E2243" s="46" t="s">
        <v>13</v>
      </c>
      <c r="F2243" s="48">
        <v>88.2</v>
      </c>
    </row>
    <row r="2244">
      <c r="A2244" s="46" t="s">
        <v>161</v>
      </c>
      <c r="B2244" s="46" t="s">
        <v>2596</v>
      </c>
      <c r="C2244" s="46" t="s">
        <v>2597</v>
      </c>
      <c r="D2244" s="46" t="s">
        <v>18</v>
      </c>
      <c r="E2244" s="46" t="s">
        <v>13</v>
      </c>
      <c r="F2244" s="48">
        <v>84.9</v>
      </c>
    </row>
    <row r="2245">
      <c r="A2245" s="46" t="s">
        <v>161</v>
      </c>
      <c r="B2245" s="46" t="s">
        <v>2604</v>
      </c>
      <c r="C2245" s="46" t="s">
        <v>161</v>
      </c>
      <c r="D2245" s="46" t="s">
        <v>18</v>
      </c>
      <c r="E2245" s="46" t="s">
        <v>13</v>
      </c>
      <c r="F2245" s="48">
        <v>85.0</v>
      </c>
    </row>
    <row r="2246">
      <c r="A2246" s="46" t="s">
        <v>161</v>
      </c>
      <c r="B2246" s="46" t="s">
        <v>2615</v>
      </c>
      <c r="C2246" s="46" t="s">
        <v>2616</v>
      </c>
      <c r="D2246" s="46" t="s">
        <v>17</v>
      </c>
      <c r="E2246" s="46" t="s">
        <v>13</v>
      </c>
      <c r="F2246" s="48">
        <v>90.4</v>
      </c>
    </row>
    <row r="2247">
      <c r="A2247" s="46" t="s">
        <v>161</v>
      </c>
      <c r="B2247" s="46" t="s">
        <v>2618</v>
      </c>
      <c r="C2247" s="46" t="s">
        <v>161</v>
      </c>
      <c r="D2247" s="46" t="s">
        <v>17</v>
      </c>
      <c r="E2247" s="46" t="s">
        <v>13</v>
      </c>
      <c r="F2247" s="48">
        <v>83.2</v>
      </c>
    </row>
    <row r="2248">
      <c r="A2248" s="46" t="s">
        <v>161</v>
      </c>
      <c r="B2248" s="46" t="s">
        <v>2620</v>
      </c>
      <c r="C2248" s="46" t="s">
        <v>2621</v>
      </c>
      <c r="D2248" s="46" t="s">
        <v>18</v>
      </c>
      <c r="E2248" s="46" t="s">
        <v>13</v>
      </c>
      <c r="F2248" s="48">
        <v>80.0</v>
      </c>
    </row>
    <row r="2249">
      <c r="A2249" s="46" t="s">
        <v>161</v>
      </c>
      <c r="B2249" s="46" t="s">
        <v>2623</v>
      </c>
      <c r="C2249" s="46" t="s">
        <v>2597</v>
      </c>
      <c r="D2249" s="46" t="s">
        <v>18</v>
      </c>
      <c r="E2249" s="46" t="s">
        <v>13</v>
      </c>
      <c r="F2249" s="48">
        <v>88.8</v>
      </c>
    </row>
    <row r="2250">
      <c r="A2250" s="46" t="s">
        <v>393</v>
      </c>
      <c r="B2250" s="46" t="s">
        <v>2639</v>
      </c>
      <c r="C2250" s="46" t="s">
        <v>2637</v>
      </c>
      <c r="D2250" s="46" t="s">
        <v>18</v>
      </c>
      <c r="E2250" s="46" t="s">
        <v>13</v>
      </c>
      <c r="F2250" s="48">
        <v>83.0</v>
      </c>
    </row>
    <row r="2251">
      <c r="A2251" s="46" t="s">
        <v>393</v>
      </c>
      <c r="B2251" s="46" t="s">
        <v>2641</v>
      </c>
      <c r="C2251" s="46" t="s">
        <v>2642</v>
      </c>
      <c r="D2251" s="46" t="s">
        <v>18</v>
      </c>
      <c r="E2251" s="46" t="s">
        <v>13</v>
      </c>
      <c r="F2251" s="48">
        <v>96.7</v>
      </c>
    </row>
    <row r="2252">
      <c r="A2252" s="46" t="s">
        <v>393</v>
      </c>
      <c r="B2252" s="46" t="s">
        <v>2647</v>
      </c>
      <c r="C2252" s="46" t="s">
        <v>2648</v>
      </c>
      <c r="D2252" s="46" t="s">
        <v>18</v>
      </c>
      <c r="E2252" s="46" t="s">
        <v>14</v>
      </c>
      <c r="F2252" s="48">
        <v>93.9</v>
      </c>
    </row>
    <row r="2253">
      <c r="A2253" s="46" t="s">
        <v>377</v>
      </c>
      <c r="B2253" s="46" t="s">
        <v>2653</v>
      </c>
      <c r="C2253" s="46" t="s">
        <v>2654</v>
      </c>
      <c r="D2253" s="46" t="s">
        <v>18</v>
      </c>
      <c r="E2253" s="46" t="s">
        <v>13</v>
      </c>
      <c r="F2253" s="48">
        <v>93.5</v>
      </c>
    </row>
    <row r="2254">
      <c r="A2254" s="46" t="s">
        <v>313</v>
      </c>
      <c r="B2254" s="46" t="s">
        <v>2658</v>
      </c>
      <c r="C2254" s="46" t="s">
        <v>741</v>
      </c>
      <c r="D2254" s="46" t="s">
        <v>18</v>
      </c>
      <c r="E2254" s="46" t="s">
        <v>13</v>
      </c>
      <c r="F2254" s="48">
        <v>86.8</v>
      </c>
    </row>
    <row r="2255">
      <c r="A2255" s="46" t="s">
        <v>71</v>
      </c>
      <c r="B2255" s="46" t="s">
        <v>2664</v>
      </c>
      <c r="C2255" s="46" t="s">
        <v>2665</v>
      </c>
      <c r="D2255" s="46" t="s">
        <v>18</v>
      </c>
      <c r="E2255" s="46" t="s">
        <v>13</v>
      </c>
      <c r="F2255" s="48">
        <v>85.6</v>
      </c>
    </row>
    <row r="2256">
      <c r="A2256" s="46" t="s">
        <v>71</v>
      </c>
      <c r="B2256" s="46" t="s">
        <v>2667</v>
      </c>
      <c r="C2256" s="46" t="s">
        <v>2668</v>
      </c>
      <c r="D2256" s="46" t="s">
        <v>18</v>
      </c>
      <c r="E2256" s="46" t="s">
        <v>13</v>
      </c>
      <c r="F2256" s="48">
        <v>73.7</v>
      </c>
    </row>
    <row r="2257">
      <c r="A2257" s="46" t="s">
        <v>71</v>
      </c>
      <c r="B2257" s="46" t="s">
        <v>2672</v>
      </c>
      <c r="C2257" s="46" t="s">
        <v>748</v>
      </c>
      <c r="D2257" s="46" t="s">
        <v>18</v>
      </c>
      <c r="E2257" s="46" t="s">
        <v>13</v>
      </c>
      <c r="F2257" s="48">
        <v>74.2</v>
      </c>
    </row>
    <row r="2258">
      <c r="A2258" s="46" t="s">
        <v>71</v>
      </c>
      <c r="B2258" s="46" t="s">
        <v>2674</v>
      </c>
      <c r="C2258" s="46" t="s">
        <v>2675</v>
      </c>
      <c r="D2258" s="46" t="s">
        <v>18</v>
      </c>
      <c r="E2258" s="46" t="s">
        <v>13</v>
      </c>
      <c r="F2258" s="48">
        <v>73.5</v>
      </c>
    </row>
    <row r="2259">
      <c r="A2259" s="46" t="s">
        <v>71</v>
      </c>
      <c r="B2259" s="46" t="s">
        <v>2677</v>
      </c>
      <c r="C2259" s="46" t="s">
        <v>2678</v>
      </c>
      <c r="D2259" s="46" t="s">
        <v>18</v>
      </c>
      <c r="E2259" s="46" t="s">
        <v>13</v>
      </c>
      <c r="F2259" s="48">
        <v>89.4</v>
      </c>
    </row>
    <row r="2260">
      <c r="A2260" s="46" t="s">
        <v>71</v>
      </c>
      <c r="B2260" s="46" t="s">
        <v>2680</v>
      </c>
      <c r="C2260" s="46" t="s">
        <v>745</v>
      </c>
      <c r="D2260" s="46" t="s">
        <v>18</v>
      </c>
      <c r="E2260" s="46" t="s">
        <v>13</v>
      </c>
      <c r="F2260" s="48">
        <v>81.2</v>
      </c>
    </row>
    <row r="2261">
      <c r="A2261" s="46" t="s">
        <v>71</v>
      </c>
      <c r="B2261" s="46" t="s">
        <v>2686</v>
      </c>
      <c r="C2261" s="46" t="s">
        <v>2668</v>
      </c>
      <c r="D2261" s="46" t="s">
        <v>17</v>
      </c>
      <c r="E2261" s="46" t="s">
        <v>13</v>
      </c>
      <c r="F2261" s="48">
        <v>75.7</v>
      </c>
    </row>
    <row r="2262">
      <c r="A2262" s="46" t="s">
        <v>71</v>
      </c>
      <c r="B2262" s="46" t="s">
        <v>2688</v>
      </c>
      <c r="C2262" s="46" t="s">
        <v>2689</v>
      </c>
      <c r="D2262" s="46" t="s">
        <v>17</v>
      </c>
      <c r="E2262" s="46" t="s">
        <v>13</v>
      </c>
      <c r="F2262" s="48">
        <v>100.1</v>
      </c>
    </row>
    <row r="2263">
      <c r="A2263" s="46" t="s">
        <v>71</v>
      </c>
      <c r="B2263" s="46" t="s">
        <v>2691</v>
      </c>
      <c r="C2263" s="46" t="s">
        <v>2692</v>
      </c>
      <c r="D2263" s="46" t="s">
        <v>17</v>
      </c>
      <c r="E2263" s="46" t="s">
        <v>14</v>
      </c>
      <c r="F2263" s="48">
        <v>103.2</v>
      </c>
    </row>
    <row r="2264">
      <c r="A2264" s="46" t="s">
        <v>116</v>
      </c>
      <c r="B2264" s="46" t="s">
        <v>2700</v>
      </c>
      <c r="C2264" s="46" t="s">
        <v>773</v>
      </c>
      <c r="D2264" s="46" t="s">
        <v>17</v>
      </c>
      <c r="E2264" s="46" t="s">
        <v>13</v>
      </c>
      <c r="F2264" s="48">
        <v>101.4</v>
      </c>
    </row>
    <row r="2265">
      <c r="A2265" s="46" t="s">
        <v>779</v>
      </c>
      <c r="B2265" s="46" t="s">
        <v>2707</v>
      </c>
      <c r="C2265" s="46" t="s">
        <v>779</v>
      </c>
      <c r="D2265" s="46" t="s">
        <v>18</v>
      </c>
      <c r="E2265" s="46" t="s">
        <v>13</v>
      </c>
      <c r="F2265" s="48">
        <v>101.5</v>
      </c>
    </row>
    <row r="2266">
      <c r="A2266" s="46" t="s">
        <v>779</v>
      </c>
      <c r="B2266" s="46" t="s">
        <v>1631</v>
      </c>
      <c r="C2266" s="46" t="s">
        <v>779</v>
      </c>
      <c r="D2266" s="46" t="s">
        <v>18</v>
      </c>
      <c r="E2266" s="46" t="s">
        <v>13</v>
      </c>
      <c r="F2266" s="48">
        <v>82.0</v>
      </c>
    </row>
    <row r="2267">
      <c r="A2267" s="46" t="s">
        <v>779</v>
      </c>
      <c r="B2267" s="46" t="s">
        <v>2715</v>
      </c>
      <c r="C2267" s="46" t="s">
        <v>779</v>
      </c>
      <c r="D2267" s="46" t="s">
        <v>17</v>
      </c>
      <c r="E2267" s="46" t="s">
        <v>14</v>
      </c>
      <c r="F2267" s="48">
        <v>89.7</v>
      </c>
    </row>
    <row r="2268">
      <c r="A2268" s="46" t="s">
        <v>779</v>
      </c>
      <c r="B2268" s="46" t="s">
        <v>2719</v>
      </c>
      <c r="C2268" s="46" t="s">
        <v>801</v>
      </c>
      <c r="D2268" s="46" t="s">
        <v>17</v>
      </c>
      <c r="E2268" s="46" t="s">
        <v>13</v>
      </c>
      <c r="F2268" s="48">
        <v>97.2</v>
      </c>
    </row>
    <row r="2269">
      <c r="A2269" s="46" t="s">
        <v>779</v>
      </c>
      <c r="B2269" s="46" t="s">
        <v>2723</v>
      </c>
      <c r="C2269" s="46" t="s">
        <v>2724</v>
      </c>
      <c r="D2269" s="46" t="s">
        <v>18</v>
      </c>
      <c r="E2269" s="46" t="s">
        <v>13</v>
      </c>
      <c r="F2269" s="48">
        <v>80.0</v>
      </c>
    </row>
    <row r="2270">
      <c r="A2270" s="46" t="s">
        <v>313</v>
      </c>
      <c r="B2270" s="46" t="s">
        <v>2734</v>
      </c>
      <c r="C2270" s="46" t="s">
        <v>827</v>
      </c>
      <c r="D2270" s="46" t="s">
        <v>18</v>
      </c>
      <c r="E2270" s="46" t="s">
        <v>15</v>
      </c>
      <c r="F2270" s="48">
        <v>103.7</v>
      </c>
    </row>
    <row r="2271">
      <c r="A2271" s="46" t="s">
        <v>313</v>
      </c>
      <c r="B2271" s="46" t="s">
        <v>2736</v>
      </c>
      <c r="C2271" s="46" t="s">
        <v>2737</v>
      </c>
      <c r="D2271" s="46" t="s">
        <v>18</v>
      </c>
      <c r="E2271" s="46" t="s">
        <v>15</v>
      </c>
      <c r="F2271" s="48">
        <v>103.5</v>
      </c>
    </row>
    <row r="2272">
      <c r="A2272" s="46" t="s">
        <v>182</v>
      </c>
      <c r="B2272" s="46" t="s">
        <v>2747</v>
      </c>
      <c r="C2272" s="46" t="s">
        <v>2748</v>
      </c>
      <c r="D2272" s="46" t="s">
        <v>17</v>
      </c>
      <c r="E2272" s="46" t="s">
        <v>13</v>
      </c>
      <c r="F2272" s="48">
        <v>103.7</v>
      </c>
    </row>
    <row r="2273">
      <c r="A2273" s="46" t="s">
        <v>182</v>
      </c>
      <c r="B2273" s="46" t="s">
        <v>2750</v>
      </c>
      <c r="C2273" s="46" t="s">
        <v>2751</v>
      </c>
      <c r="D2273" s="46" t="s">
        <v>18</v>
      </c>
      <c r="E2273" s="46" t="s">
        <v>14</v>
      </c>
      <c r="F2273" s="48">
        <v>103.3</v>
      </c>
    </row>
    <row r="2274">
      <c r="A2274" s="46" t="s">
        <v>377</v>
      </c>
      <c r="B2274" s="46" t="s">
        <v>2757</v>
      </c>
      <c r="C2274" s="46" t="s">
        <v>2755</v>
      </c>
      <c r="D2274" s="46" t="s">
        <v>18</v>
      </c>
      <c r="E2274" s="46" t="s">
        <v>13</v>
      </c>
      <c r="F2274" s="48">
        <v>86.3</v>
      </c>
    </row>
    <row r="2275">
      <c r="A2275" s="46" t="s">
        <v>377</v>
      </c>
      <c r="B2275" s="46" t="s">
        <v>2759</v>
      </c>
      <c r="C2275" s="46" t="s">
        <v>2760</v>
      </c>
      <c r="D2275" s="46" t="s">
        <v>18</v>
      </c>
      <c r="E2275" s="46" t="s">
        <v>13</v>
      </c>
      <c r="F2275" s="48">
        <v>81.4</v>
      </c>
    </row>
    <row r="2276">
      <c r="A2276" s="46" t="s">
        <v>779</v>
      </c>
      <c r="B2276" s="46" t="s">
        <v>2766</v>
      </c>
      <c r="C2276" s="46" t="s">
        <v>2767</v>
      </c>
      <c r="D2276" s="46" t="s">
        <v>18</v>
      </c>
      <c r="E2276" s="46" t="s">
        <v>13</v>
      </c>
      <c r="F2276" s="48">
        <v>79.4</v>
      </c>
    </row>
    <row r="2277">
      <c r="A2277" s="46" t="s">
        <v>269</v>
      </c>
      <c r="B2277" s="46" t="s">
        <v>2782</v>
      </c>
      <c r="C2277" s="46" t="s">
        <v>2783</v>
      </c>
      <c r="D2277" s="46" t="s">
        <v>18</v>
      </c>
      <c r="E2277" s="46" t="s">
        <v>14</v>
      </c>
      <c r="F2277" s="48">
        <v>103.7</v>
      </c>
    </row>
    <row r="2278">
      <c r="A2278" s="46" t="s">
        <v>269</v>
      </c>
      <c r="B2278" s="46" t="s">
        <v>2785</v>
      </c>
      <c r="C2278" s="46" t="s">
        <v>2786</v>
      </c>
      <c r="D2278" s="46" t="s">
        <v>18</v>
      </c>
      <c r="E2278" s="46" t="s">
        <v>14</v>
      </c>
      <c r="F2278" s="48">
        <v>96.5</v>
      </c>
    </row>
    <row r="2279">
      <c r="A2279" s="46" t="s">
        <v>269</v>
      </c>
      <c r="B2279" s="46" t="s">
        <v>2790</v>
      </c>
      <c r="C2279" s="46" t="s">
        <v>887</v>
      </c>
      <c r="D2279" s="46" t="s">
        <v>17</v>
      </c>
      <c r="E2279" s="46" t="s">
        <v>13</v>
      </c>
      <c r="F2279" s="48">
        <v>90.4</v>
      </c>
    </row>
    <row r="2280">
      <c r="A2280" s="46" t="s">
        <v>169</v>
      </c>
      <c r="B2280" s="46" t="s">
        <v>2795</v>
      </c>
      <c r="C2280" s="46" t="s">
        <v>169</v>
      </c>
      <c r="D2280" s="46" t="s">
        <v>18</v>
      </c>
      <c r="E2280" s="46" t="s">
        <v>15</v>
      </c>
      <c r="F2280" s="48">
        <v>91.8</v>
      </c>
    </row>
    <row r="2281">
      <c r="A2281" s="46" t="s">
        <v>169</v>
      </c>
      <c r="B2281" s="46" t="s">
        <v>2797</v>
      </c>
      <c r="C2281" s="46" t="s">
        <v>169</v>
      </c>
      <c r="D2281" s="46" t="s">
        <v>18</v>
      </c>
      <c r="E2281" s="46" t="s">
        <v>13</v>
      </c>
      <c r="F2281" s="48">
        <v>78.2</v>
      </c>
    </row>
    <row r="2282">
      <c r="A2282" s="46" t="s">
        <v>169</v>
      </c>
      <c r="B2282" s="46" t="s">
        <v>2799</v>
      </c>
      <c r="C2282" s="46" t="s">
        <v>2800</v>
      </c>
      <c r="D2282" s="46" t="s">
        <v>18</v>
      </c>
      <c r="E2282" s="46" t="s">
        <v>14</v>
      </c>
      <c r="F2282" s="48">
        <v>92.2</v>
      </c>
    </row>
    <row r="2283">
      <c r="A2283" s="46" t="s">
        <v>779</v>
      </c>
      <c r="B2283" s="46" t="s">
        <v>2810</v>
      </c>
      <c r="C2283" s="46" t="s">
        <v>2808</v>
      </c>
      <c r="D2283" s="46" t="s">
        <v>18</v>
      </c>
      <c r="E2283" s="46" t="s">
        <v>13</v>
      </c>
      <c r="F2283" s="48">
        <v>94.4</v>
      </c>
    </row>
    <row r="2284">
      <c r="A2284" s="46" t="s">
        <v>779</v>
      </c>
      <c r="B2284" s="46" t="s">
        <v>2812</v>
      </c>
      <c r="C2284" s="46" t="s">
        <v>2808</v>
      </c>
      <c r="D2284" s="46" t="s">
        <v>17</v>
      </c>
      <c r="E2284" s="46" t="s">
        <v>13</v>
      </c>
      <c r="F2284" s="48">
        <v>96.6</v>
      </c>
    </row>
    <row r="2285">
      <c r="A2285" s="46" t="s">
        <v>779</v>
      </c>
      <c r="B2285" s="46" t="s">
        <v>2814</v>
      </c>
      <c r="C2285" s="46" t="s">
        <v>2815</v>
      </c>
      <c r="D2285" s="46" t="s">
        <v>18</v>
      </c>
      <c r="E2285" s="46" t="s">
        <v>14</v>
      </c>
      <c r="F2285" s="48">
        <v>97.9</v>
      </c>
    </row>
    <row r="2286">
      <c r="A2286" s="46" t="s">
        <v>930</v>
      </c>
      <c r="B2286" s="46" t="s">
        <v>2822</v>
      </c>
      <c r="C2286" s="46" t="s">
        <v>937</v>
      </c>
      <c r="D2286" s="46" t="s">
        <v>18</v>
      </c>
      <c r="E2286" s="46" t="s">
        <v>13</v>
      </c>
      <c r="F2286" s="48">
        <v>75.7</v>
      </c>
    </row>
    <row r="2287">
      <c r="A2287" s="46" t="s">
        <v>930</v>
      </c>
      <c r="B2287" s="46" t="s">
        <v>2836</v>
      </c>
      <c r="C2287" s="46" t="s">
        <v>2837</v>
      </c>
      <c r="D2287" s="46" t="s">
        <v>18</v>
      </c>
      <c r="E2287" s="46" t="s">
        <v>13</v>
      </c>
      <c r="F2287" s="48">
        <v>79.7</v>
      </c>
    </row>
    <row r="2288">
      <c r="A2288" s="46" t="s">
        <v>930</v>
      </c>
      <c r="B2288" s="46" t="s">
        <v>2841</v>
      </c>
      <c r="C2288" s="46" t="s">
        <v>966</v>
      </c>
      <c r="D2288" s="46" t="s">
        <v>18</v>
      </c>
      <c r="E2288" s="46" t="s">
        <v>13</v>
      </c>
      <c r="F2288" s="48">
        <v>77.6</v>
      </c>
    </row>
    <row r="2289">
      <c r="A2289" s="46" t="s">
        <v>930</v>
      </c>
      <c r="B2289" s="46" t="s">
        <v>2845</v>
      </c>
      <c r="C2289" s="46" t="s">
        <v>2846</v>
      </c>
      <c r="D2289" s="46" t="s">
        <v>17</v>
      </c>
      <c r="E2289" s="46" t="s">
        <v>13</v>
      </c>
      <c r="F2289" s="48">
        <v>82.8</v>
      </c>
    </row>
    <row r="2290">
      <c r="A2290" s="46" t="s">
        <v>354</v>
      </c>
      <c r="B2290" s="46" t="s">
        <v>2848</v>
      </c>
      <c r="C2290" s="46" t="s">
        <v>2849</v>
      </c>
      <c r="D2290" s="46" t="s">
        <v>18</v>
      </c>
      <c r="E2290" s="46" t="s">
        <v>14</v>
      </c>
      <c r="F2290" s="48">
        <v>103.9</v>
      </c>
    </row>
    <row r="2291">
      <c r="A2291" s="46" t="s">
        <v>354</v>
      </c>
      <c r="B2291" s="46" t="s">
        <v>2851</v>
      </c>
      <c r="C2291" s="46" t="s">
        <v>2852</v>
      </c>
      <c r="D2291" s="46" t="s">
        <v>18</v>
      </c>
      <c r="E2291" s="46" t="s">
        <v>13</v>
      </c>
      <c r="F2291" s="48">
        <v>92.4</v>
      </c>
    </row>
    <row r="2292">
      <c r="A2292" s="46" t="s">
        <v>354</v>
      </c>
      <c r="B2292" s="46" t="s">
        <v>2854</v>
      </c>
      <c r="C2292" s="46" t="s">
        <v>978</v>
      </c>
      <c r="D2292" s="46" t="s">
        <v>18</v>
      </c>
      <c r="E2292" s="46" t="s">
        <v>13</v>
      </c>
      <c r="F2292" s="48">
        <v>87.4</v>
      </c>
    </row>
    <row r="2293">
      <c r="A2293" s="46" t="s">
        <v>354</v>
      </c>
      <c r="B2293" s="46" t="s">
        <v>2859</v>
      </c>
      <c r="C2293" s="46" t="s">
        <v>2860</v>
      </c>
      <c r="D2293" s="46" t="s">
        <v>17</v>
      </c>
      <c r="E2293" s="46" t="s">
        <v>14</v>
      </c>
      <c r="F2293" s="48">
        <v>102.7</v>
      </c>
    </row>
    <row r="2294">
      <c r="A2294" s="46" t="s">
        <v>354</v>
      </c>
      <c r="B2294" s="46" t="s">
        <v>2867</v>
      </c>
      <c r="C2294" s="46" t="s">
        <v>975</v>
      </c>
      <c r="D2294" s="46" t="s">
        <v>17</v>
      </c>
      <c r="E2294" s="46" t="s">
        <v>14</v>
      </c>
      <c r="F2294" s="48">
        <v>99.8</v>
      </c>
    </row>
    <row r="2295">
      <c r="A2295" s="46" t="s">
        <v>354</v>
      </c>
      <c r="B2295" s="46" t="s">
        <v>2869</v>
      </c>
      <c r="C2295" s="46" t="s">
        <v>2870</v>
      </c>
      <c r="D2295" s="46" t="s">
        <v>17</v>
      </c>
      <c r="E2295" s="46" t="s">
        <v>13</v>
      </c>
      <c r="F2295" s="48">
        <v>89.3</v>
      </c>
    </row>
    <row r="2296">
      <c r="A2296" s="46" t="s">
        <v>930</v>
      </c>
      <c r="B2296" s="46" t="s">
        <v>2887</v>
      </c>
      <c r="C2296" s="46" t="s">
        <v>2885</v>
      </c>
      <c r="D2296" s="46" t="s">
        <v>18</v>
      </c>
      <c r="E2296" s="46" t="s">
        <v>14</v>
      </c>
      <c r="F2296" s="48">
        <v>94.9</v>
      </c>
    </row>
    <row r="2297">
      <c r="A2297" s="46" t="s">
        <v>930</v>
      </c>
      <c r="B2297" s="46" t="s">
        <v>2889</v>
      </c>
      <c r="C2297" s="46" t="s">
        <v>989</v>
      </c>
      <c r="D2297" s="46" t="s">
        <v>18</v>
      </c>
      <c r="E2297" s="46" t="s">
        <v>13</v>
      </c>
      <c r="F2297" s="48">
        <v>73.7</v>
      </c>
    </row>
    <row r="2298">
      <c r="A2298" s="46" t="s">
        <v>930</v>
      </c>
      <c r="B2298" s="46" t="s">
        <v>918</v>
      </c>
      <c r="C2298" s="46" t="s">
        <v>2882</v>
      </c>
      <c r="D2298" s="46" t="s">
        <v>17</v>
      </c>
      <c r="E2298" s="46" t="s">
        <v>13</v>
      </c>
      <c r="F2298" s="48">
        <v>86.3</v>
      </c>
    </row>
    <row r="2299">
      <c r="A2299" s="46" t="s">
        <v>930</v>
      </c>
      <c r="B2299" s="46" t="s">
        <v>2894</v>
      </c>
      <c r="C2299" s="46" t="s">
        <v>2895</v>
      </c>
      <c r="D2299" s="46" t="s">
        <v>17</v>
      </c>
      <c r="E2299" s="46" t="s">
        <v>15</v>
      </c>
      <c r="F2299" s="48">
        <v>89.5</v>
      </c>
    </row>
    <row r="2300">
      <c r="A2300" s="46" t="s">
        <v>930</v>
      </c>
      <c r="B2300" s="46" t="s">
        <v>2897</v>
      </c>
      <c r="C2300" s="46" t="s">
        <v>989</v>
      </c>
      <c r="D2300" s="46" t="s">
        <v>18</v>
      </c>
      <c r="E2300" s="46" t="s">
        <v>14</v>
      </c>
      <c r="F2300" s="48">
        <v>102.1</v>
      </c>
    </row>
    <row r="2301">
      <c r="A2301" s="46" t="s">
        <v>333</v>
      </c>
      <c r="B2301" s="46" t="s">
        <v>2899</v>
      </c>
      <c r="C2301" s="46" t="s">
        <v>2900</v>
      </c>
      <c r="D2301" s="46" t="s">
        <v>18</v>
      </c>
      <c r="E2301" s="46" t="s">
        <v>13</v>
      </c>
      <c r="F2301" s="48">
        <v>82.9</v>
      </c>
    </row>
    <row r="2302">
      <c r="A2302" s="46" t="s">
        <v>46</v>
      </c>
      <c r="B2302" s="46" t="s">
        <v>2902</v>
      </c>
      <c r="C2302" s="46" t="s">
        <v>2903</v>
      </c>
      <c r="D2302" s="46" t="s">
        <v>18</v>
      </c>
      <c r="E2302" s="46" t="s">
        <v>13</v>
      </c>
      <c r="F2302" s="48">
        <v>68.7</v>
      </c>
    </row>
    <row r="2303">
      <c r="A2303" s="46" t="s">
        <v>46</v>
      </c>
      <c r="B2303" s="46" t="s">
        <v>2905</v>
      </c>
      <c r="C2303" s="46" t="s">
        <v>2906</v>
      </c>
      <c r="D2303" s="46" t="s">
        <v>18</v>
      </c>
      <c r="E2303" s="46" t="s">
        <v>14</v>
      </c>
      <c r="F2303" s="48">
        <v>97.9</v>
      </c>
    </row>
    <row r="2304">
      <c r="A2304" s="46" t="s">
        <v>46</v>
      </c>
      <c r="B2304" s="46" t="s">
        <v>2912</v>
      </c>
      <c r="C2304" s="46" t="s">
        <v>2913</v>
      </c>
      <c r="D2304" s="46" t="s">
        <v>18</v>
      </c>
      <c r="E2304" s="46" t="s">
        <v>13</v>
      </c>
      <c r="F2304" s="48">
        <v>68.9</v>
      </c>
    </row>
    <row r="2305">
      <c r="A2305" s="46" t="s">
        <v>46</v>
      </c>
      <c r="B2305" s="46" t="s">
        <v>2917</v>
      </c>
      <c r="C2305" s="46" t="s">
        <v>2918</v>
      </c>
      <c r="D2305" s="46" t="s">
        <v>18</v>
      </c>
      <c r="E2305" s="46" t="s">
        <v>15</v>
      </c>
      <c r="F2305" s="48">
        <v>102.6</v>
      </c>
    </row>
    <row r="2306">
      <c r="A2306" s="46" t="s">
        <v>46</v>
      </c>
      <c r="B2306" s="46" t="s">
        <v>2922</v>
      </c>
      <c r="C2306" s="46" t="s">
        <v>2923</v>
      </c>
      <c r="D2306" s="46" t="s">
        <v>18</v>
      </c>
      <c r="E2306" s="46" t="s">
        <v>13</v>
      </c>
      <c r="F2306" s="48">
        <v>84.1</v>
      </c>
    </row>
    <row r="2307">
      <c r="A2307" s="46" t="s">
        <v>46</v>
      </c>
      <c r="B2307" s="46" t="s">
        <v>2925</v>
      </c>
      <c r="C2307" s="46" t="s">
        <v>1039</v>
      </c>
      <c r="D2307" s="46" t="s">
        <v>18</v>
      </c>
      <c r="E2307" s="46" t="s">
        <v>13</v>
      </c>
      <c r="F2307" s="48">
        <v>69.9</v>
      </c>
    </row>
    <row r="2308">
      <c r="A2308" s="46" t="s">
        <v>46</v>
      </c>
      <c r="B2308" s="46" t="s">
        <v>2929</v>
      </c>
      <c r="C2308" s="46" t="s">
        <v>1072</v>
      </c>
      <c r="D2308" s="46" t="s">
        <v>18</v>
      </c>
      <c r="E2308" s="46" t="s">
        <v>15</v>
      </c>
      <c r="F2308" s="48">
        <v>95.6</v>
      </c>
    </row>
    <row r="2309">
      <c r="A2309" s="46" t="s">
        <v>46</v>
      </c>
      <c r="B2309" s="46" t="s">
        <v>2931</v>
      </c>
      <c r="C2309" s="46" t="s">
        <v>1092</v>
      </c>
      <c r="D2309" s="46" t="s">
        <v>18</v>
      </c>
      <c r="E2309" s="46" t="s">
        <v>13</v>
      </c>
      <c r="F2309" s="48">
        <v>83.9</v>
      </c>
    </row>
    <row r="2310">
      <c r="A2310" s="46" t="s">
        <v>46</v>
      </c>
      <c r="B2310" s="46" t="s">
        <v>2933</v>
      </c>
      <c r="C2310" s="46" t="s">
        <v>1072</v>
      </c>
      <c r="D2310" s="46" t="s">
        <v>18</v>
      </c>
      <c r="E2310" s="46" t="s">
        <v>13</v>
      </c>
      <c r="F2310" s="48">
        <v>76.1</v>
      </c>
    </row>
    <row r="2311">
      <c r="A2311" s="46" t="s">
        <v>46</v>
      </c>
      <c r="B2311" s="46" t="s">
        <v>2935</v>
      </c>
      <c r="C2311" s="46" t="s">
        <v>2936</v>
      </c>
      <c r="D2311" s="46" t="s">
        <v>18</v>
      </c>
      <c r="E2311" s="46" t="s">
        <v>13</v>
      </c>
      <c r="F2311" s="48">
        <v>75.4</v>
      </c>
    </row>
    <row r="2312">
      <c r="A2312" s="46" t="s">
        <v>46</v>
      </c>
      <c r="B2312" s="46" t="s">
        <v>2938</v>
      </c>
      <c r="C2312" s="46" t="s">
        <v>2939</v>
      </c>
      <c r="D2312" s="46" t="s">
        <v>17</v>
      </c>
      <c r="E2312" s="46" t="s">
        <v>14</v>
      </c>
      <c r="F2312" s="48">
        <v>86.9</v>
      </c>
    </row>
    <row r="2313">
      <c r="A2313" s="46" t="s">
        <v>46</v>
      </c>
      <c r="B2313" s="46" t="s">
        <v>2941</v>
      </c>
      <c r="C2313" s="46" t="s">
        <v>1067</v>
      </c>
      <c r="D2313" s="46" t="s">
        <v>17</v>
      </c>
      <c r="E2313" s="46" t="s">
        <v>14</v>
      </c>
      <c r="F2313" s="48">
        <v>91.3</v>
      </c>
    </row>
    <row r="2314">
      <c r="A2314" s="46" t="s">
        <v>46</v>
      </c>
      <c r="B2314" s="46" t="s">
        <v>2943</v>
      </c>
      <c r="C2314" s="46" t="s">
        <v>2944</v>
      </c>
      <c r="D2314" s="46" t="s">
        <v>17</v>
      </c>
      <c r="E2314" s="46" t="s">
        <v>14</v>
      </c>
      <c r="F2314" s="48">
        <v>85.0</v>
      </c>
    </row>
    <row r="2315">
      <c r="A2315" s="46" t="s">
        <v>46</v>
      </c>
      <c r="B2315" s="46" t="s">
        <v>2950</v>
      </c>
      <c r="C2315" s="46" t="s">
        <v>1050</v>
      </c>
      <c r="D2315" s="46" t="s">
        <v>17</v>
      </c>
      <c r="E2315" s="46" t="s">
        <v>13</v>
      </c>
      <c r="F2315" s="48">
        <v>90.1</v>
      </c>
    </row>
    <row r="2316">
      <c r="A2316" s="46" t="s">
        <v>46</v>
      </c>
      <c r="B2316" s="46" t="s">
        <v>2952</v>
      </c>
      <c r="C2316" s="46" t="s">
        <v>1092</v>
      </c>
      <c r="D2316" s="46" t="s">
        <v>17</v>
      </c>
      <c r="E2316" s="46" t="s">
        <v>14</v>
      </c>
      <c r="F2316" s="48">
        <v>91.6</v>
      </c>
    </row>
    <row r="2317">
      <c r="A2317" s="46" t="s">
        <v>46</v>
      </c>
      <c r="B2317" s="46" t="s">
        <v>2149</v>
      </c>
      <c r="C2317" s="46" t="s">
        <v>1105</v>
      </c>
      <c r="D2317" s="46" t="s">
        <v>17</v>
      </c>
      <c r="E2317" s="46" t="s">
        <v>14</v>
      </c>
      <c r="F2317" s="48">
        <v>96.2</v>
      </c>
    </row>
    <row r="2318">
      <c r="A2318" s="46" t="s">
        <v>46</v>
      </c>
      <c r="B2318" s="46" t="s">
        <v>2955</v>
      </c>
      <c r="C2318" s="46" t="s">
        <v>1042</v>
      </c>
      <c r="D2318" s="46" t="s">
        <v>17</v>
      </c>
      <c r="E2318" s="46" t="s">
        <v>14</v>
      </c>
      <c r="F2318" s="48">
        <v>78.2</v>
      </c>
    </row>
    <row r="2319">
      <c r="A2319" s="46" t="s">
        <v>46</v>
      </c>
      <c r="B2319" s="46" t="s">
        <v>486</v>
      </c>
      <c r="C2319" s="46" t="s">
        <v>2963</v>
      </c>
      <c r="D2319" s="46" t="s">
        <v>18</v>
      </c>
      <c r="E2319" s="46" t="s">
        <v>13</v>
      </c>
      <c r="F2319" s="48">
        <v>73.1</v>
      </c>
    </row>
    <row r="2320">
      <c r="A2320" s="46" t="s">
        <v>46</v>
      </c>
      <c r="B2320" s="46" t="s">
        <v>1631</v>
      </c>
      <c r="C2320" s="46" t="s">
        <v>2967</v>
      </c>
      <c r="D2320" s="46" t="s">
        <v>18</v>
      </c>
      <c r="E2320" s="46" t="s">
        <v>13</v>
      </c>
      <c r="F2320" s="48">
        <v>73.9</v>
      </c>
    </row>
    <row r="2321">
      <c r="A2321" s="46" t="s">
        <v>46</v>
      </c>
      <c r="B2321" s="46" t="s">
        <v>2969</v>
      </c>
      <c r="C2321" s="46" t="s">
        <v>46</v>
      </c>
      <c r="D2321" s="46" t="s">
        <v>18</v>
      </c>
      <c r="E2321" s="46" t="s">
        <v>15</v>
      </c>
      <c r="F2321" s="48">
        <v>101.9</v>
      </c>
    </row>
    <row r="2322">
      <c r="A2322" s="46" t="s">
        <v>46</v>
      </c>
      <c r="B2322" s="46" t="s">
        <v>2971</v>
      </c>
      <c r="C2322" s="46" t="s">
        <v>2972</v>
      </c>
      <c r="D2322" s="46" t="s">
        <v>18</v>
      </c>
      <c r="E2322" s="46" t="s">
        <v>13</v>
      </c>
      <c r="F2322" s="48">
        <v>67.4</v>
      </c>
    </row>
    <row r="2323">
      <c r="A2323" s="46" t="s">
        <v>46</v>
      </c>
      <c r="B2323" s="46" t="s">
        <v>2974</v>
      </c>
      <c r="C2323" s="46" t="s">
        <v>1072</v>
      </c>
      <c r="D2323" s="46" t="s">
        <v>18</v>
      </c>
      <c r="E2323" s="46" t="s">
        <v>15</v>
      </c>
      <c r="F2323" s="48">
        <v>99.5</v>
      </c>
    </row>
    <row r="2324">
      <c r="A2324" s="46" t="s">
        <v>46</v>
      </c>
      <c r="B2324" s="46" t="s">
        <v>2976</v>
      </c>
      <c r="C2324" s="46" t="s">
        <v>1092</v>
      </c>
      <c r="D2324" s="46" t="s">
        <v>18</v>
      </c>
      <c r="E2324" s="46" t="s">
        <v>13</v>
      </c>
      <c r="F2324" s="48">
        <v>71.3</v>
      </c>
    </row>
    <row r="2325">
      <c r="A2325" s="46" t="s">
        <v>88</v>
      </c>
      <c r="B2325" s="46" t="s">
        <v>2980</v>
      </c>
      <c r="C2325" s="46" t="s">
        <v>1130</v>
      </c>
      <c r="D2325" s="46" t="s">
        <v>18</v>
      </c>
      <c r="E2325" s="46" t="s">
        <v>13</v>
      </c>
      <c r="F2325" s="48">
        <v>76.9</v>
      </c>
    </row>
    <row r="2326">
      <c r="A2326" s="46" t="s">
        <v>88</v>
      </c>
      <c r="B2326" s="46" t="s">
        <v>2982</v>
      </c>
      <c r="C2326" s="46" t="s">
        <v>2983</v>
      </c>
      <c r="D2326" s="46" t="s">
        <v>18</v>
      </c>
      <c r="E2326" s="46" t="s">
        <v>13</v>
      </c>
      <c r="F2326" s="48">
        <v>82.3</v>
      </c>
    </row>
    <row r="2327">
      <c r="A2327" s="46" t="s">
        <v>88</v>
      </c>
      <c r="B2327" s="46" t="s">
        <v>2985</v>
      </c>
      <c r="C2327" s="46" t="s">
        <v>2986</v>
      </c>
      <c r="D2327" s="46" t="s">
        <v>18</v>
      </c>
      <c r="E2327" s="46" t="s">
        <v>13</v>
      </c>
      <c r="F2327" s="48">
        <v>86.0</v>
      </c>
    </row>
    <row r="2328">
      <c r="A2328" s="46" t="s">
        <v>88</v>
      </c>
      <c r="B2328" s="46" t="s">
        <v>2988</v>
      </c>
      <c r="C2328" s="46" t="s">
        <v>2989</v>
      </c>
      <c r="D2328" s="46" t="s">
        <v>18</v>
      </c>
      <c r="E2328" s="46" t="s">
        <v>13</v>
      </c>
      <c r="F2328" s="48">
        <v>77.1</v>
      </c>
    </row>
    <row r="2329">
      <c r="A2329" s="46" t="s">
        <v>88</v>
      </c>
      <c r="B2329" s="46" t="s">
        <v>2991</v>
      </c>
      <c r="C2329" s="46" t="s">
        <v>1130</v>
      </c>
      <c r="D2329" s="46" t="s">
        <v>17</v>
      </c>
      <c r="E2329" s="46" t="s">
        <v>13</v>
      </c>
      <c r="F2329" s="48">
        <v>83.9</v>
      </c>
    </row>
    <row r="2330">
      <c r="A2330" s="46" t="s">
        <v>88</v>
      </c>
      <c r="B2330" s="46" t="s">
        <v>3006</v>
      </c>
      <c r="C2330" s="46" t="s">
        <v>3007</v>
      </c>
      <c r="D2330" s="46" t="s">
        <v>18</v>
      </c>
      <c r="E2330" s="46" t="s">
        <v>13</v>
      </c>
      <c r="F2330" s="48">
        <v>77.3</v>
      </c>
    </row>
    <row r="2331">
      <c r="A2331" s="46" t="s">
        <v>269</v>
      </c>
      <c r="B2331" s="46" t="s">
        <v>3011</v>
      </c>
      <c r="C2331" s="46" t="s">
        <v>1161</v>
      </c>
      <c r="D2331" s="46" t="s">
        <v>18</v>
      </c>
      <c r="E2331" s="46" t="s">
        <v>14</v>
      </c>
      <c r="F2331" s="48">
        <v>96.3</v>
      </c>
    </row>
    <row r="2332">
      <c r="A2332" s="46" t="s">
        <v>269</v>
      </c>
      <c r="B2332" s="46" t="s">
        <v>3013</v>
      </c>
      <c r="C2332" s="46" t="s">
        <v>3014</v>
      </c>
      <c r="D2332" s="46" t="s">
        <v>17</v>
      </c>
      <c r="E2332" s="46" t="s">
        <v>13</v>
      </c>
      <c r="F2332" s="48">
        <v>91.8</v>
      </c>
    </row>
    <row r="2333">
      <c r="A2333" s="46" t="s">
        <v>46</v>
      </c>
      <c r="B2333" s="46" t="s">
        <v>3016</v>
      </c>
      <c r="C2333" s="46" t="s">
        <v>1186</v>
      </c>
      <c r="D2333" s="46" t="s">
        <v>18</v>
      </c>
      <c r="E2333" s="46" t="s">
        <v>13</v>
      </c>
      <c r="F2333" s="48">
        <v>76.3</v>
      </c>
    </row>
    <row r="2334">
      <c r="A2334" s="46" t="s">
        <v>46</v>
      </c>
      <c r="B2334" s="46" t="s">
        <v>3018</v>
      </c>
      <c r="C2334" s="46" t="s">
        <v>3019</v>
      </c>
      <c r="D2334" s="46" t="s">
        <v>18</v>
      </c>
      <c r="E2334" s="46" t="s">
        <v>14</v>
      </c>
      <c r="F2334" s="48">
        <v>84.3</v>
      </c>
    </row>
    <row r="2335">
      <c r="A2335" s="46" t="s">
        <v>46</v>
      </c>
      <c r="B2335" s="46" t="s">
        <v>3027</v>
      </c>
      <c r="C2335" s="46" t="s">
        <v>3028</v>
      </c>
      <c r="D2335" s="46" t="s">
        <v>18</v>
      </c>
      <c r="E2335" s="46" t="s">
        <v>15</v>
      </c>
      <c r="F2335" s="48">
        <v>100.0</v>
      </c>
    </row>
    <row r="2336">
      <c r="A2336" s="46" t="s">
        <v>46</v>
      </c>
      <c r="B2336" s="46" t="s">
        <v>3030</v>
      </c>
      <c r="C2336" s="46" t="s">
        <v>1188</v>
      </c>
      <c r="D2336" s="46" t="s">
        <v>18</v>
      </c>
      <c r="E2336" s="46" t="s">
        <v>13</v>
      </c>
      <c r="F2336" s="48">
        <v>71.2</v>
      </c>
    </row>
    <row r="2337">
      <c r="A2337" s="46" t="s">
        <v>46</v>
      </c>
      <c r="B2337" s="46" t="s">
        <v>3032</v>
      </c>
      <c r="C2337" s="46" t="s">
        <v>3033</v>
      </c>
      <c r="D2337" s="46" t="s">
        <v>18</v>
      </c>
      <c r="E2337" s="46" t="s">
        <v>15</v>
      </c>
      <c r="F2337" s="48">
        <v>99.5</v>
      </c>
    </row>
    <row r="2338">
      <c r="A2338" s="46" t="s">
        <v>46</v>
      </c>
      <c r="B2338" s="46" t="s">
        <v>3035</v>
      </c>
      <c r="C2338" s="46" t="s">
        <v>3036</v>
      </c>
      <c r="D2338" s="46" t="s">
        <v>18</v>
      </c>
      <c r="E2338" s="46" t="s">
        <v>13</v>
      </c>
      <c r="F2338" s="48">
        <v>74.3</v>
      </c>
    </row>
    <row r="2339">
      <c r="A2339" s="46" t="s">
        <v>46</v>
      </c>
      <c r="B2339" s="46" t="s">
        <v>3038</v>
      </c>
      <c r="C2339" s="46" t="s">
        <v>3025</v>
      </c>
      <c r="D2339" s="46" t="s">
        <v>18</v>
      </c>
      <c r="E2339" s="46" t="s">
        <v>13</v>
      </c>
      <c r="F2339" s="48">
        <v>69.8</v>
      </c>
    </row>
    <row r="2340">
      <c r="A2340" s="46" t="s">
        <v>46</v>
      </c>
      <c r="B2340" s="46" t="s">
        <v>3040</v>
      </c>
      <c r="C2340" s="46" t="s">
        <v>3025</v>
      </c>
      <c r="D2340" s="46" t="s">
        <v>18</v>
      </c>
      <c r="E2340" s="46" t="s">
        <v>13</v>
      </c>
      <c r="F2340" s="48">
        <v>77.5</v>
      </c>
    </row>
    <row r="2341">
      <c r="A2341" s="46" t="s">
        <v>46</v>
      </c>
      <c r="B2341" s="46" t="s">
        <v>3042</v>
      </c>
      <c r="C2341" s="46" t="s">
        <v>3033</v>
      </c>
      <c r="D2341" s="46" t="s">
        <v>18</v>
      </c>
      <c r="E2341" s="46" t="s">
        <v>13</v>
      </c>
      <c r="F2341" s="48">
        <v>77.4</v>
      </c>
    </row>
    <row r="2342">
      <c r="A2342" s="46" t="s">
        <v>46</v>
      </c>
      <c r="B2342" s="46" t="s">
        <v>3044</v>
      </c>
      <c r="C2342" s="46" t="s">
        <v>3045</v>
      </c>
      <c r="D2342" s="46" t="s">
        <v>18</v>
      </c>
      <c r="E2342" s="46" t="s">
        <v>13</v>
      </c>
      <c r="F2342" s="48">
        <v>70.4</v>
      </c>
    </row>
    <row r="2343">
      <c r="A2343" s="46" t="s">
        <v>46</v>
      </c>
      <c r="B2343" s="46" t="s">
        <v>3047</v>
      </c>
      <c r="C2343" s="46" t="s">
        <v>3048</v>
      </c>
      <c r="D2343" s="46" t="s">
        <v>18</v>
      </c>
      <c r="E2343" s="46" t="s">
        <v>13</v>
      </c>
      <c r="F2343" s="48">
        <v>66.1</v>
      </c>
    </row>
    <row r="2344">
      <c r="A2344" s="46" t="s">
        <v>46</v>
      </c>
      <c r="B2344" s="46" t="s">
        <v>2480</v>
      </c>
      <c r="C2344" s="46" t="s">
        <v>3052</v>
      </c>
      <c r="D2344" s="46" t="s">
        <v>18</v>
      </c>
      <c r="E2344" s="46" t="s">
        <v>13</v>
      </c>
      <c r="F2344" s="48">
        <v>83.2</v>
      </c>
    </row>
    <row r="2345">
      <c r="A2345" s="46" t="s">
        <v>46</v>
      </c>
      <c r="B2345" s="46" t="s">
        <v>3059</v>
      </c>
      <c r="C2345" s="46" t="s">
        <v>3055</v>
      </c>
      <c r="D2345" s="46" t="s">
        <v>18</v>
      </c>
      <c r="E2345" s="46" t="s">
        <v>13</v>
      </c>
      <c r="F2345" s="48">
        <v>68.5</v>
      </c>
    </row>
    <row r="2346">
      <c r="A2346" s="46" t="s">
        <v>46</v>
      </c>
      <c r="B2346" s="46" t="s">
        <v>3061</v>
      </c>
      <c r="C2346" s="46" t="s">
        <v>3062</v>
      </c>
      <c r="D2346" s="46" t="s">
        <v>18</v>
      </c>
      <c r="E2346" s="46" t="s">
        <v>14</v>
      </c>
      <c r="F2346" s="48">
        <v>98.8</v>
      </c>
    </row>
    <row r="2347">
      <c r="A2347" s="46" t="s">
        <v>46</v>
      </c>
      <c r="B2347" s="46" t="s">
        <v>3064</v>
      </c>
      <c r="C2347" s="46" t="s">
        <v>3045</v>
      </c>
      <c r="D2347" s="46" t="s">
        <v>18</v>
      </c>
      <c r="E2347" s="46" t="s">
        <v>13</v>
      </c>
      <c r="F2347" s="48">
        <v>92.3</v>
      </c>
    </row>
    <row r="2348">
      <c r="A2348" s="46" t="s">
        <v>46</v>
      </c>
      <c r="B2348" s="46" t="s">
        <v>3069</v>
      </c>
      <c r="C2348" s="46" t="s">
        <v>3033</v>
      </c>
      <c r="D2348" s="46" t="s">
        <v>18</v>
      </c>
      <c r="E2348" s="46" t="s">
        <v>13</v>
      </c>
      <c r="F2348" s="48">
        <v>70.0</v>
      </c>
    </row>
    <row r="2349">
      <c r="A2349" s="46" t="s">
        <v>116</v>
      </c>
      <c r="B2349" s="46" t="s">
        <v>1566</v>
      </c>
      <c r="C2349" s="46" t="s">
        <v>3071</v>
      </c>
      <c r="D2349" s="46" t="s">
        <v>18</v>
      </c>
      <c r="E2349" s="46" t="s">
        <v>14</v>
      </c>
      <c r="F2349" s="48">
        <v>101.9</v>
      </c>
    </row>
    <row r="2350">
      <c r="A2350" s="46" t="s">
        <v>116</v>
      </c>
      <c r="B2350" s="46" t="s">
        <v>3077</v>
      </c>
      <c r="C2350" s="46" t="s">
        <v>1199</v>
      </c>
      <c r="D2350" s="46" t="s">
        <v>18</v>
      </c>
      <c r="E2350" s="46" t="s">
        <v>13</v>
      </c>
      <c r="F2350" s="48">
        <v>90.9</v>
      </c>
    </row>
    <row r="2351">
      <c r="A2351" s="46" t="s">
        <v>116</v>
      </c>
      <c r="B2351" s="46" t="s">
        <v>3079</v>
      </c>
      <c r="C2351" s="46" t="s">
        <v>1199</v>
      </c>
      <c r="D2351" s="46" t="s">
        <v>18</v>
      </c>
      <c r="E2351" s="46" t="s">
        <v>13</v>
      </c>
      <c r="F2351" s="48">
        <v>80.1</v>
      </c>
    </row>
    <row r="2352">
      <c r="A2352" s="46" t="s">
        <v>116</v>
      </c>
      <c r="B2352" s="46" t="s">
        <v>3081</v>
      </c>
      <c r="C2352" s="46" t="s">
        <v>1202</v>
      </c>
      <c r="D2352" s="46" t="s">
        <v>18</v>
      </c>
      <c r="E2352" s="46" t="s">
        <v>14</v>
      </c>
      <c r="F2352" s="48">
        <v>86.8</v>
      </c>
    </row>
    <row r="2353">
      <c r="A2353" s="46" t="s">
        <v>116</v>
      </c>
      <c r="B2353" s="46" t="s">
        <v>3086</v>
      </c>
      <c r="C2353" s="46" t="s">
        <v>1199</v>
      </c>
      <c r="D2353" s="46" t="s">
        <v>17</v>
      </c>
      <c r="E2353" s="46" t="s">
        <v>13</v>
      </c>
      <c r="F2353" s="48">
        <v>88.9</v>
      </c>
    </row>
    <row r="2354">
      <c r="A2354" s="46" t="s">
        <v>116</v>
      </c>
      <c r="B2354" s="46" t="s">
        <v>3093</v>
      </c>
      <c r="C2354" s="46" t="s">
        <v>1199</v>
      </c>
      <c r="D2354" s="46" t="s">
        <v>17</v>
      </c>
      <c r="E2354" s="46" t="s">
        <v>13</v>
      </c>
      <c r="F2354" s="48">
        <v>92.2</v>
      </c>
    </row>
    <row r="2355">
      <c r="A2355" s="46" t="s">
        <v>377</v>
      </c>
      <c r="B2355" s="46" t="s">
        <v>3098</v>
      </c>
      <c r="C2355" s="46" t="s">
        <v>1235</v>
      </c>
      <c r="D2355" s="46" t="s">
        <v>18</v>
      </c>
      <c r="E2355" s="46" t="s">
        <v>13</v>
      </c>
      <c r="F2355" s="48">
        <v>98.9</v>
      </c>
    </row>
    <row r="2356">
      <c r="A2356" s="46" t="s">
        <v>377</v>
      </c>
      <c r="B2356" s="46" t="s">
        <v>3102</v>
      </c>
      <c r="C2356" s="46" t="s">
        <v>3103</v>
      </c>
      <c r="D2356" s="46" t="s">
        <v>18</v>
      </c>
      <c r="E2356" s="46" t="s">
        <v>13</v>
      </c>
      <c r="F2356" s="48">
        <v>101.5</v>
      </c>
    </row>
    <row r="2357">
      <c r="A2357" s="46" t="s">
        <v>377</v>
      </c>
      <c r="B2357" s="46" t="s">
        <v>3108</v>
      </c>
      <c r="C2357" s="46" t="s">
        <v>1219</v>
      </c>
      <c r="D2357" s="46" t="s">
        <v>18</v>
      </c>
      <c r="E2357" s="46" t="s">
        <v>13</v>
      </c>
      <c r="F2357" s="48">
        <v>97.2</v>
      </c>
    </row>
    <row r="2358">
      <c r="A2358" s="46" t="s">
        <v>377</v>
      </c>
      <c r="B2358" s="46" t="s">
        <v>3110</v>
      </c>
      <c r="C2358" s="46" t="s">
        <v>1219</v>
      </c>
      <c r="D2358" s="46" t="s">
        <v>18</v>
      </c>
      <c r="E2358" s="46" t="s">
        <v>13</v>
      </c>
      <c r="F2358" s="48">
        <v>86.1</v>
      </c>
    </row>
    <row r="2359">
      <c r="A2359" s="46" t="s">
        <v>377</v>
      </c>
      <c r="B2359" s="46" t="s">
        <v>80</v>
      </c>
      <c r="C2359" s="46" t="s">
        <v>3117</v>
      </c>
      <c r="D2359" s="46" t="s">
        <v>17</v>
      </c>
      <c r="E2359" s="46" t="s">
        <v>15</v>
      </c>
      <c r="F2359" s="48">
        <v>101.9</v>
      </c>
    </row>
    <row r="2360">
      <c r="A2360" s="46" t="s">
        <v>377</v>
      </c>
      <c r="B2360" s="46" t="s">
        <v>3119</v>
      </c>
      <c r="C2360" s="46" t="s">
        <v>1225</v>
      </c>
      <c r="D2360" s="46" t="s">
        <v>17</v>
      </c>
      <c r="E2360" s="46" t="s">
        <v>13</v>
      </c>
      <c r="F2360" s="48">
        <v>91.0</v>
      </c>
    </row>
    <row r="2361">
      <c r="A2361" s="46" t="s">
        <v>377</v>
      </c>
      <c r="B2361" s="46" t="s">
        <v>3123</v>
      </c>
      <c r="C2361" s="46" t="s">
        <v>1213</v>
      </c>
      <c r="D2361" s="46" t="s">
        <v>17</v>
      </c>
      <c r="E2361" s="46" t="s">
        <v>13</v>
      </c>
      <c r="F2361" s="48">
        <v>100.5</v>
      </c>
    </row>
    <row r="2362">
      <c r="A2362" s="46" t="s">
        <v>182</v>
      </c>
      <c r="B2362" s="46" t="s">
        <v>3127</v>
      </c>
      <c r="C2362" s="46" t="s">
        <v>1252</v>
      </c>
      <c r="D2362" s="46" t="s">
        <v>18</v>
      </c>
      <c r="E2362" s="46" t="s">
        <v>13</v>
      </c>
      <c r="F2362" s="48">
        <v>86.6</v>
      </c>
    </row>
    <row r="2363">
      <c r="A2363" s="46" t="s">
        <v>182</v>
      </c>
      <c r="B2363" s="46" t="s">
        <v>3130</v>
      </c>
      <c r="C2363" s="46" t="s">
        <v>1252</v>
      </c>
      <c r="D2363" s="46" t="s">
        <v>17</v>
      </c>
      <c r="E2363" s="46" t="s">
        <v>15</v>
      </c>
      <c r="F2363" s="48">
        <v>98.7</v>
      </c>
    </row>
    <row r="2364">
      <c r="A2364" s="46" t="s">
        <v>483</v>
      </c>
      <c r="B2364" s="46" t="s">
        <v>3132</v>
      </c>
      <c r="C2364" s="46" t="s">
        <v>3133</v>
      </c>
      <c r="D2364" s="46" t="s">
        <v>18</v>
      </c>
      <c r="E2364" s="46" t="s">
        <v>14</v>
      </c>
      <c r="F2364" s="48">
        <v>100.9</v>
      </c>
    </row>
    <row r="2365">
      <c r="A2365" s="46" t="s">
        <v>483</v>
      </c>
      <c r="B2365" s="46" t="s">
        <v>3135</v>
      </c>
      <c r="C2365" s="46" t="s">
        <v>1258</v>
      </c>
      <c r="D2365" s="46" t="s">
        <v>18</v>
      </c>
      <c r="E2365" s="46" t="s">
        <v>13</v>
      </c>
      <c r="F2365" s="48">
        <v>78.9</v>
      </c>
    </row>
    <row r="2366">
      <c r="A2366" s="46" t="s">
        <v>1259</v>
      </c>
      <c r="B2366" s="46" t="s">
        <v>3145</v>
      </c>
      <c r="C2366" s="46" t="s">
        <v>1259</v>
      </c>
      <c r="D2366" s="46" t="s">
        <v>18</v>
      </c>
      <c r="E2366" s="46" t="s">
        <v>13</v>
      </c>
      <c r="F2366" s="48">
        <v>76.9</v>
      </c>
    </row>
    <row r="2367">
      <c r="A2367" s="46" t="s">
        <v>1259</v>
      </c>
      <c r="B2367" s="46" t="s">
        <v>3159</v>
      </c>
      <c r="C2367" s="46" t="s">
        <v>3160</v>
      </c>
      <c r="D2367" s="46" t="s">
        <v>17</v>
      </c>
      <c r="E2367" s="46" t="s">
        <v>13</v>
      </c>
      <c r="F2367" s="48">
        <v>100.9</v>
      </c>
    </row>
    <row r="2368">
      <c r="A2368" s="46" t="s">
        <v>1259</v>
      </c>
      <c r="B2368" s="46" t="s">
        <v>1566</v>
      </c>
      <c r="C2368" s="46" t="s">
        <v>1287</v>
      </c>
      <c r="D2368" s="46" t="s">
        <v>18</v>
      </c>
      <c r="E2368" s="46" t="s">
        <v>14</v>
      </c>
      <c r="F2368" s="48">
        <v>99.1</v>
      </c>
    </row>
    <row r="2369">
      <c r="A2369" s="46" t="s">
        <v>1259</v>
      </c>
      <c r="B2369" s="46" t="s">
        <v>3166</v>
      </c>
      <c r="C2369" s="46" t="s">
        <v>1292</v>
      </c>
      <c r="D2369" s="46" t="s">
        <v>18</v>
      </c>
      <c r="E2369" s="46" t="s">
        <v>15</v>
      </c>
      <c r="F2369" s="48">
        <v>103.4</v>
      </c>
    </row>
    <row r="2370">
      <c r="A2370" s="46" t="s">
        <v>1259</v>
      </c>
      <c r="B2370" s="46" t="s">
        <v>3168</v>
      </c>
      <c r="C2370" s="46" t="s">
        <v>1292</v>
      </c>
      <c r="D2370" s="46" t="s">
        <v>18</v>
      </c>
      <c r="E2370" s="46" t="s">
        <v>13</v>
      </c>
      <c r="F2370" s="48">
        <v>72.5</v>
      </c>
    </row>
    <row r="2371">
      <c r="A2371" s="46" t="s">
        <v>1259</v>
      </c>
      <c r="B2371" s="46" t="s">
        <v>3171</v>
      </c>
      <c r="C2371" s="46" t="s">
        <v>1301</v>
      </c>
      <c r="D2371" s="46" t="s">
        <v>18</v>
      </c>
      <c r="E2371" s="46" t="s">
        <v>13</v>
      </c>
      <c r="F2371" s="48">
        <v>82.4</v>
      </c>
    </row>
    <row r="2372">
      <c r="A2372" s="46" t="s">
        <v>1259</v>
      </c>
      <c r="B2372" s="46" t="s">
        <v>3173</v>
      </c>
      <c r="C2372" s="46" t="s">
        <v>1287</v>
      </c>
      <c r="D2372" s="46" t="s">
        <v>17</v>
      </c>
      <c r="E2372" s="46" t="s">
        <v>13</v>
      </c>
      <c r="F2372" s="48">
        <v>95.5</v>
      </c>
    </row>
    <row r="2373">
      <c r="A2373" s="46" t="s">
        <v>71</v>
      </c>
      <c r="B2373" s="46" t="s">
        <v>3177</v>
      </c>
      <c r="C2373" s="46" t="s">
        <v>3178</v>
      </c>
      <c r="D2373" s="46" t="s">
        <v>18</v>
      </c>
      <c r="E2373" s="46" t="s">
        <v>13</v>
      </c>
      <c r="F2373" s="48">
        <v>81.0</v>
      </c>
    </row>
    <row r="2374">
      <c r="A2374" s="46" t="s">
        <v>71</v>
      </c>
      <c r="B2374" s="46" t="s">
        <v>3187</v>
      </c>
      <c r="C2374" s="46" t="s">
        <v>1328</v>
      </c>
      <c r="D2374" s="46" t="s">
        <v>18</v>
      </c>
      <c r="E2374" s="46" t="s">
        <v>15</v>
      </c>
      <c r="F2374" s="48">
        <v>90.2</v>
      </c>
    </row>
    <row r="2375">
      <c r="A2375" s="46" t="s">
        <v>71</v>
      </c>
      <c r="B2375" s="46" t="s">
        <v>3189</v>
      </c>
      <c r="C2375" s="46" t="s">
        <v>1334</v>
      </c>
      <c r="D2375" s="46" t="s">
        <v>18</v>
      </c>
      <c r="E2375" s="46" t="s">
        <v>14</v>
      </c>
      <c r="F2375" s="48">
        <v>87.3</v>
      </c>
    </row>
    <row r="2376">
      <c r="A2376" s="46" t="s">
        <v>71</v>
      </c>
      <c r="B2376" s="46" t="s">
        <v>3193</v>
      </c>
      <c r="C2376" s="46" t="s">
        <v>3194</v>
      </c>
      <c r="D2376" s="46" t="s">
        <v>18</v>
      </c>
      <c r="E2376" s="46" t="s">
        <v>13</v>
      </c>
      <c r="F2376" s="48">
        <v>75.8</v>
      </c>
    </row>
    <row r="2377">
      <c r="A2377" s="46" t="s">
        <v>71</v>
      </c>
      <c r="B2377" s="46" t="s">
        <v>3196</v>
      </c>
      <c r="C2377" s="46" t="s">
        <v>1356</v>
      </c>
      <c r="D2377" s="46" t="s">
        <v>18</v>
      </c>
      <c r="E2377" s="46" t="s">
        <v>14</v>
      </c>
      <c r="F2377" s="48">
        <v>99.9</v>
      </c>
    </row>
    <row r="2378">
      <c r="A2378" s="46" t="s">
        <v>71</v>
      </c>
      <c r="B2378" s="46" t="s">
        <v>3198</v>
      </c>
      <c r="C2378" s="46" t="s">
        <v>1337</v>
      </c>
      <c r="D2378" s="46" t="s">
        <v>18</v>
      </c>
      <c r="E2378" s="46" t="s">
        <v>14</v>
      </c>
      <c r="F2378" s="48">
        <v>89.0</v>
      </c>
    </row>
    <row r="2379">
      <c r="A2379" s="46" t="s">
        <v>71</v>
      </c>
      <c r="B2379" s="46" t="s">
        <v>3200</v>
      </c>
      <c r="C2379" s="46" t="s">
        <v>3178</v>
      </c>
      <c r="D2379" s="46" t="s">
        <v>18</v>
      </c>
      <c r="E2379" s="46" t="s">
        <v>13</v>
      </c>
      <c r="F2379" s="48">
        <v>80.5</v>
      </c>
    </row>
    <row r="2380">
      <c r="A2380" s="46" t="s">
        <v>71</v>
      </c>
      <c r="B2380" s="46" t="s">
        <v>3211</v>
      </c>
      <c r="C2380" s="46" t="s">
        <v>1334</v>
      </c>
      <c r="D2380" s="46" t="s">
        <v>17</v>
      </c>
      <c r="E2380" s="46" t="s">
        <v>13</v>
      </c>
      <c r="F2380" s="48">
        <v>85.4</v>
      </c>
    </row>
    <row r="2381">
      <c r="A2381" s="46" t="s">
        <v>71</v>
      </c>
      <c r="B2381" s="46" t="s">
        <v>3213</v>
      </c>
      <c r="C2381" s="46" t="s">
        <v>3214</v>
      </c>
      <c r="D2381" s="46" t="s">
        <v>18</v>
      </c>
      <c r="E2381" s="46" t="s">
        <v>13</v>
      </c>
      <c r="F2381" s="48">
        <v>93.9</v>
      </c>
    </row>
    <row r="2382">
      <c r="A2382" s="46" t="s">
        <v>71</v>
      </c>
      <c r="B2382" s="46" t="s">
        <v>3216</v>
      </c>
      <c r="C2382" s="46" t="s">
        <v>3217</v>
      </c>
      <c r="D2382" s="46" t="s">
        <v>18</v>
      </c>
      <c r="E2382" s="46" t="s">
        <v>13</v>
      </c>
      <c r="F2382" s="48">
        <v>78.4</v>
      </c>
    </row>
    <row r="2383">
      <c r="A2383" s="46" t="s">
        <v>71</v>
      </c>
      <c r="B2383" s="46" t="s">
        <v>3219</v>
      </c>
      <c r="C2383" s="46" t="s">
        <v>3220</v>
      </c>
      <c r="D2383" s="46" t="s">
        <v>18</v>
      </c>
      <c r="E2383" s="46" t="s">
        <v>14</v>
      </c>
      <c r="F2383" s="48">
        <v>101.7</v>
      </c>
    </row>
    <row r="2384">
      <c r="A2384" s="46" t="s">
        <v>71</v>
      </c>
      <c r="B2384" s="46" t="s">
        <v>3222</v>
      </c>
      <c r="C2384" s="46" t="s">
        <v>1340</v>
      </c>
      <c r="D2384" s="46" t="s">
        <v>17</v>
      </c>
      <c r="E2384" s="46" t="s">
        <v>13</v>
      </c>
      <c r="F2384" s="48">
        <v>101.5</v>
      </c>
    </row>
    <row r="2385">
      <c r="A2385" s="46" t="s">
        <v>393</v>
      </c>
      <c r="B2385" s="46" t="s">
        <v>3237</v>
      </c>
      <c r="C2385" s="46" t="s">
        <v>3238</v>
      </c>
      <c r="D2385" s="46" t="s">
        <v>18</v>
      </c>
      <c r="E2385" s="46" t="s">
        <v>13</v>
      </c>
      <c r="F2385" s="48">
        <v>90.9</v>
      </c>
    </row>
    <row r="2386">
      <c r="A2386" s="46" t="s">
        <v>333</v>
      </c>
      <c r="B2386" s="46" t="s">
        <v>3243</v>
      </c>
      <c r="C2386" s="46" t="s">
        <v>3244</v>
      </c>
      <c r="D2386" s="46" t="s">
        <v>18</v>
      </c>
      <c r="E2386" s="46" t="s">
        <v>14</v>
      </c>
      <c r="F2386" s="48">
        <v>96.6</v>
      </c>
    </row>
    <row r="2387">
      <c r="A2387" s="46" t="s">
        <v>333</v>
      </c>
      <c r="B2387" s="46" t="s">
        <v>3246</v>
      </c>
      <c r="C2387" s="46" t="s">
        <v>3247</v>
      </c>
      <c r="D2387" s="46" t="s">
        <v>18</v>
      </c>
      <c r="E2387" s="46" t="s">
        <v>13</v>
      </c>
      <c r="F2387" s="48">
        <v>86.6</v>
      </c>
    </row>
    <row r="2388">
      <c r="A2388" s="46" t="s">
        <v>333</v>
      </c>
      <c r="B2388" s="46" t="s">
        <v>3253</v>
      </c>
      <c r="C2388" s="46" t="s">
        <v>3254</v>
      </c>
      <c r="D2388" s="46" t="s">
        <v>18</v>
      </c>
      <c r="E2388" s="46" t="s">
        <v>13</v>
      </c>
      <c r="F2388" s="48">
        <v>82.8</v>
      </c>
    </row>
    <row r="2389">
      <c r="A2389" s="46" t="s">
        <v>333</v>
      </c>
      <c r="B2389" s="46" t="s">
        <v>3256</v>
      </c>
      <c r="C2389" s="46" t="s">
        <v>3247</v>
      </c>
      <c r="D2389" s="46" t="s">
        <v>17</v>
      </c>
      <c r="E2389" s="46" t="s">
        <v>13</v>
      </c>
      <c r="F2389" s="48">
        <v>97.2</v>
      </c>
    </row>
    <row r="2390">
      <c r="A2390" s="46" t="s">
        <v>779</v>
      </c>
      <c r="B2390" s="46" t="s">
        <v>3258</v>
      </c>
      <c r="C2390" s="46" t="s">
        <v>3259</v>
      </c>
      <c r="D2390" s="46" t="s">
        <v>18</v>
      </c>
      <c r="E2390" s="46" t="s">
        <v>13</v>
      </c>
      <c r="F2390" s="48">
        <v>81.3</v>
      </c>
    </row>
    <row r="2391">
      <c r="A2391" s="46" t="s">
        <v>779</v>
      </c>
      <c r="B2391" s="46" t="s">
        <v>3264</v>
      </c>
      <c r="C2391" s="46" t="s">
        <v>3265</v>
      </c>
      <c r="D2391" s="46" t="s">
        <v>18</v>
      </c>
      <c r="E2391" s="46" t="s">
        <v>14</v>
      </c>
      <c r="F2391" s="48">
        <v>93.8</v>
      </c>
    </row>
    <row r="2392">
      <c r="A2392" s="46" t="s">
        <v>779</v>
      </c>
      <c r="B2392" s="46" t="s">
        <v>3268</v>
      </c>
      <c r="C2392" s="46" t="s">
        <v>3269</v>
      </c>
      <c r="D2392" s="46" t="s">
        <v>18</v>
      </c>
      <c r="E2392" s="46" t="s">
        <v>14</v>
      </c>
      <c r="F2392" s="48">
        <v>100.5</v>
      </c>
    </row>
    <row r="2393">
      <c r="A2393" s="46" t="s">
        <v>779</v>
      </c>
      <c r="B2393" s="46" t="s">
        <v>3277</v>
      </c>
      <c r="C2393" s="46" t="s">
        <v>3278</v>
      </c>
      <c r="D2393" s="46" t="s">
        <v>17</v>
      </c>
      <c r="E2393" s="46" t="s">
        <v>14</v>
      </c>
      <c r="F2393" s="48">
        <v>100.4</v>
      </c>
    </row>
    <row r="2394">
      <c r="A2394" s="46" t="s">
        <v>161</v>
      </c>
      <c r="B2394" s="46" t="s">
        <v>3284</v>
      </c>
      <c r="C2394" s="46" t="s">
        <v>3285</v>
      </c>
      <c r="D2394" s="46" t="s">
        <v>18</v>
      </c>
      <c r="E2394" s="46" t="s">
        <v>13</v>
      </c>
      <c r="F2394" s="48">
        <v>87.4</v>
      </c>
    </row>
    <row r="2395">
      <c r="A2395" s="46" t="s">
        <v>161</v>
      </c>
      <c r="B2395" s="46" t="s">
        <v>3290</v>
      </c>
      <c r="C2395" s="46" t="s">
        <v>3291</v>
      </c>
      <c r="D2395" s="46" t="s">
        <v>18</v>
      </c>
      <c r="E2395" s="46" t="s">
        <v>13</v>
      </c>
      <c r="F2395" s="48">
        <v>92.1</v>
      </c>
    </row>
    <row r="2396">
      <c r="A2396" s="46" t="s">
        <v>161</v>
      </c>
      <c r="B2396" s="46" t="s">
        <v>3295</v>
      </c>
      <c r="C2396" s="46" t="s">
        <v>3296</v>
      </c>
      <c r="D2396" s="46" t="s">
        <v>18</v>
      </c>
      <c r="E2396" s="46" t="s">
        <v>14</v>
      </c>
      <c r="F2396" s="48">
        <v>98.3</v>
      </c>
    </row>
    <row r="2397">
      <c r="A2397" s="46" t="s">
        <v>161</v>
      </c>
      <c r="B2397" s="46" t="s">
        <v>3298</v>
      </c>
      <c r="C2397" s="46" t="s">
        <v>1425</v>
      </c>
      <c r="D2397" s="46" t="s">
        <v>18</v>
      </c>
      <c r="E2397" s="46" t="s">
        <v>13</v>
      </c>
      <c r="F2397" s="48">
        <v>97.3</v>
      </c>
    </row>
    <row r="2398">
      <c r="A2398" s="46" t="s">
        <v>161</v>
      </c>
      <c r="B2398" s="46" t="s">
        <v>3300</v>
      </c>
      <c r="C2398" s="46" t="s">
        <v>3301</v>
      </c>
      <c r="D2398" s="46" t="s">
        <v>18</v>
      </c>
      <c r="E2398" s="46" t="s">
        <v>13</v>
      </c>
      <c r="F2398" s="48">
        <v>95.2</v>
      </c>
    </row>
    <row r="2399">
      <c r="A2399" s="46" t="s">
        <v>161</v>
      </c>
      <c r="B2399" s="46" t="s">
        <v>3303</v>
      </c>
      <c r="C2399" s="46" t="s">
        <v>1428</v>
      </c>
      <c r="D2399" s="46" t="s">
        <v>18</v>
      </c>
      <c r="E2399" s="46" t="s">
        <v>13</v>
      </c>
      <c r="F2399" s="48">
        <v>87.0</v>
      </c>
    </row>
    <row r="2400">
      <c r="A2400" s="46" t="s">
        <v>161</v>
      </c>
      <c r="B2400" s="46" t="s">
        <v>3305</v>
      </c>
      <c r="C2400" s="46" t="s">
        <v>3306</v>
      </c>
      <c r="D2400" s="46" t="s">
        <v>17</v>
      </c>
      <c r="E2400" s="46" t="s">
        <v>13</v>
      </c>
      <c r="F2400" s="48">
        <v>101.4</v>
      </c>
    </row>
    <row r="2401">
      <c r="A2401" s="46" t="s">
        <v>161</v>
      </c>
      <c r="B2401" s="46" t="s">
        <v>2316</v>
      </c>
      <c r="C2401" s="46" t="s">
        <v>3296</v>
      </c>
      <c r="D2401" s="46" t="s">
        <v>18</v>
      </c>
      <c r="E2401" s="46" t="s">
        <v>14</v>
      </c>
      <c r="F2401" s="48">
        <v>102.7</v>
      </c>
    </row>
    <row r="2402">
      <c r="A2402" s="46" t="s">
        <v>1441</v>
      </c>
      <c r="B2402" s="46" t="s">
        <v>3316</v>
      </c>
      <c r="C2402" s="46" t="s">
        <v>1474</v>
      </c>
      <c r="D2402" s="46" t="s">
        <v>18</v>
      </c>
      <c r="E2402" s="46" t="s">
        <v>14</v>
      </c>
      <c r="F2402" s="48">
        <v>103.0</v>
      </c>
    </row>
    <row r="2403">
      <c r="A2403" s="46" t="s">
        <v>1441</v>
      </c>
      <c r="B2403" s="46" t="s">
        <v>3322</v>
      </c>
      <c r="C2403" s="46" t="s">
        <v>1498</v>
      </c>
      <c r="D2403" s="46" t="s">
        <v>18</v>
      </c>
      <c r="E2403" s="46" t="s">
        <v>14</v>
      </c>
      <c r="F2403" s="48">
        <v>91.3</v>
      </c>
    </row>
    <row r="2404">
      <c r="A2404" s="46" t="s">
        <v>1441</v>
      </c>
      <c r="B2404" s="46" t="s">
        <v>3333</v>
      </c>
      <c r="C2404" s="46" t="s">
        <v>3331</v>
      </c>
      <c r="D2404" s="46" t="s">
        <v>18</v>
      </c>
      <c r="E2404" s="46" t="s">
        <v>15</v>
      </c>
      <c r="F2404" s="48">
        <v>90.4</v>
      </c>
    </row>
    <row r="2405">
      <c r="A2405" s="46" t="s">
        <v>1441</v>
      </c>
      <c r="B2405" s="46" t="s">
        <v>3337</v>
      </c>
      <c r="C2405" s="46" t="s">
        <v>1501</v>
      </c>
      <c r="D2405" s="46" t="s">
        <v>18</v>
      </c>
      <c r="E2405" s="46" t="s">
        <v>14</v>
      </c>
      <c r="F2405" s="48">
        <v>93.6</v>
      </c>
    </row>
    <row r="2406">
      <c r="A2406" s="46" t="s">
        <v>1441</v>
      </c>
      <c r="B2406" s="46" t="s">
        <v>3339</v>
      </c>
      <c r="C2406" s="46" t="s">
        <v>1501</v>
      </c>
      <c r="D2406" s="46" t="s">
        <v>18</v>
      </c>
      <c r="E2406" s="46" t="s">
        <v>15</v>
      </c>
      <c r="F2406" s="48">
        <v>95.5</v>
      </c>
    </row>
    <row r="2407">
      <c r="A2407" s="46" t="s">
        <v>1441</v>
      </c>
      <c r="B2407" s="46" t="s">
        <v>3341</v>
      </c>
      <c r="C2407" s="46" t="s">
        <v>1471</v>
      </c>
      <c r="D2407" s="46" t="s">
        <v>18</v>
      </c>
      <c r="E2407" s="46" t="s">
        <v>15</v>
      </c>
      <c r="F2407" s="48">
        <v>98.4</v>
      </c>
    </row>
    <row r="2408">
      <c r="A2408" s="46" t="s">
        <v>1441</v>
      </c>
      <c r="B2408" s="46" t="s">
        <v>3347</v>
      </c>
      <c r="C2408" s="46" t="s">
        <v>1463</v>
      </c>
      <c r="D2408" s="46" t="s">
        <v>18</v>
      </c>
      <c r="E2408" s="46" t="s">
        <v>13</v>
      </c>
      <c r="F2408" s="48">
        <v>81.2</v>
      </c>
    </row>
    <row r="2409">
      <c r="A2409" s="46" t="s">
        <v>1441</v>
      </c>
      <c r="B2409" s="46" t="s">
        <v>3349</v>
      </c>
      <c r="C2409" s="46" t="s">
        <v>3350</v>
      </c>
      <c r="D2409" s="46" t="s">
        <v>18</v>
      </c>
      <c r="E2409" s="46" t="s">
        <v>13</v>
      </c>
      <c r="F2409" s="48">
        <v>80.0</v>
      </c>
    </row>
    <row r="2410">
      <c r="A2410" s="46" t="s">
        <v>1441</v>
      </c>
      <c r="B2410" s="46" t="s">
        <v>3352</v>
      </c>
      <c r="C2410" s="46" t="s">
        <v>1477</v>
      </c>
      <c r="D2410" s="46" t="s">
        <v>18</v>
      </c>
      <c r="E2410" s="46" t="s">
        <v>14</v>
      </c>
      <c r="F2410" s="48">
        <v>89.3</v>
      </c>
    </row>
    <row r="2411">
      <c r="A2411" s="46" t="s">
        <v>1441</v>
      </c>
      <c r="B2411" s="46" t="s">
        <v>3374</v>
      </c>
      <c r="C2411" s="46" t="s">
        <v>3362</v>
      </c>
      <c r="D2411" s="46" t="s">
        <v>17</v>
      </c>
      <c r="E2411" s="46" t="s">
        <v>15</v>
      </c>
      <c r="F2411" s="48">
        <v>102.8</v>
      </c>
    </row>
    <row r="2412">
      <c r="A2412" s="46" t="s">
        <v>269</v>
      </c>
      <c r="B2412" s="46" t="s">
        <v>985</v>
      </c>
      <c r="C2412" s="46" t="s">
        <v>3382</v>
      </c>
      <c r="D2412" s="46" t="s">
        <v>18</v>
      </c>
      <c r="E2412" s="46" t="s">
        <v>13</v>
      </c>
      <c r="F2412" s="48">
        <v>84.7</v>
      </c>
    </row>
    <row r="2413">
      <c r="A2413" s="46" t="s">
        <v>269</v>
      </c>
      <c r="B2413" s="46" t="s">
        <v>3384</v>
      </c>
      <c r="C2413" s="46" t="s">
        <v>1529</v>
      </c>
      <c r="D2413" s="46" t="s">
        <v>18</v>
      </c>
      <c r="E2413" s="46" t="s">
        <v>13</v>
      </c>
      <c r="F2413" s="48">
        <v>83.2</v>
      </c>
    </row>
    <row r="2414">
      <c r="A2414" s="46" t="s">
        <v>269</v>
      </c>
      <c r="B2414" s="46" t="s">
        <v>3388</v>
      </c>
      <c r="C2414" s="46" t="s">
        <v>1515</v>
      </c>
      <c r="D2414" s="46" t="s">
        <v>18</v>
      </c>
      <c r="E2414" s="46" t="s">
        <v>14</v>
      </c>
      <c r="F2414" s="48">
        <v>82.0</v>
      </c>
    </row>
    <row r="2415">
      <c r="A2415" s="46" t="s">
        <v>269</v>
      </c>
      <c r="B2415" s="46" t="s">
        <v>3395</v>
      </c>
      <c r="C2415" s="46" t="s">
        <v>1515</v>
      </c>
      <c r="D2415" s="46" t="s">
        <v>18</v>
      </c>
      <c r="E2415" s="46" t="s">
        <v>15</v>
      </c>
      <c r="F2415" s="48">
        <v>92.9</v>
      </c>
    </row>
    <row r="2416">
      <c r="A2416" s="46" t="s">
        <v>269</v>
      </c>
      <c r="B2416" s="46" t="s">
        <v>3397</v>
      </c>
      <c r="C2416" s="46" t="s">
        <v>1534</v>
      </c>
      <c r="D2416" s="46" t="s">
        <v>17</v>
      </c>
      <c r="E2416" s="46" t="s">
        <v>14</v>
      </c>
      <c r="F2416" s="48">
        <v>100.2</v>
      </c>
    </row>
    <row r="2417">
      <c r="A2417" s="46" t="s">
        <v>269</v>
      </c>
      <c r="B2417" s="46" t="s">
        <v>3399</v>
      </c>
      <c r="C2417" s="46" t="s">
        <v>1521</v>
      </c>
      <c r="D2417" s="46" t="s">
        <v>17</v>
      </c>
      <c r="E2417" s="46" t="s">
        <v>13</v>
      </c>
      <c r="F2417" s="48">
        <v>96.5</v>
      </c>
    </row>
    <row r="2418">
      <c r="A2418" s="46" t="s">
        <v>269</v>
      </c>
      <c r="B2418" s="46" t="s">
        <v>848</v>
      </c>
      <c r="C2418" s="46" t="s">
        <v>3403</v>
      </c>
      <c r="D2418" s="46" t="s">
        <v>17</v>
      </c>
      <c r="E2418" s="46" t="s">
        <v>14</v>
      </c>
      <c r="F2418" s="48">
        <v>98.0</v>
      </c>
    </row>
    <row r="2419">
      <c r="A2419" s="46" t="s">
        <v>269</v>
      </c>
      <c r="B2419" s="46" t="s">
        <v>3408</v>
      </c>
      <c r="C2419" s="46" t="s">
        <v>1534</v>
      </c>
      <c r="D2419" s="46" t="s">
        <v>18</v>
      </c>
      <c r="E2419" s="46" t="s">
        <v>13</v>
      </c>
      <c r="F2419" s="48">
        <v>77.9</v>
      </c>
    </row>
    <row r="2420">
      <c r="A2420" s="46" t="s">
        <v>1545</v>
      </c>
      <c r="B2420" s="46" t="s">
        <v>3413</v>
      </c>
      <c r="C2420" s="46" t="s">
        <v>3414</v>
      </c>
      <c r="D2420" s="46" t="s">
        <v>18</v>
      </c>
      <c r="E2420" s="46" t="s">
        <v>14</v>
      </c>
      <c r="F2420" s="48">
        <v>102.2</v>
      </c>
    </row>
    <row r="2421">
      <c r="A2421" s="46" t="s">
        <v>1545</v>
      </c>
      <c r="B2421" s="46" t="s">
        <v>3420</v>
      </c>
      <c r="C2421" s="46" t="s">
        <v>3421</v>
      </c>
      <c r="D2421" s="46" t="s">
        <v>18</v>
      </c>
      <c r="E2421" s="46" t="s">
        <v>14</v>
      </c>
      <c r="F2421" s="48">
        <v>94.2</v>
      </c>
    </row>
    <row r="2422">
      <c r="A2422" s="46" t="s">
        <v>1545</v>
      </c>
      <c r="B2422" s="46" t="s">
        <v>3423</v>
      </c>
      <c r="C2422" s="46" t="s">
        <v>3424</v>
      </c>
      <c r="D2422" s="46" t="s">
        <v>18</v>
      </c>
      <c r="E2422" s="46" t="s">
        <v>13</v>
      </c>
      <c r="F2422" s="48">
        <v>91.2</v>
      </c>
    </row>
    <row r="2423">
      <c r="A2423" s="46" t="s">
        <v>1545</v>
      </c>
      <c r="B2423" s="46" t="s">
        <v>3426</v>
      </c>
      <c r="C2423" s="46" t="s">
        <v>3427</v>
      </c>
      <c r="D2423" s="46" t="s">
        <v>18</v>
      </c>
      <c r="E2423" s="46" t="s">
        <v>14</v>
      </c>
      <c r="F2423" s="48">
        <v>101.1</v>
      </c>
    </row>
    <row r="2424">
      <c r="A2424" s="46" t="s">
        <v>1545</v>
      </c>
      <c r="B2424" s="46" t="s">
        <v>3436</v>
      </c>
      <c r="C2424" s="46" t="s">
        <v>3437</v>
      </c>
      <c r="D2424" s="46" t="s">
        <v>18</v>
      </c>
      <c r="E2424" s="46" t="s">
        <v>14</v>
      </c>
      <c r="F2424" s="48">
        <v>89.2</v>
      </c>
    </row>
    <row r="2425">
      <c r="A2425" s="46" t="s">
        <v>1545</v>
      </c>
      <c r="B2425" s="46" t="s">
        <v>3439</v>
      </c>
      <c r="C2425" s="46" t="s">
        <v>3440</v>
      </c>
      <c r="D2425" s="46" t="s">
        <v>18</v>
      </c>
      <c r="E2425" s="46" t="s">
        <v>14</v>
      </c>
      <c r="F2425" s="48">
        <v>80.9</v>
      </c>
    </row>
    <row r="2426">
      <c r="A2426" s="46" t="s">
        <v>1579</v>
      </c>
      <c r="B2426" s="46" t="s">
        <v>3451</v>
      </c>
      <c r="C2426" s="46" t="s">
        <v>3452</v>
      </c>
      <c r="D2426" s="46" t="s">
        <v>18</v>
      </c>
      <c r="E2426" s="46" t="s">
        <v>15</v>
      </c>
      <c r="F2426" s="48">
        <v>103.6</v>
      </c>
    </row>
    <row r="2427">
      <c r="A2427" s="46" t="s">
        <v>1579</v>
      </c>
      <c r="B2427" s="46" t="s">
        <v>3464</v>
      </c>
      <c r="C2427" s="46" t="s">
        <v>1615</v>
      </c>
      <c r="D2427" s="46" t="s">
        <v>18</v>
      </c>
      <c r="E2427" s="46" t="s">
        <v>13</v>
      </c>
      <c r="F2427" s="48">
        <v>92.1</v>
      </c>
    </row>
    <row r="2428">
      <c r="A2428" s="46" t="s">
        <v>1579</v>
      </c>
      <c r="B2428" s="46" t="s">
        <v>3476</v>
      </c>
      <c r="C2428" s="46" t="s">
        <v>3467</v>
      </c>
      <c r="D2428" s="46" t="s">
        <v>18</v>
      </c>
      <c r="E2428" s="46" t="s">
        <v>14</v>
      </c>
      <c r="F2428" s="48">
        <v>87.3</v>
      </c>
    </row>
    <row r="2429">
      <c r="A2429" s="46" t="s">
        <v>284</v>
      </c>
      <c r="B2429" s="46" t="s">
        <v>3484</v>
      </c>
      <c r="C2429" s="46" t="s">
        <v>1627</v>
      </c>
      <c r="D2429" s="46" t="s">
        <v>18</v>
      </c>
      <c r="E2429" s="46" t="s">
        <v>13</v>
      </c>
      <c r="F2429" s="48">
        <v>80.4</v>
      </c>
    </row>
    <row r="2430">
      <c r="A2430" s="46" t="s">
        <v>284</v>
      </c>
      <c r="B2430" s="46" t="s">
        <v>2149</v>
      </c>
      <c r="C2430" s="46" t="s">
        <v>1632</v>
      </c>
      <c r="D2430" s="46" t="s">
        <v>17</v>
      </c>
      <c r="E2430" s="46" t="s">
        <v>14</v>
      </c>
      <c r="F2430" s="48">
        <v>101.6</v>
      </c>
    </row>
    <row r="2431">
      <c r="A2431" s="46" t="s">
        <v>88</v>
      </c>
      <c r="B2431" s="46" t="s">
        <v>3487</v>
      </c>
      <c r="C2431" s="46" t="s">
        <v>3488</v>
      </c>
      <c r="D2431" s="46" t="s">
        <v>18</v>
      </c>
      <c r="E2431" s="46" t="s">
        <v>15</v>
      </c>
      <c r="F2431" s="48">
        <v>103.6</v>
      </c>
    </row>
    <row r="2432">
      <c r="A2432" s="46" t="s">
        <v>88</v>
      </c>
      <c r="B2432" s="46" t="s">
        <v>3490</v>
      </c>
      <c r="C2432" s="46" t="s">
        <v>3491</v>
      </c>
      <c r="D2432" s="46" t="s">
        <v>18</v>
      </c>
      <c r="E2432" s="46" t="s">
        <v>14</v>
      </c>
      <c r="F2432" s="48">
        <v>97.7</v>
      </c>
    </row>
    <row r="2433">
      <c r="A2433" s="46" t="s">
        <v>88</v>
      </c>
      <c r="B2433" s="46" t="s">
        <v>3493</v>
      </c>
      <c r="C2433" s="46" t="s">
        <v>1640</v>
      </c>
      <c r="D2433" s="46" t="s">
        <v>18</v>
      </c>
      <c r="E2433" s="46" t="s">
        <v>15</v>
      </c>
      <c r="F2433" s="48">
        <v>93.6</v>
      </c>
    </row>
    <row r="2434">
      <c r="A2434" s="46" t="s">
        <v>88</v>
      </c>
      <c r="B2434" s="46" t="s">
        <v>3495</v>
      </c>
      <c r="C2434" s="46" t="s">
        <v>88</v>
      </c>
      <c r="D2434" s="46" t="s">
        <v>18</v>
      </c>
      <c r="E2434" s="46" t="s">
        <v>13</v>
      </c>
      <c r="F2434" s="48">
        <v>78.0</v>
      </c>
    </row>
    <row r="2435">
      <c r="A2435" s="46" t="s">
        <v>88</v>
      </c>
      <c r="B2435" s="46" t="s">
        <v>3497</v>
      </c>
      <c r="C2435" s="46" t="s">
        <v>1640</v>
      </c>
      <c r="D2435" s="46" t="s">
        <v>18</v>
      </c>
      <c r="E2435" s="46" t="s">
        <v>13</v>
      </c>
      <c r="F2435" s="48">
        <v>75.6</v>
      </c>
    </row>
    <row r="2436">
      <c r="A2436" s="46" t="s">
        <v>88</v>
      </c>
      <c r="B2436" s="46" t="s">
        <v>3499</v>
      </c>
      <c r="C2436" s="46" t="s">
        <v>88</v>
      </c>
      <c r="D2436" s="46" t="s">
        <v>18</v>
      </c>
      <c r="E2436" s="46" t="s">
        <v>13</v>
      </c>
      <c r="F2436" s="48">
        <v>74.0</v>
      </c>
    </row>
    <row r="2437">
      <c r="A2437" s="46" t="s">
        <v>88</v>
      </c>
      <c r="B2437" s="46" t="s">
        <v>3505</v>
      </c>
      <c r="C2437" s="46" t="s">
        <v>88</v>
      </c>
      <c r="D2437" s="46" t="s">
        <v>17</v>
      </c>
      <c r="E2437" s="46" t="s">
        <v>13</v>
      </c>
      <c r="F2437" s="48">
        <v>96.9</v>
      </c>
    </row>
    <row r="2438">
      <c r="A2438" s="46" t="s">
        <v>182</v>
      </c>
      <c r="B2438" s="46" t="s">
        <v>3507</v>
      </c>
      <c r="C2438" s="46" t="s">
        <v>1659</v>
      </c>
      <c r="D2438" s="46" t="s">
        <v>18</v>
      </c>
      <c r="E2438" s="46" t="s">
        <v>13</v>
      </c>
      <c r="F2438" s="48">
        <v>79.2</v>
      </c>
    </row>
    <row r="2439">
      <c r="A2439" s="46" t="s">
        <v>182</v>
      </c>
      <c r="B2439" s="46" t="s">
        <v>3509</v>
      </c>
      <c r="C2439" s="46" t="s">
        <v>1659</v>
      </c>
      <c r="D2439" s="46" t="s">
        <v>18</v>
      </c>
      <c r="E2439" s="46" t="s">
        <v>14</v>
      </c>
      <c r="F2439" s="48">
        <v>88.5</v>
      </c>
    </row>
    <row r="2440">
      <c r="A2440" s="46" t="s">
        <v>182</v>
      </c>
      <c r="B2440" s="46" t="s">
        <v>3516</v>
      </c>
      <c r="C2440" s="46" t="s">
        <v>3517</v>
      </c>
      <c r="D2440" s="46" t="s">
        <v>18</v>
      </c>
      <c r="E2440" s="46" t="s">
        <v>14</v>
      </c>
      <c r="F2440" s="48">
        <v>92.2</v>
      </c>
    </row>
    <row r="2441">
      <c r="A2441" s="46" t="s">
        <v>182</v>
      </c>
      <c r="B2441" s="46" t="s">
        <v>3519</v>
      </c>
      <c r="C2441" s="46" t="s">
        <v>1674</v>
      </c>
      <c r="D2441" s="46" t="s">
        <v>17</v>
      </c>
      <c r="E2441" s="46" t="s">
        <v>13</v>
      </c>
      <c r="F2441" s="48">
        <v>100.5</v>
      </c>
    </row>
    <row r="2442">
      <c r="A2442" s="46" t="s">
        <v>134</v>
      </c>
      <c r="B2442" s="46" t="s">
        <v>3526</v>
      </c>
      <c r="C2442" s="46" t="s">
        <v>3527</v>
      </c>
      <c r="D2442" s="46" t="s">
        <v>17</v>
      </c>
      <c r="E2442" s="46" t="s">
        <v>13</v>
      </c>
      <c r="F2442" s="48">
        <v>97.9</v>
      </c>
    </row>
    <row r="2443">
      <c r="A2443" s="46" t="s">
        <v>134</v>
      </c>
      <c r="B2443" s="46" t="s">
        <v>218</v>
      </c>
      <c r="C2443" s="46" t="s">
        <v>3531</v>
      </c>
      <c r="D2443" s="46" t="s">
        <v>17</v>
      </c>
      <c r="E2443" s="46" t="s">
        <v>13</v>
      </c>
      <c r="F2443" s="48">
        <v>101.1</v>
      </c>
    </row>
    <row r="2444">
      <c r="A2444" s="46" t="s">
        <v>134</v>
      </c>
      <c r="B2444" s="46" t="s">
        <v>3533</v>
      </c>
      <c r="C2444" s="46" t="s">
        <v>3534</v>
      </c>
      <c r="D2444" s="46" t="s">
        <v>18</v>
      </c>
      <c r="E2444" s="46" t="s">
        <v>14</v>
      </c>
      <c r="F2444" s="48">
        <v>103.2</v>
      </c>
    </row>
    <row r="2445">
      <c r="A2445" s="46" t="s">
        <v>129</v>
      </c>
      <c r="B2445" s="46" t="s">
        <v>3548</v>
      </c>
      <c r="C2445" s="46" t="s">
        <v>1707</v>
      </c>
      <c r="D2445" s="46" t="s">
        <v>18</v>
      </c>
      <c r="E2445" s="46" t="s">
        <v>13</v>
      </c>
      <c r="F2445" s="48">
        <v>74.2</v>
      </c>
    </row>
    <row r="2446">
      <c r="A2446" s="46" t="s">
        <v>779</v>
      </c>
      <c r="B2446" s="46" t="s">
        <v>3558</v>
      </c>
      <c r="C2446" s="46" t="s">
        <v>3559</v>
      </c>
      <c r="D2446" s="46" t="s">
        <v>18</v>
      </c>
      <c r="E2446" s="46" t="s">
        <v>15</v>
      </c>
      <c r="F2446" s="48">
        <v>96.7</v>
      </c>
    </row>
    <row r="2447">
      <c r="A2447" s="46" t="s">
        <v>284</v>
      </c>
      <c r="B2447" s="46" t="s">
        <v>3577</v>
      </c>
      <c r="C2447" s="46" t="s">
        <v>1731</v>
      </c>
      <c r="D2447" s="46" t="s">
        <v>18</v>
      </c>
      <c r="E2447" s="46" t="s">
        <v>13</v>
      </c>
      <c r="F2447" s="48">
        <v>86.7</v>
      </c>
    </row>
    <row r="2448">
      <c r="A2448" s="46" t="s">
        <v>284</v>
      </c>
      <c r="B2448" s="46" t="s">
        <v>3580</v>
      </c>
      <c r="C2448" s="46" t="s">
        <v>284</v>
      </c>
      <c r="D2448" s="46" t="s">
        <v>18</v>
      </c>
      <c r="E2448" s="46" t="s">
        <v>15</v>
      </c>
      <c r="F2448" s="48">
        <v>103.0</v>
      </c>
    </row>
    <row r="2449">
      <c r="A2449" s="46" t="s">
        <v>284</v>
      </c>
      <c r="B2449" s="46" t="s">
        <v>3582</v>
      </c>
      <c r="C2449" s="46" t="s">
        <v>3583</v>
      </c>
      <c r="D2449" s="46" t="s">
        <v>18</v>
      </c>
      <c r="E2449" s="46" t="s">
        <v>13</v>
      </c>
      <c r="F2449" s="48">
        <v>86.1</v>
      </c>
    </row>
    <row r="2450">
      <c r="A2450" s="46" t="s">
        <v>322</v>
      </c>
      <c r="B2450" s="46" t="s">
        <v>3587</v>
      </c>
      <c r="C2450" s="46" t="s">
        <v>3588</v>
      </c>
      <c r="D2450" s="46" t="s">
        <v>18</v>
      </c>
      <c r="E2450" s="46" t="s">
        <v>13</v>
      </c>
      <c r="F2450" s="48">
        <v>84.6</v>
      </c>
    </row>
    <row r="2451">
      <c r="A2451" s="46" t="s">
        <v>930</v>
      </c>
      <c r="B2451" s="46" t="s">
        <v>3590</v>
      </c>
      <c r="C2451" s="46" t="s">
        <v>3591</v>
      </c>
      <c r="D2451" s="46" t="s">
        <v>18</v>
      </c>
      <c r="E2451" s="46" t="s">
        <v>13</v>
      </c>
      <c r="F2451" s="48">
        <v>82.7</v>
      </c>
    </row>
    <row r="2452">
      <c r="A2452" s="46" t="s">
        <v>930</v>
      </c>
      <c r="B2452" s="46" t="s">
        <v>595</v>
      </c>
      <c r="C2452" s="46" t="s">
        <v>1751</v>
      </c>
      <c r="D2452" s="46" t="s">
        <v>17</v>
      </c>
      <c r="E2452" s="46" t="s">
        <v>13</v>
      </c>
      <c r="F2452" s="48">
        <v>76.2</v>
      </c>
    </row>
    <row r="2453">
      <c r="A2453" s="46" t="s">
        <v>333</v>
      </c>
      <c r="B2453" s="46" t="s">
        <v>3607</v>
      </c>
      <c r="C2453" s="46" t="s">
        <v>1766</v>
      </c>
      <c r="D2453" s="46" t="s">
        <v>18</v>
      </c>
      <c r="E2453" s="46" t="s">
        <v>14</v>
      </c>
      <c r="F2453" s="48">
        <v>86.4</v>
      </c>
    </row>
    <row r="2454">
      <c r="A2454" s="46" t="s">
        <v>333</v>
      </c>
      <c r="B2454" s="46" t="s">
        <v>3609</v>
      </c>
      <c r="C2454" s="46" t="s">
        <v>1766</v>
      </c>
      <c r="D2454" s="46" t="s">
        <v>18</v>
      </c>
      <c r="E2454" s="46" t="s">
        <v>13</v>
      </c>
      <c r="F2454" s="48">
        <v>86.3</v>
      </c>
    </row>
    <row r="2455">
      <c r="A2455" s="46" t="s">
        <v>1579</v>
      </c>
      <c r="B2455" s="46" t="s">
        <v>3611</v>
      </c>
      <c r="C2455" s="46" t="s">
        <v>3612</v>
      </c>
      <c r="D2455" s="46" t="s">
        <v>18</v>
      </c>
      <c r="E2455" s="46" t="s">
        <v>14</v>
      </c>
      <c r="F2455" s="48">
        <v>98.5</v>
      </c>
    </row>
    <row r="2456">
      <c r="A2456" s="46" t="s">
        <v>1579</v>
      </c>
      <c r="B2456" s="46" t="s">
        <v>3640</v>
      </c>
      <c r="C2456" s="46" t="s">
        <v>3641</v>
      </c>
      <c r="D2456" s="46" t="s">
        <v>18</v>
      </c>
      <c r="E2456" s="46" t="s">
        <v>13</v>
      </c>
      <c r="F2456" s="48">
        <v>87.0</v>
      </c>
    </row>
    <row r="2457">
      <c r="A2457" s="46" t="s">
        <v>1579</v>
      </c>
      <c r="B2457" s="46" t="s">
        <v>3643</v>
      </c>
      <c r="C2457" s="46" t="s">
        <v>1827</v>
      </c>
      <c r="D2457" s="46" t="s">
        <v>18</v>
      </c>
      <c r="E2457" s="46" t="s">
        <v>13</v>
      </c>
      <c r="F2457" s="48">
        <v>98.1</v>
      </c>
    </row>
    <row r="2458">
      <c r="A2458" s="46" t="s">
        <v>1579</v>
      </c>
      <c r="B2458" s="46" t="s">
        <v>3657</v>
      </c>
      <c r="C2458" s="46" t="s">
        <v>3658</v>
      </c>
      <c r="D2458" s="46" t="s">
        <v>18</v>
      </c>
      <c r="E2458" s="46" t="s">
        <v>13</v>
      </c>
      <c r="F2458" s="48">
        <v>74.2</v>
      </c>
    </row>
    <row r="2459">
      <c r="A2459" s="46" t="s">
        <v>1579</v>
      </c>
      <c r="B2459" s="46" t="s">
        <v>2429</v>
      </c>
      <c r="C2459" s="46" t="s">
        <v>3664</v>
      </c>
      <c r="D2459" s="46" t="s">
        <v>18</v>
      </c>
      <c r="E2459" s="46" t="s">
        <v>13</v>
      </c>
      <c r="F2459" s="48">
        <v>86.6</v>
      </c>
    </row>
    <row r="2460">
      <c r="A2460" s="46" t="s">
        <v>1545</v>
      </c>
      <c r="B2460" s="46" t="s">
        <v>3669</v>
      </c>
      <c r="C2460" s="46" t="s">
        <v>3670</v>
      </c>
      <c r="D2460" s="46" t="s">
        <v>18</v>
      </c>
      <c r="E2460" s="46" t="s">
        <v>15</v>
      </c>
      <c r="F2460" s="48">
        <v>87.1</v>
      </c>
    </row>
    <row r="2461">
      <c r="A2461" s="46" t="s">
        <v>1545</v>
      </c>
      <c r="B2461" s="46" t="s">
        <v>3672</v>
      </c>
      <c r="C2461" s="46" t="s">
        <v>1855</v>
      </c>
      <c r="D2461" s="46" t="s">
        <v>18</v>
      </c>
      <c r="E2461" s="46" t="s">
        <v>15</v>
      </c>
      <c r="F2461" s="48">
        <v>99.5</v>
      </c>
    </row>
    <row r="2462">
      <c r="A2462" s="46" t="s">
        <v>1545</v>
      </c>
      <c r="B2462" s="46" t="s">
        <v>3674</v>
      </c>
      <c r="C2462" s="46" t="s">
        <v>1858</v>
      </c>
      <c r="D2462" s="46" t="s">
        <v>18</v>
      </c>
      <c r="E2462" s="46" t="s">
        <v>15</v>
      </c>
      <c r="F2462" s="48">
        <v>81.3</v>
      </c>
    </row>
    <row r="2463">
      <c r="A2463" s="46" t="s">
        <v>1545</v>
      </c>
      <c r="B2463" s="46" t="s">
        <v>3676</v>
      </c>
      <c r="C2463" s="46" t="s">
        <v>1855</v>
      </c>
      <c r="D2463" s="46" t="s">
        <v>18</v>
      </c>
      <c r="E2463" s="46" t="s">
        <v>13</v>
      </c>
      <c r="F2463" s="48">
        <v>83.7</v>
      </c>
    </row>
    <row r="2464">
      <c r="A2464" s="46" t="s">
        <v>1545</v>
      </c>
      <c r="B2464" s="46" t="s">
        <v>3680</v>
      </c>
      <c r="C2464" s="46" t="s">
        <v>1861</v>
      </c>
      <c r="D2464" s="46" t="s">
        <v>18</v>
      </c>
      <c r="E2464" s="46" t="s">
        <v>14</v>
      </c>
      <c r="F2464" s="48">
        <v>79.2</v>
      </c>
    </row>
    <row r="2465">
      <c r="A2465" s="46" t="s">
        <v>1545</v>
      </c>
      <c r="B2465" s="46" t="s">
        <v>3684</v>
      </c>
      <c r="C2465" s="46" t="s">
        <v>1877</v>
      </c>
      <c r="D2465" s="46" t="s">
        <v>18</v>
      </c>
      <c r="E2465" s="46" t="s">
        <v>13</v>
      </c>
      <c r="F2465" s="48">
        <v>78.4</v>
      </c>
    </row>
    <row r="2466">
      <c r="A2466" s="46" t="s">
        <v>1545</v>
      </c>
      <c r="B2466" s="46" t="s">
        <v>3689</v>
      </c>
      <c r="C2466" s="46" t="s">
        <v>3690</v>
      </c>
      <c r="D2466" s="46" t="s">
        <v>18</v>
      </c>
      <c r="E2466" s="46" t="s">
        <v>14</v>
      </c>
      <c r="F2466" s="48">
        <v>91.6</v>
      </c>
    </row>
    <row r="2467">
      <c r="A2467" s="46" t="s">
        <v>1545</v>
      </c>
      <c r="B2467" s="46" t="s">
        <v>3692</v>
      </c>
      <c r="C2467" s="46" t="s">
        <v>1880</v>
      </c>
      <c r="D2467" s="46" t="s">
        <v>18</v>
      </c>
      <c r="E2467" s="46" t="s">
        <v>14</v>
      </c>
      <c r="F2467" s="48">
        <v>71.2</v>
      </c>
    </row>
    <row r="2468">
      <c r="A2468" s="46" t="s">
        <v>1545</v>
      </c>
      <c r="B2468" s="46" t="s">
        <v>3694</v>
      </c>
      <c r="C2468" s="46" t="s">
        <v>3695</v>
      </c>
      <c r="D2468" s="46" t="s">
        <v>18</v>
      </c>
      <c r="E2468" s="46" t="s">
        <v>14</v>
      </c>
      <c r="F2468" s="48">
        <v>77.5</v>
      </c>
    </row>
    <row r="2469">
      <c r="A2469" s="46" t="s">
        <v>1545</v>
      </c>
      <c r="B2469" s="46" t="s">
        <v>3700</v>
      </c>
      <c r="C2469" s="46" t="s">
        <v>1855</v>
      </c>
      <c r="D2469" s="46" t="s">
        <v>18</v>
      </c>
      <c r="E2469" s="46" t="s">
        <v>14</v>
      </c>
      <c r="F2469" s="48">
        <v>91.6</v>
      </c>
    </row>
    <row r="2470">
      <c r="A2470" s="46" t="s">
        <v>1545</v>
      </c>
      <c r="B2470" s="46" t="s">
        <v>3702</v>
      </c>
      <c r="C2470" s="46" t="s">
        <v>3703</v>
      </c>
      <c r="D2470" s="46" t="s">
        <v>18</v>
      </c>
      <c r="E2470" s="46" t="s">
        <v>14</v>
      </c>
      <c r="F2470" s="48">
        <v>86.1</v>
      </c>
    </row>
    <row r="2471">
      <c r="A2471" s="46" t="s">
        <v>1545</v>
      </c>
      <c r="B2471" s="46" t="s">
        <v>3705</v>
      </c>
      <c r="C2471" s="46" t="s">
        <v>1874</v>
      </c>
      <c r="D2471" s="46" t="s">
        <v>18</v>
      </c>
      <c r="E2471" s="46" t="s">
        <v>13</v>
      </c>
      <c r="F2471" s="48">
        <v>72.0</v>
      </c>
    </row>
    <row r="2472">
      <c r="A2472" s="46" t="s">
        <v>1545</v>
      </c>
      <c r="B2472" s="46" t="s">
        <v>3707</v>
      </c>
      <c r="C2472" s="46" t="s">
        <v>3690</v>
      </c>
      <c r="D2472" s="46" t="s">
        <v>18</v>
      </c>
      <c r="E2472" s="46" t="s">
        <v>14</v>
      </c>
      <c r="F2472" s="48">
        <v>78.2</v>
      </c>
    </row>
    <row r="2473">
      <c r="A2473" s="46" t="s">
        <v>1545</v>
      </c>
      <c r="B2473" s="46" t="s">
        <v>1089</v>
      </c>
      <c r="C2473" s="46" t="s">
        <v>3695</v>
      </c>
      <c r="D2473" s="46" t="s">
        <v>17</v>
      </c>
      <c r="E2473" s="46" t="s">
        <v>15</v>
      </c>
      <c r="F2473" s="48">
        <v>97.9</v>
      </c>
    </row>
    <row r="2474">
      <c r="A2474" s="46" t="s">
        <v>1545</v>
      </c>
      <c r="B2474" s="46" t="s">
        <v>3714</v>
      </c>
      <c r="C2474" s="46" t="s">
        <v>1858</v>
      </c>
      <c r="D2474" s="46" t="s">
        <v>18</v>
      </c>
      <c r="E2474" s="46" t="s">
        <v>14</v>
      </c>
      <c r="F2474" s="48">
        <v>77.1</v>
      </c>
    </row>
    <row r="2475">
      <c r="A2475" s="46" t="s">
        <v>1545</v>
      </c>
      <c r="B2475" s="46" t="s">
        <v>3721</v>
      </c>
      <c r="C2475" s="46" t="s">
        <v>3722</v>
      </c>
      <c r="D2475" s="46" t="s">
        <v>18</v>
      </c>
      <c r="E2475" s="46" t="s">
        <v>14</v>
      </c>
      <c r="F2475" s="48">
        <v>85.3</v>
      </c>
    </row>
    <row r="2476">
      <c r="A2476" s="46" t="s">
        <v>1545</v>
      </c>
      <c r="B2476" s="46" t="s">
        <v>3724</v>
      </c>
      <c r="C2476" s="46" t="s">
        <v>3725</v>
      </c>
      <c r="D2476" s="46" t="s">
        <v>18</v>
      </c>
      <c r="E2476" s="46" t="s">
        <v>14</v>
      </c>
      <c r="F2476" s="48">
        <v>80.8</v>
      </c>
    </row>
    <row r="2477">
      <c r="A2477" s="46" t="s">
        <v>1545</v>
      </c>
      <c r="B2477" s="46" t="s">
        <v>3727</v>
      </c>
      <c r="C2477" s="46" t="s">
        <v>1918</v>
      </c>
      <c r="D2477" s="46" t="s">
        <v>18</v>
      </c>
      <c r="E2477" s="46" t="s">
        <v>14</v>
      </c>
      <c r="F2477" s="48">
        <v>83.6</v>
      </c>
    </row>
    <row r="2478">
      <c r="A2478" s="46" t="s">
        <v>1545</v>
      </c>
      <c r="B2478" s="46" t="s">
        <v>3729</v>
      </c>
      <c r="C2478" s="46" t="s">
        <v>3722</v>
      </c>
      <c r="D2478" s="46" t="s">
        <v>18</v>
      </c>
      <c r="E2478" s="46" t="s">
        <v>13</v>
      </c>
      <c r="F2478" s="48">
        <v>76.7</v>
      </c>
    </row>
    <row r="2479">
      <c r="A2479" s="46" t="s">
        <v>1545</v>
      </c>
      <c r="B2479" s="46" t="s">
        <v>3739</v>
      </c>
      <c r="C2479" s="46" t="s">
        <v>3717</v>
      </c>
      <c r="D2479" s="46" t="s">
        <v>18</v>
      </c>
      <c r="E2479" s="46" t="s">
        <v>13</v>
      </c>
      <c r="F2479" s="48">
        <v>83.2</v>
      </c>
    </row>
    <row r="2480">
      <c r="A2480" s="46" t="s">
        <v>1545</v>
      </c>
      <c r="B2480" s="46" t="s">
        <v>3243</v>
      </c>
      <c r="C2480" s="46" t="s">
        <v>1545</v>
      </c>
      <c r="D2480" s="46" t="s">
        <v>18</v>
      </c>
      <c r="E2480" s="46" t="s">
        <v>14</v>
      </c>
      <c r="F2480" s="48">
        <v>92.5</v>
      </c>
    </row>
    <row r="2481">
      <c r="A2481" s="46" t="s">
        <v>1545</v>
      </c>
      <c r="B2481" s="46" t="s">
        <v>3747</v>
      </c>
      <c r="C2481" s="46" t="s">
        <v>3748</v>
      </c>
      <c r="D2481" s="46" t="s">
        <v>17</v>
      </c>
      <c r="E2481" s="46" t="s">
        <v>15</v>
      </c>
      <c r="F2481" s="48">
        <v>103.5</v>
      </c>
    </row>
    <row r="2482">
      <c r="A2482" s="46" t="s">
        <v>1545</v>
      </c>
      <c r="B2482" s="46" t="s">
        <v>3750</v>
      </c>
      <c r="C2482" s="46" t="s">
        <v>3751</v>
      </c>
      <c r="D2482" s="46" t="s">
        <v>18</v>
      </c>
      <c r="E2482" s="46" t="s">
        <v>14</v>
      </c>
      <c r="F2482" s="48">
        <v>84.2</v>
      </c>
    </row>
    <row r="2483">
      <c r="A2483" s="46" t="s">
        <v>1545</v>
      </c>
      <c r="B2483" s="46" t="s">
        <v>3753</v>
      </c>
      <c r="C2483" s="46" t="s">
        <v>3754</v>
      </c>
      <c r="D2483" s="46" t="s">
        <v>18</v>
      </c>
      <c r="E2483" s="46" t="s">
        <v>14</v>
      </c>
      <c r="F2483" s="48">
        <v>91.3</v>
      </c>
    </row>
    <row r="2484">
      <c r="A2484" s="46" t="s">
        <v>1579</v>
      </c>
      <c r="B2484" s="46" t="s">
        <v>3764</v>
      </c>
      <c r="C2484" s="46" t="s">
        <v>3765</v>
      </c>
      <c r="D2484" s="46" t="s">
        <v>18</v>
      </c>
      <c r="E2484" s="46" t="s">
        <v>13</v>
      </c>
      <c r="F2484" s="48">
        <v>78.5</v>
      </c>
    </row>
    <row r="2485">
      <c r="A2485" s="46" t="s">
        <v>1579</v>
      </c>
      <c r="B2485" s="46" t="s">
        <v>3767</v>
      </c>
      <c r="C2485" s="46" t="s">
        <v>3768</v>
      </c>
      <c r="D2485" s="46" t="s">
        <v>18</v>
      </c>
      <c r="E2485" s="46" t="s">
        <v>13</v>
      </c>
      <c r="F2485" s="48">
        <v>91.8</v>
      </c>
    </row>
    <row r="2486">
      <c r="A2486" s="46" t="s">
        <v>1579</v>
      </c>
      <c r="B2486" s="46" t="s">
        <v>3773</v>
      </c>
      <c r="C2486" s="46" t="s">
        <v>3774</v>
      </c>
      <c r="D2486" s="46" t="s">
        <v>18</v>
      </c>
      <c r="E2486" s="46" t="s">
        <v>14</v>
      </c>
      <c r="F2486" s="48">
        <v>101.5</v>
      </c>
    </row>
    <row r="2487">
      <c r="A2487" s="46" t="s">
        <v>1579</v>
      </c>
      <c r="B2487" s="46" t="s">
        <v>3776</v>
      </c>
      <c r="C2487" s="46" t="s">
        <v>3777</v>
      </c>
      <c r="D2487" s="46" t="s">
        <v>18</v>
      </c>
      <c r="E2487" s="46" t="s">
        <v>14</v>
      </c>
      <c r="F2487" s="48">
        <v>102.6</v>
      </c>
    </row>
    <row r="2488">
      <c r="A2488" s="46" t="s">
        <v>1579</v>
      </c>
      <c r="B2488" s="46" t="s">
        <v>3784</v>
      </c>
      <c r="C2488" s="46" t="s">
        <v>3785</v>
      </c>
      <c r="D2488" s="46" t="s">
        <v>18</v>
      </c>
      <c r="E2488" s="46" t="s">
        <v>14</v>
      </c>
      <c r="F2488" s="48">
        <v>87.6</v>
      </c>
    </row>
    <row r="2489">
      <c r="A2489" s="46" t="s">
        <v>1964</v>
      </c>
      <c r="B2489" s="46" t="s">
        <v>3789</v>
      </c>
      <c r="C2489" s="46" t="s">
        <v>1980</v>
      </c>
      <c r="D2489" s="46" t="s">
        <v>18</v>
      </c>
      <c r="E2489" s="46" t="s">
        <v>13</v>
      </c>
      <c r="F2489" s="48">
        <v>84.8</v>
      </c>
    </row>
    <row r="2490">
      <c r="A2490" s="46" t="s">
        <v>1989</v>
      </c>
      <c r="B2490" s="46" t="s">
        <v>3791</v>
      </c>
      <c r="C2490" s="46" t="s">
        <v>3792</v>
      </c>
      <c r="D2490" s="46" t="s">
        <v>18</v>
      </c>
      <c r="E2490" s="46" t="s">
        <v>15</v>
      </c>
      <c r="F2490" s="48">
        <v>90.4</v>
      </c>
    </row>
    <row r="2491">
      <c r="A2491" s="46" t="s">
        <v>1989</v>
      </c>
      <c r="B2491" s="46" t="s">
        <v>3794</v>
      </c>
      <c r="C2491" s="46" t="s">
        <v>3795</v>
      </c>
      <c r="D2491" s="46" t="s">
        <v>18</v>
      </c>
      <c r="E2491" s="46" t="s">
        <v>13</v>
      </c>
      <c r="F2491" s="48">
        <v>72.3</v>
      </c>
    </row>
    <row r="2492">
      <c r="A2492" s="46" t="s">
        <v>1989</v>
      </c>
      <c r="B2492" s="46" t="s">
        <v>3797</v>
      </c>
      <c r="C2492" s="46" t="s">
        <v>3798</v>
      </c>
      <c r="D2492" s="46" t="s">
        <v>17</v>
      </c>
      <c r="E2492" s="46" t="s">
        <v>13</v>
      </c>
      <c r="F2492" s="48">
        <v>80.7</v>
      </c>
    </row>
    <row r="2493">
      <c r="A2493" s="46" t="s">
        <v>1989</v>
      </c>
      <c r="B2493" s="46" t="s">
        <v>3800</v>
      </c>
      <c r="C2493" s="46" t="s">
        <v>3801</v>
      </c>
      <c r="D2493" s="46" t="s">
        <v>18</v>
      </c>
      <c r="E2493" s="46" t="s">
        <v>15</v>
      </c>
      <c r="F2493" s="48">
        <v>98.1</v>
      </c>
    </row>
    <row r="2494">
      <c r="A2494" s="46" t="s">
        <v>1989</v>
      </c>
      <c r="B2494" s="46" t="s">
        <v>3803</v>
      </c>
      <c r="C2494" s="46" t="s">
        <v>1992</v>
      </c>
      <c r="D2494" s="46" t="s">
        <v>17</v>
      </c>
      <c r="E2494" s="46" t="s">
        <v>13</v>
      </c>
      <c r="F2494" s="48">
        <v>73.5</v>
      </c>
    </row>
    <row r="2495">
      <c r="A2495" s="46" t="s">
        <v>1989</v>
      </c>
      <c r="B2495" s="46" t="s">
        <v>3805</v>
      </c>
      <c r="C2495" s="46" t="s">
        <v>3806</v>
      </c>
      <c r="D2495" s="46" t="s">
        <v>18</v>
      </c>
      <c r="E2495" s="46" t="s">
        <v>15</v>
      </c>
      <c r="F2495" s="48">
        <v>101.3</v>
      </c>
    </row>
    <row r="2496">
      <c r="A2496" s="46" t="s">
        <v>1989</v>
      </c>
      <c r="B2496" s="46" t="s">
        <v>3812</v>
      </c>
      <c r="C2496" s="46" t="s">
        <v>3792</v>
      </c>
      <c r="D2496" s="46" t="s">
        <v>18</v>
      </c>
      <c r="E2496" s="46" t="s">
        <v>14</v>
      </c>
      <c r="F2496" s="48">
        <v>81.9</v>
      </c>
    </row>
    <row r="2497">
      <c r="A2497" s="46" t="s">
        <v>1989</v>
      </c>
      <c r="B2497" s="46" t="s">
        <v>3814</v>
      </c>
      <c r="C2497" s="46" t="s">
        <v>3792</v>
      </c>
      <c r="D2497" s="46" t="s">
        <v>17</v>
      </c>
      <c r="E2497" s="46" t="s">
        <v>13</v>
      </c>
      <c r="F2497" s="48">
        <v>49.5</v>
      </c>
    </row>
    <row r="2498">
      <c r="A2498" s="46" t="s">
        <v>1989</v>
      </c>
      <c r="B2498" s="46" t="s">
        <v>3816</v>
      </c>
      <c r="C2498" s="46" t="s">
        <v>2852</v>
      </c>
      <c r="D2498" s="46" t="s">
        <v>18</v>
      </c>
      <c r="E2498" s="46" t="s">
        <v>14</v>
      </c>
      <c r="F2498" s="48">
        <v>78.8</v>
      </c>
    </row>
    <row r="2499">
      <c r="A2499" s="46" t="s">
        <v>2013</v>
      </c>
      <c r="B2499" s="46" t="s">
        <v>3818</v>
      </c>
      <c r="C2499" s="46" t="s">
        <v>2016</v>
      </c>
      <c r="D2499" s="46" t="s">
        <v>18</v>
      </c>
      <c r="E2499" s="46" t="s">
        <v>15</v>
      </c>
      <c r="F2499" s="48">
        <v>88.9</v>
      </c>
    </row>
    <row r="2500">
      <c r="A2500" s="46" t="s">
        <v>2013</v>
      </c>
      <c r="B2500" s="46" t="s">
        <v>3797</v>
      </c>
      <c r="C2500" s="46" t="s">
        <v>2016</v>
      </c>
      <c r="D2500" s="46" t="s">
        <v>17</v>
      </c>
      <c r="E2500" s="46" t="s">
        <v>13</v>
      </c>
      <c r="F2500" s="48">
        <v>100.6</v>
      </c>
    </row>
    <row r="2501">
      <c r="A2501" s="46" t="s">
        <v>2013</v>
      </c>
      <c r="B2501" s="46" t="s">
        <v>3823</v>
      </c>
      <c r="C2501" s="46" t="s">
        <v>2016</v>
      </c>
      <c r="D2501" s="46" t="s">
        <v>17</v>
      </c>
      <c r="E2501" s="46" t="s">
        <v>14</v>
      </c>
      <c r="F2501" s="48">
        <v>101.5</v>
      </c>
    </row>
    <row r="2502">
      <c r="A2502" s="46" t="s">
        <v>2013</v>
      </c>
      <c r="B2502" s="46" t="s">
        <v>3825</v>
      </c>
      <c r="C2502" s="46" t="s">
        <v>3826</v>
      </c>
      <c r="D2502" s="46" t="s">
        <v>18</v>
      </c>
      <c r="E2502" s="46" t="s">
        <v>14</v>
      </c>
      <c r="F2502" s="48">
        <v>90.5</v>
      </c>
    </row>
    <row r="2503">
      <c r="A2503" s="46" t="s">
        <v>2013</v>
      </c>
      <c r="B2503" s="46" t="s">
        <v>3828</v>
      </c>
      <c r="C2503" s="46" t="s">
        <v>2019</v>
      </c>
      <c r="D2503" s="46" t="s">
        <v>18</v>
      </c>
      <c r="E2503" s="46" t="s">
        <v>14</v>
      </c>
      <c r="F2503" s="48">
        <v>100.3</v>
      </c>
    </row>
    <row r="2504">
      <c r="A2504" s="46" t="s">
        <v>2013</v>
      </c>
      <c r="B2504" s="46" t="s">
        <v>3830</v>
      </c>
      <c r="C2504" s="46" t="s">
        <v>3831</v>
      </c>
      <c r="D2504" s="46" t="s">
        <v>18</v>
      </c>
      <c r="E2504" s="46" t="s">
        <v>14</v>
      </c>
      <c r="F2504" s="48">
        <v>92.7</v>
      </c>
    </row>
    <row r="2505">
      <c r="A2505" s="46" t="s">
        <v>2035</v>
      </c>
      <c r="B2505" s="46" t="s">
        <v>3833</v>
      </c>
      <c r="C2505" s="46" t="s">
        <v>2046</v>
      </c>
      <c r="D2505" s="46" t="s">
        <v>18</v>
      </c>
      <c r="E2505" s="46" t="s">
        <v>13</v>
      </c>
      <c r="F2505" s="48">
        <v>66.2</v>
      </c>
    </row>
    <row r="2506">
      <c r="A2506" s="46" t="s">
        <v>2035</v>
      </c>
      <c r="B2506" s="46" t="s">
        <v>3837</v>
      </c>
      <c r="C2506" s="46" t="s">
        <v>2049</v>
      </c>
      <c r="D2506" s="46" t="s">
        <v>18</v>
      </c>
      <c r="E2506" s="46" t="s">
        <v>14</v>
      </c>
      <c r="F2506" s="48">
        <v>58.0</v>
      </c>
    </row>
    <row r="2507">
      <c r="A2507" s="46" t="s">
        <v>2054</v>
      </c>
      <c r="B2507" s="46" t="s">
        <v>3839</v>
      </c>
      <c r="C2507" s="46" t="s">
        <v>3840</v>
      </c>
      <c r="D2507" s="46" t="s">
        <v>18</v>
      </c>
      <c r="E2507" s="46" t="s">
        <v>15</v>
      </c>
      <c r="F2507" s="48">
        <v>89.5</v>
      </c>
    </row>
    <row r="2508">
      <c r="A2508" s="46" t="s">
        <v>2054</v>
      </c>
      <c r="B2508" s="46" t="s">
        <v>3842</v>
      </c>
      <c r="C2508" s="46" t="s">
        <v>2034</v>
      </c>
      <c r="D2508" s="46" t="s">
        <v>18</v>
      </c>
      <c r="E2508" s="46" t="s">
        <v>13</v>
      </c>
      <c r="F2508" s="48">
        <v>66.2</v>
      </c>
    </row>
    <row r="2509">
      <c r="A2509" s="46" t="s">
        <v>2054</v>
      </c>
      <c r="B2509" s="46" t="s">
        <v>3844</v>
      </c>
      <c r="C2509" s="46" t="s">
        <v>1858</v>
      </c>
      <c r="D2509" s="46" t="s">
        <v>18</v>
      </c>
      <c r="E2509" s="46" t="s">
        <v>13</v>
      </c>
      <c r="F2509" s="48">
        <v>63.4</v>
      </c>
    </row>
    <row r="2510">
      <c r="A2510" s="46" t="s">
        <v>2054</v>
      </c>
      <c r="B2510" s="46" t="s">
        <v>3846</v>
      </c>
      <c r="C2510" s="46" t="s">
        <v>2077</v>
      </c>
      <c r="D2510" s="46" t="s">
        <v>18</v>
      </c>
      <c r="E2510" s="46" t="s">
        <v>14</v>
      </c>
      <c r="F2510" s="48">
        <v>79.9</v>
      </c>
    </row>
    <row r="2511">
      <c r="A2511" s="46" t="s">
        <v>2054</v>
      </c>
      <c r="B2511" s="46" t="s">
        <v>486</v>
      </c>
      <c r="C2511" s="46" t="s">
        <v>3848</v>
      </c>
      <c r="D2511" s="46" t="s">
        <v>18</v>
      </c>
      <c r="E2511" s="46" t="s">
        <v>13</v>
      </c>
      <c r="F2511" s="48">
        <v>66.8</v>
      </c>
    </row>
    <row r="2512">
      <c r="A2512" s="46" t="s">
        <v>2054</v>
      </c>
      <c r="B2512" s="46" t="s">
        <v>3854</v>
      </c>
      <c r="C2512" s="46" t="s">
        <v>3855</v>
      </c>
      <c r="D2512" s="46" t="s">
        <v>18</v>
      </c>
      <c r="E2512" s="46" t="s">
        <v>14</v>
      </c>
      <c r="F2512" s="48">
        <v>89.4</v>
      </c>
    </row>
    <row r="2513">
      <c r="A2513" s="46" t="s">
        <v>2054</v>
      </c>
      <c r="B2513" s="46" t="s">
        <v>3857</v>
      </c>
      <c r="C2513" s="46" t="s">
        <v>3840</v>
      </c>
      <c r="D2513" s="46" t="s">
        <v>18</v>
      </c>
      <c r="E2513" s="46" t="s">
        <v>15</v>
      </c>
      <c r="F2513" s="48">
        <v>89.3</v>
      </c>
    </row>
    <row r="2514">
      <c r="A2514" s="46" t="s">
        <v>2054</v>
      </c>
      <c r="B2514" s="46" t="s">
        <v>3859</v>
      </c>
      <c r="C2514" s="46" t="s">
        <v>1858</v>
      </c>
      <c r="D2514" s="46" t="s">
        <v>18</v>
      </c>
      <c r="E2514" s="46" t="s">
        <v>14</v>
      </c>
      <c r="F2514" s="48">
        <v>93.8</v>
      </c>
    </row>
    <row r="2515">
      <c r="A2515" s="46" t="s">
        <v>2084</v>
      </c>
      <c r="B2515" s="46" t="s">
        <v>3861</v>
      </c>
      <c r="C2515" s="46" t="s">
        <v>3862</v>
      </c>
      <c r="D2515" s="46" t="s">
        <v>18</v>
      </c>
      <c r="E2515" s="46" t="s">
        <v>13</v>
      </c>
      <c r="F2515" s="48">
        <v>60.3</v>
      </c>
    </row>
    <row r="2516">
      <c r="A2516" s="46" t="s">
        <v>2084</v>
      </c>
      <c r="B2516" s="46" t="s">
        <v>3864</v>
      </c>
      <c r="C2516" s="46" t="s">
        <v>3865</v>
      </c>
      <c r="D2516" s="46" t="s">
        <v>18</v>
      </c>
      <c r="E2516" s="46" t="s">
        <v>14</v>
      </c>
      <c r="F2516" s="48">
        <v>69.5</v>
      </c>
    </row>
    <row r="2517">
      <c r="A2517" s="46" t="s">
        <v>71</v>
      </c>
      <c r="B2517" s="46" t="s">
        <v>3867</v>
      </c>
      <c r="C2517" s="46" t="s">
        <v>87</v>
      </c>
      <c r="D2517" s="46" t="s">
        <v>18</v>
      </c>
      <c r="E2517" s="46" t="s">
        <v>13</v>
      </c>
      <c r="F2517" s="48">
        <v>91.1</v>
      </c>
    </row>
    <row r="2518">
      <c r="A2518" s="46" t="s">
        <v>71</v>
      </c>
      <c r="B2518" s="46" t="s">
        <v>3876</v>
      </c>
      <c r="C2518" s="46" t="s">
        <v>3877</v>
      </c>
      <c r="D2518" s="46" t="s">
        <v>18</v>
      </c>
      <c r="E2518" s="46" t="s">
        <v>14</v>
      </c>
      <c r="F2518" s="48">
        <v>84.2</v>
      </c>
    </row>
    <row r="2519">
      <c r="A2519" s="46" t="s">
        <v>71</v>
      </c>
      <c r="B2519" s="46" t="s">
        <v>3879</v>
      </c>
      <c r="C2519" s="46" t="s">
        <v>3870</v>
      </c>
      <c r="D2519" s="46" t="s">
        <v>18</v>
      </c>
      <c r="E2519" s="46" t="s">
        <v>13</v>
      </c>
      <c r="F2519" s="48">
        <v>84.3</v>
      </c>
    </row>
    <row r="2520">
      <c r="A2520" s="46" t="s">
        <v>88</v>
      </c>
      <c r="B2520" s="46" t="s">
        <v>3884</v>
      </c>
      <c r="C2520" s="46" t="s">
        <v>3885</v>
      </c>
      <c r="D2520" s="46" t="s">
        <v>18</v>
      </c>
      <c r="E2520" s="46" t="s">
        <v>13</v>
      </c>
      <c r="F2520" s="48">
        <v>86.4</v>
      </c>
    </row>
    <row r="2521">
      <c r="A2521" s="46" t="s">
        <v>88</v>
      </c>
      <c r="B2521" s="46" t="s">
        <v>3887</v>
      </c>
      <c r="C2521" s="46" t="s">
        <v>102</v>
      </c>
      <c r="D2521" s="46" t="s">
        <v>18</v>
      </c>
      <c r="E2521" s="46" t="s">
        <v>15</v>
      </c>
      <c r="F2521" s="48">
        <v>102.9</v>
      </c>
    </row>
    <row r="2522">
      <c r="A2522" s="46" t="s">
        <v>88</v>
      </c>
      <c r="B2522" s="46" t="s">
        <v>3889</v>
      </c>
      <c r="C2522" s="46" t="s">
        <v>102</v>
      </c>
      <c r="D2522" s="46" t="s">
        <v>18</v>
      </c>
      <c r="E2522" s="46" t="s">
        <v>14</v>
      </c>
      <c r="F2522" s="48">
        <v>100.1</v>
      </c>
    </row>
    <row r="2523">
      <c r="A2523" s="46" t="s">
        <v>88</v>
      </c>
      <c r="B2523" s="46" t="s">
        <v>3891</v>
      </c>
      <c r="C2523" s="46" t="s">
        <v>95</v>
      </c>
      <c r="D2523" s="46" t="s">
        <v>18</v>
      </c>
      <c r="E2523" s="46" t="s">
        <v>15</v>
      </c>
      <c r="F2523" s="48">
        <v>92.0</v>
      </c>
    </row>
    <row r="2524">
      <c r="A2524" s="46" t="s">
        <v>88</v>
      </c>
      <c r="B2524" s="46" t="s">
        <v>3893</v>
      </c>
      <c r="C2524" s="46" t="s">
        <v>3894</v>
      </c>
      <c r="D2524" s="46" t="s">
        <v>18</v>
      </c>
      <c r="E2524" s="46" t="s">
        <v>13</v>
      </c>
      <c r="F2524" s="48">
        <v>74.8</v>
      </c>
    </row>
    <row r="2525">
      <c r="A2525" s="46" t="s">
        <v>88</v>
      </c>
      <c r="B2525" s="46" t="s">
        <v>3896</v>
      </c>
      <c r="C2525" s="46" t="s">
        <v>105</v>
      </c>
      <c r="D2525" s="46" t="s">
        <v>18</v>
      </c>
      <c r="E2525" s="46" t="s">
        <v>14</v>
      </c>
      <c r="F2525" s="48">
        <v>91.6</v>
      </c>
    </row>
    <row r="2526">
      <c r="A2526" s="46" t="s">
        <v>88</v>
      </c>
      <c r="B2526" s="46" t="s">
        <v>218</v>
      </c>
      <c r="C2526" s="46" t="s">
        <v>110</v>
      </c>
      <c r="D2526" s="46" t="s">
        <v>17</v>
      </c>
      <c r="E2526" s="46" t="s">
        <v>13</v>
      </c>
      <c r="F2526" s="48">
        <v>83.0</v>
      </c>
    </row>
    <row r="2527">
      <c r="A2527" s="46" t="s">
        <v>88</v>
      </c>
      <c r="B2527" s="46" t="s">
        <v>3901</v>
      </c>
      <c r="C2527" s="46" t="s">
        <v>95</v>
      </c>
      <c r="D2527" s="46" t="s">
        <v>18</v>
      </c>
      <c r="E2527" s="46" t="s">
        <v>14</v>
      </c>
      <c r="F2527" s="48">
        <v>74.5</v>
      </c>
    </row>
    <row r="2528">
      <c r="A2528" s="46" t="s">
        <v>116</v>
      </c>
      <c r="B2528" s="46" t="s">
        <v>3905</v>
      </c>
      <c r="C2528" s="46" t="s">
        <v>3906</v>
      </c>
      <c r="D2528" s="46" t="s">
        <v>18</v>
      </c>
      <c r="E2528" s="46" t="s">
        <v>14</v>
      </c>
      <c r="F2528" s="48">
        <v>94.1</v>
      </c>
    </row>
    <row r="2529">
      <c r="A2529" s="46" t="s">
        <v>116</v>
      </c>
      <c r="B2529" s="46" t="s">
        <v>3911</v>
      </c>
      <c r="C2529" s="46" t="s">
        <v>3912</v>
      </c>
      <c r="D2529" s="46" t="s">
        <v>18</v>
      </c>
      <c r="E2529" s="46" t="s">
        <v>13</v>
      </c>
      <c r="F2529" s="48">
        <v>93.2</v>
      </c>
    </row>
    <row r="2530">
      <c r="A2530" s="46" t="s">
        <v>116</v>
      </c>
      <c r="B2530" s="46" t="s">
        <v>3914</v>
      </c>
      <c r="C2530" s="46" t="s">
        <v>3915</v>
      </c>
      <c r="D2530" s="46" t="s">
        <v>18</v>
      </c>
      <c r="E2530" s="46" t="s">
        <v>13</v>
      </c>
      <c r="F2530" s="48">
        <v>74.7</v>
      </c>
    </row>
    <row r="2531">
      <c r="A2531" s="46" t="s">
        <v>116</v>
      </c>
      <c r="B2531" s="46" t="s">
        <v>3917</v>
      </c>
      <c r="C2531" s="46" t="s">
        <v>3918</v>
      </c>
      <c r="D2531" s="46" t="s">
        <v>17</v>
      </c>
      <c r="E2531" s="46" t="s">
        <v>13</v>
      </c>
      <c r="F2531" s="48">
        <v>94.7</v>
      </c>
    </row>
    <row r="2532">
      <c r="A2532" s="46" t="s">
        <v>129</v>
      </c>
      <c r="B2532" s="46" t="s">
        <v>1179</v>
      </c>
      <c r="C2532" s="46" t="s">
        <v>3922</v>
      </c>
      <c r="D2532" s="46" t="s">
        <v>18</v>
      </c>
      <c r="E2532" s="46" t="s">
        <v>13</v>
      </c>
      <c r="F2532" s="48">
        <v>93.0</v>
      </c>
    </row>
    <row r="2533">
      <c r="A2533" s="46" t="s">
        <v>134</v>
      </c>
      <c r="B2533" s="46" t="s">
        <v>897</v>
      </c>
      <c r="C2533" s="46" t="s">
        <v>134</v>
      </c>
      <c r="D2533" s="46" t="s">
        <v>17</v>
      </c>
      <c r="E2533" s="46" t="s">
        <v>13</v>
      </c>
      <c r="F2533" s="48">
        <v>94.6</v>
      </c>
    </row>
    <row r="2534">
      <c r="A2534" s="46" t="s">
        <v>134</v>
      </c>
      <c r="B2534" s="46" t="s">
        <v>3936</v>
      </c>
      <c r="C2534" s="46" t="s">
        <v>134</v>
      </c>
      <c r="D2534" s="46" t="s">
        <v>18</v>
      </c>
      <c r="E2534" s="46" t="s">
        <v>15</v>
      </c>
      <c r="F2534" s="48">
        <v>102.6</v>
      </c>
    </row>
    <row r="2535">
      <c r="A2535" s="46" t="s">
        <v>161</v>
      </c>
      <c r="B2535" s="46" t="s">
        <v>3940</v>
      </c>
      <c r="C2535" s="46" t="s">
        <v>2164</v>
      </c>
      <c r="D2535" s="46" t="s">
        <v>18</v>
      </c>
      <c r="E2535" s="46" t="s">
        <v>14</v>
      </c>
      <c r="F2535" s="48">
        <v>101.0</v>
      </c>
    </row>
    <row r="2536">
      <c r="A2536" s="46" t="s">
        <v>161</v>
      </c>
      <c r="B2536" s="46" t="s">
        <v>3942</v>
      </c>
      <c r="C2536" s="46" t="s">
        <v>3943</v>
      </c>
      <c r="D2536" s="46" t="s">
        <v>18</v>
      </c>
      <c r="E2536" s="46" t="s">
        <v>13</v>
      </c>
      <c r="F2536" s="48">
        <v>85.6</v>
      </c>
    </row>
    <row r="2537">
      <c r="A2537" s="46" t="s">
        <v>161</v>
      </c>
      <c r="B2537" s="46" t="s">
        <v>3947</v>
      </c>
      <c r="C2537" s="46" t="s">
        <v>2161</v>
      </c>
      <c r="D2537" s="46" t="s">
        <v>17</v>
      </c>
      <c r="E2537" s="46" t="s">
        <v>13</v>
      </c>
      <c r="F2537" s="48">
        <v>94.6</v>
      </c>
    </row>
    <row r="2538">
      <c r="A2538" s="46" t="s">
        <v>161</v>
      </c>
      <c r="B2538" s="46" t="s">
        <v>3949</v>
      </c>
      <c r="C2538" s="46" t="s">
        <v>165</v>
      </c>
      <c r="D2538" s="46" t="s">
        <v>17</v>
      </c>
      <c r="E2538" s="46" t="s">
        <v>13</v>
      </c>
      <c r="F2538" s="48">
        <v>97.2</v>
      </c>
    </row>
    <row r="2539">
      <c r="A2539" s="46" t="s">
        <v>161</v>
      </c>
      <c r="B2539" s="46" t="s">
        <v>3951</v>
      </c>
      <c r="C2539" s="46" t="s">
        <v>2164</v>
      </c>
      <c r="D2539" s="46" t="s">
        <v>17</v>
      </c>
      <c r="E2539" s="46" t="s">
        <v>13</v>
      </c>
      <c r="F2539" s="48">
        <v>96.5</v>
      </c>
    </row>
    <row r="2540">
      <c r="A2540" s="46" t="s">
        <v>169</v>
      </c>
      <c r="B2540" s="46" t="s">
        <v>3953</v>
      </c>
      <c r="C2540" s="46" t="s">
        <v>173</v>
      </c>
      <c r="D2540" s="46" t="s">
        <v>18</v>
      </c>
      <c r="E2540" s="46" t="s">
        <v>15</v>
      </c>
      <c r="F2540" s="48">
        <v>86.3</v>
      </c>
    </row>
    <row r="2541">
      <c r="A2541" s="46" t="s">
        <v>169</v>
      </c>
      <c r="B2541" s="46" t="s">
        <v>3957</v>
      </c>
      <c r="C2541" s="46" t="s">
        <v>2200</v>
      </c>
      <c r="D2541" s="46" t="s">
        <v>18</v>
      </c>
      <c r="E2541" s="46" t="s">
        <v>13</v>
      </c>
      <c r="F2541" s="48">
        <v>83.1</v>
      </c>
    </row>
    <row r="2542">
      <c r="A2542" s="46" t="s">
        <v>169</v>
      </c>
      <c r="B2542" s="46" t="s">
        <v>3959</v>
      </c>
      <c r="C2542" s="46" t="s">
        <v>193</v>
      </c>
      <c r="D2542" s="46" t="s">
        <v>18</v>
      </c>
      <c r="E2542" s="46" t="s">
        <v>14</v>
      </c>
      <c r="F2542" s="48">
        <v>91.0</v>
      </c>
    </row>
    <row r="2543">
      <c r="A2543" s="46" t="s">
        <v>169</v>
      </c>
      <c r="B2543" s="46" t="s">
        <v>3961</v>
      </c>
      <c r="C2543" s="46" t="s">
        <v>3962</v>
      </c>
      <c r="D2543" s="46" t="s">
        <v>18</v>
      </c>
      <c r="E2543" s="46" t="s">
        <v>13</v>
      </c>
      <c r="F2543" s="48">
        <v>82.6</v>
      </c>
    </row>
    <row r="2544">
      <c r="A2544" s="46" t="s">
        <v>483</v>
      </c>
      <c r="B2544" s="46" t="s">
        <v>3964</v>
      </c>
      <c r="C2544" s="46" t="s">
        <v>3965</v>
      </c>
      <c r="D2544" s="46" t="s">
        <v>18</v>
      </c>
      <c r="E2544" s="46" t="s">
        <v>14</v>
      </c>
      <c r="F2544" s="48">
        <v>97.4</v>
      </c>
    </row>
    <row r="2545">
      <c r="A2545" s="46" t="s">
        <v>483</v>
      </c>
      <c r="B2545" s="46" t="s">
        <v>2405</v>
      </c>
      <c r="C2545" s="46" t="s">
        <v>3967</v>
      </c>
      <c r="D2545" s="46" t="s">
        <v>18</v>
      </c>
      <c r="E2545" s="46" t="s">
        <v>14</v>
      </c>
      <c r="F2545" s="48">
        <v>101.7</v>
      </c>
    </row>
    <row r="2546">
      <c r="A2546" s="46" t="s">
        <v>483</v>
      </c>
      <c r="B2546" s="46" t="s">
        <v>3969</v>
      </c>
      <c r="C2546" s="46" t="s">
        <v>3970</v>
      </c>
      <c r="D2546" s="46" t="s">
        <v>18</v>
      </c>
      <c r="E2546" s="46" t="s">
        <v>13</v>
      </c>
      <c r="F2546" s="48">
        <v>87.9</v>
      </c>
    </row>
    <row r="2547">
      <c r="A2547" s="46" t="s">
        <v>483</v>
      </c>
      <c r="B2547" s="46" t="s">
        <v>3976</v>
      </c>
      <c r="C2547" s="46" t="s">
        <v>3965</v>
      </c>
      <c r="D2547" s="46" t="s">
        <v>18</v>
      </c>
      <c r="E2547" s="46" t="s">
        <v>13</v>
      </c>
      <c r="F2547" s="48">
        <v>79.2</v>
      </c>
    </row>
    <row r="2548">
      <c r="A2548" s="46" t="s">
        <v>483</v>
      </c>
      <c r="B2548" s="46" t="s">
        <v>3978</v>
      </c>
      <c r="C2548" s="46" t="s">
        <v>3979</v>
      </c>
      <c r="D2548" s="46" t="s">
        <v>18</v>
      </c>
      <c r="E2548" s="46" t="s">
        <v>14</v>
      </c>
      <c r="F2548" s="48">
        <v>99.1</v>
      </c>
    </row>
    <row r="2549">
      <c r="A2549" s="46" t="s">
        <v>129</v>
      </c>
      <c r="B2549" s="46" t="s">
        <v>3986</v>
      </c>
      <c r="C2549" s="46" t="s">
        <v>3987</v>
      </c>
      <c r="D2549" s="46" t="s">
        <v>18</v>
      </c>
      <c r="E2549" s="46" t="s">
        <v>14</v>
      </c>
      <c r="F2549" s="48">
        <v>94.2</v>
      </c>
    </row>
    <row r="2550">
      <c r="A2550" s="46" t="s">
        <v>129</v>
      </c>
      <c r="B2550" s="46" t="s">
        <v>3991</v>
      </c>
      <c r="C2550" s="46" t="s">
        <v>231</v>
      </c>
      <c r="D2550" s="46" t="s">
        <v>18</v>
      </c>
      <c r="E2550" s="46" t="s">
        <v>15</v>
      </c>
      <c r="F2550" s="48">
        <v>90.7</v>
      </c>
    </row>
    <row r="2551">
      <c r="A2551" s="46" t="s">
        <v>129</v>
      </c>
      <c r="B2551" s="46" t="s">
        <v>2333</v>
      </c>
      <c r="C2551" s="46" t="s">
        <v>2272</v>
      </c>
      <c r="D2551" s="46" t="s">
        <v>18</v>
      </c>
      <c r="E2551" s="46" t="s">
        <v>15</v>
      </c>
      <c r="F2551" s="48">
        <v>72.6</v>
      </c>
    </row>
    <row r="2552">
      <c r="A2552" s="46" t="s">
        <v>129</v>
      </c>
      <c r="B2552" s="46" t="s">
        <v>3997</v>
      </c>
      <c r="C2552" s="46" t="s">
        <v>3998</v>
      </c>
      <c r="D2552" s="46" t="s">
        <v>18</v>
      </c>
      <c r="E2552" s="46" t="s">
        <v>13</v>
      </c>
      <c r="F2552" s="48">
        <v>63.1</v>
      </c>
    </row>
    <row r="2553">
      <c r="A2553" s="46" t="s">
        <v>129</v>
      </c>
      <c r="B2553" s="46" t="s">
        <v>4000</v>
      </c>
      <c r="C2553" s="46" t="s">
        <v>2239</v>
      </c>
      <c r="D2553" s="46" t="s">
        <v>18</v>
      </c>
      <c r="E2553" s="46" t="s">
        <v>13</v>
      </c>
      <c r="F2553" s="48">
        <v>72.5</v>
      </c>
    </row>
    <row r="2554">
      <c r="A2554" s="46" t="s">
        <v>129</v>
      </c>
      <c r="B2554" s="46" t="s">
        <v>4002</v>
      </c>
      <c r="C2554" s="46" t="s">
        <v>2231</v>
      </c>
      <c r="D2554" s="46" t="s">
        <v>18</v>
      </c>
      <c r="E2554" s="46" t="s">
        <v>13</v>
      </c>
      <c r="F2554" s="48">
        <v>79.3</v>
      </c>
    </row>
    <row r="2555">
      <c r="A2555" s="46" t="s">
        <v>129</v>
      </c>
      <c r="B2555" s="46" t="s">
        <v>4004</v>
      </c>
      <c r="C2555" s="46" t="s">
        <v>4005</v>
      </c>
      <c r="D2555" s="46" t="s">
        <v>18</v>
      </c>
      <c r="E2555" s="46" t="s">
        <v>15</v>
      </c>
      <c r="F2555" s="48">
        <v>99.2</v>
      </c>
    </row>
    <row r="2556">
      <c r="A2556" s="46" t="s">
        <v>129</v>
      </c>
      <c r="B2556" s="46" t="s">
        <v>4012</v>
      </c>
      <c r="C2556" s="46" t="s">
        <v>231</v>
      </c>
      <c r="D2556" s="46" t="s">
        <v>17</v>
      </c>
      <c r="E2556" s="46" t="s">
        <v>13</v>
      </c>
      <c r="F2556" s="48">
        <v>92.8</v>
      </c>
    </row>
    <row r="2557">
      <c r="A2557" s="46" t="s">
        <v>129</v>
      </c>
      <c r="B2557" s="46" t="s">
        <v>4014</v>
      </c>
      <c r="C2557" s="46" t="s">
        <v>2224</v>
      </c>
      <c r="D2557" s="46" t="s">
        <v>17</v>
      </c>
      <c r="E2557" s="46" t="s">
        <v>13</v>
      </c>
      <c r="F2557" s="48">
        <v>73.0</v>
      </c>
    </row>
    <row r="2558">
      <c r="A2558" s="46" t="s">
        <v>129</v>
      </c>
      <c r="B2558" s="46" t="s">
        <v>4016</v>
      </c>
      <c r="C2558" s="46" t="s">
        <v>259</v>
      </c>
      <c r="D2558" s="46" t="s">
        <v>17</v>
      </c>
      <c r="E2558" s="46" t="s">
        <v>14</v>
      </c>
      <c r="F2558" s="48">
        <v>96.8</v>
      </c>
    </row>
    <row r="2559">
      <c r="A2559" s="46" t="s">
        <v>129</v>
      </c>
      <c r="B2559" s="46" t="s">
        <v>2869</v>
      </c>
      <c r="C2559" s="46" t="s">
        <v>228</v>
      </c>
      <c r="D2559" s="46" t="s">
        <v>17</v>
      </c>
      <c r="E2559" s="46" t="s">
        <v>13</v>
      </c>
      <c r="F2559" s="48">
        <v>70.1</v>
      </c>
    </row>
    <row r="2560">
      <c r="A2560" s="46" t="s">
        <v>129</v>
      </c>
      <c r="B2560" s="46" t="s">
        <v>4022</v>
      </c>
      <c r="C2560" s="46" t="s">
        <v>222</v>
      </c>
      <c r="D2560" s="46" t="s">
        <v>17</v>
      </c>
      <c r="E2560" s="46" t="s">
        <v>13</v>
      </c>
      <c r="F2560" s="48">
        <v>88.9</v>
      </c>
    </row>
    <row r="2561">
      <c r="A2561" s="46" t="s">
        <v>129</v>
      </c>
      <c r="B2561" s="46" t="s">
        <v>4027</v>
      </c>
      <c r="C2561" s="46" t="s">
        <v>4028</v>
      </c>
      <c r="D2561" s="46" t="s">
        <v>17</v>
      </c>
      <c r="E2561" s="46" t="s">
        <v>15</v>
      </c>
      <c r="F2561" s="48">
        <v>70.8</v>
      </c>
    </row>
    <row r="2562">
      <c r="A2562" s="46" t="s">
        <v>129</v>
      </c>
      <c r="B2562" s="46" t="s">
        <v>4033</v>
      </c>
      <c r="C2562" s="46" t="s">
        <v>222</v>
      </c>
      <c r="D2562" s="46" t="s">
        <v>17</v>
      </c>
      <c r="E2562" s="46" t="s">
        <v>14</v>
      </c>
      <c r="F2562" s="48">
        <v>95.0</v>
      </c>
    </row>
    <row r="2563">
      <c r="A2563" s="46" t="s">
        <v>129</v>
      </c>
      <c r="B2563" s="46" t="s">
        <v>4035</v>
      </c>
      <c r="C2563" s="46" t="s">
        <v>2250</v>
      </c>
      <c r="D2563" s="46" t="s">
        <v>17</v>
      </c>
      <c r="E2563" s="46" t="s">
        <v>14</v>
      </c>
      <c r="F2563" s="48">
        <v>96.0</v>
      </c>
    </row>
    <row r="2564">
      <c r="A2564" s="46" t="s">
        <v>269</v>
      </c>
      <c r="B2564" s="46" t="s">
        <v>4050</v>
      </c>
      <c r="C2564" s="46" t="s">
        <v>2301</v>
      </c>
      <c r="D2564" s="46" t="s">
        <v>17</v>
      </c>
      <c r="E2564" s="46" t="s">
        <v>15</v>
      </c>
      <c r="F2564" s="48">
        <v>95.5</v>
      </c>
    </row>
    <row r="2565">
      <c r="A2565" s="46" t="s">
        <v>269</v>
      </c>
      <c r="B2565" s="46" t="s">
        <v>4055</v>
      </c>
      <c r="C2565" s="46" t="s">
        <v>273</v>
      </c>
      <c r="D2565" s="46" t="s">
        <v>17</v>
      </c>
      <c r="E2565" s="46" t="s">
        <v>15</v>
      </c>
      <c r="F2565" s="48">
        <v>99.4</v>
      </c>
    </row>
    <row r="2566">
      <c r="A2566" s="46" t="s">
        <v>269</v>
      </c>
      <c r="B2566" s="46" t="s">
        <v>4062</v>
      </c>
      <c r="C2566" s="46" t="s">
        <v>4063</v>
      </c>
      <c r="D2566" s="46" t="s">
        <v>18</v>
      </c>
      <c r="E2566" s="46" t="s">
        <v>14</v>
      </c>
      <c r="F2566" s="48">
        <v>100.2</v>
      </c>
    </row>
    <row r="2567">
      <c r="A2567" s="46" t="s">
        <v>116</v>
      </c>
      <c r="B2567" s="46" t="s">
        <v>4067</v>
      </c>
      <c r="C2567" s="46" t="s">
        <v>4068</v>
      </c>
      <c r="D2567" s="46" t="s">
        <v>18</v>
      </c>
      <c r="E2567" s="46" t="s">
        <v>13</v>
      </c>
      <c r="F2567" s="48">
        <v>100.8</v>
      </c>
    </row>
    <row r="2568">
      <c r="A2568" s="46" t="s">
        <v>284</v>
      </c>
      <c r="B2568" s="46" t="s">
        <v>4073</v>
      </c>
      <c r="C2568" s="46" t="s">
        <v>4074</v>
      </c>
      <c r="D2568" s="46" t="s">
        <v>18</v>
      </c>
      <c r="E2568" s="46" t="s">
        <v>14</v>
      </c>
      <c r="F2568" s="48">
        <v>100.4</v>
      </c>
    </row>
    <row r="2569">
      <c r="A2569" s="46" t="s">
        <v>284</v>
      </c>
      <c r="B2569" s="46" t="s">
        <v>4076</v>
      </c>
      <c r="C2569" s="46" t="s">
        <v>288</v>
      </c>
      <c r="D2569" s="46" t="s">
        <v>18</v>
      </c>
      <c r="E2569" s="46" t="s">
        <v>13</v>
      </c>
      <c r="F2569" s="48">
        <v>97.0</v>
      </c>
    </row>
    <row r="2570">
      <c r="A2570" s="46" t="s">
        <v>284</v>
      </c>
      <c r="B2570" s="46" t="s">
        <v>4078</v>
      </c>
      <c r="C2570" s="46" t="s">
        <v>4079</v>
      </c>
      <c r="D2570" s="46" t="s">
        <v>18</v>
      </c>
      <c r="E2570" s="46" t="s">
        <v>13</v>
      </c>
      <c r="F2570" s="48">
        <v>88.5</v>
      </c>
    </row>
    <row r="2571">
      <c r="A2571" s="46" t="s">
        <v>284</v>
      </c>
      <c r="B2571" s="46" t="s">
        <v>4083</v>
      </c>
      <c r="C2571" s="46" t="s">
        <v>4084</v>
      </c>
      <c r="D2571" s="46" t="s">
        <v>17</v>
      </c>
      <c r="E2571" s="46" t="s">
        <v>14</v>
      </c>
      <c r="F2571" s="48">
        <v>88.1</v>
      </c>
    </row>
    <row r="2572">
      <c r="A2572" s="46" t="s">
        <v>284</v>
      </c>
      <c r="B2572" s="46" t="s">
        <v>4086</v>
      </c>
      <c r="C2572" s="46" t="s">
        <v>4087</v>
      </c>
      <c r="D2572" s="46" t="s">
        <v>18</v>
      </c>
      <c r="E2572" s="46" t="s">
        <v>13</v>
      </c>
      <c r="F2572" s="48">
        <v>90.0</v>
      </c>
    </row>
    <row r="2573">
      <c r="A2573" s="46" t="s">
        <v>284</v>
      </c>
      <c r="B2573" s="46" t="s">
        <v>4091</v>
      </c>
      <c r="C2573" s="46" t="s">
        <v>4092</v>
      </c>
      <c r="D2573" s="46" t="s">
        <v>18</v>
      </c>
      <c r="E2573" s="46" t="s">
        <v>14</v>
      </c>
      <c r="F2573" s="48">
        <v>101.3</v>
      </c>
    </row>
    <row r="2574">
      <c r="A2574" s="46" t="s">
        <v>284</v>
      </c>
      <c r="B2574" s="46" t="s">
        <v>4094</v>
      </c>
      <c r="C2574" s="46" t="s">
        <v>4092</v>
      </c>
      <c r="D2574" s="46" t="s">
        <v>18</v>
      </c>
      <c r="E2574" s="46" t="s">
        <v>13</v>
      </c>
      <c r="F2574" s="48">
        <v>93.2</v>
      </c>
    </row>
    <row r="2575">
      <c r="A2575" s="46" t="s">
        <v>284</v>
      </c>
      <c r="B2575" s="46" t="s">
        <v>4096</v>
      </c>
      <c r="C2575" s="46" t="s">
        <v>4097</v>
      </c>
      <c r="D2575" s="46" t="s">
        <v>18</v>
      </c>
      <c r="E2575" s="46" t="s">
        <v>14</v>
      </c>
      <c r="F2575" s="48">
        <v>99.4</v>
      </c>
    </row>
    <row r="2576">
      <c r="A2576" s="46" t="s">
        <v>284</v>
      </c>
      <c r="B2576" s="46" t="s">
        <v>4099</v>
      </c>
      <c r="C2576" s="46" t="s">
        <v>297</v>
      </c>
      <c r="D2576" s="46" t="s">
        <v>18</v>
      </c>
      <c r="E2576" s="46" t="s">
        <v>13</v>
      </c>
      <c r="F2576" s="48">
        <v>95.4</v>
      </c>
    </row>
    <row r="2577">
      <c r="A2577" s="46" t="s">
        <v>313</v>
      </c>
      <c r="B2577" s="46" t="s">
        <v>4107</v>
      </c>
      <c r="C2577" s="46" t="s">
        <v>4105</v>
      </c>
      <c r="D2577" s="46" t="s">
        <v>18</v>
      </c>
      <c r="E2577" s="46" t="s">
        <v>13</v>
      </c>
      <c r="F2577" s="48">
        <v>83.3</v>
      </c>
    </row>
    <row r="2578">
      <c r="A2578" s="46" t="s">
        <v>313</v>
      </c>
      <c r="B2578" s="46" t="s">
        <v>2355</v>
      </c>
      <c r="C2578" s="46" t="s">
        <v>317</v>
      </c>
      <c r="D2578" s="46" t="s">
        <v>18</v>
      </c>
      <c r="E2578" s="46" t="s">
        <v>13</v>
      </c>
      <c r="F2578" s="48">
        <v>82.1</v>
      </c>
    </row>
    <row r="2579">
      <c r="A2579" s="46" t="s">
        <v>313</v>
      </c>
      <c r="B2579" s="46" t="s">
        <v>4112</v>
      </c>
      <c r="C2579" s="46" t="s">
        <v>4105</v>
      </c>
      <c r="D2579" s="46" t="s">
        <v>18</v>
      </c>
      <c r="E2579" s="46" t="s">
        <v>13</v>
      </c>
      <c r="F2579" s="48">
        <v>88.0</v>
      </c>
    </row>
    <row r="2580">
      <c r="A2580" s="46" t="s">
        <v>322</v>
      </c>
      <c r="B2580" s="46" t="s">
        <v>2889</v>
      </c>
      <c r="C2580" s="46" t="s">
        <v>4116</v>
      </c>
      <c r="D2580" s="46" t="s">
        <v>18</v>
      </c>
      <c r="E2580" s="46" t="s">
        <v>13</v>
      </c>
      <c r="F2580" s="48">
        <v>89.1</v>
      </c>
    </row>
    <row r="2581">
      <c r="A2581" s="46" t="s">
        <v>322</v>
      </c>
      <c r="B2581" s="46" t="s">
        <v>4118</v>
      </c>
      <c r="C2581" s="46" t="s">
        <v>332</v>
      </c>
      <c r="D2581" s="46" t="s">
        <v>18</v>
      </c>
      <c r="E2581" s="46" t="s">
        <v>13</v>
      </c>
      <c r="F2581" s="48">
        <v>93.8</v>
      </c>
    </row>
    <row r="2582">
      <c r="A2582" s="46" t="s">
        <v>322</v>
      </c>
      <c r="B2582" s="46" t="s">
        <v>4120</v>
      </c>
      <c r="C2582" s="46" t="s">
        <v>329</v>
      </c>
      <c r="D2582" s="46" t="s">
        <v>18</v>
      </c>
      <c r="E2582" s="46" t="s">
        <v>13</v>
      </c>
      <c r="F2582" s="48">
        <v>84.3</v>
      </c>
    </row>
    <row r="2583">
      <c r="A2583" s="46" t="s">
        <v>322</v>
      </c>
      <c r="B2583" s="46" t="s">
        <v>4122</v>
      </c>
      <c r="C2583" s="46" t="s">
        <v>4123</v>
      </c>
      <c r="D2583" s="46" t="s">
        <v>17</v>
      </c>
      <c r="E2583" s="46" t="s">
        <v>13</v>
      </c>
      <c r="F2583" s="48">
        <v>68.7</v>
      </c>
    </row>
    <row r="2584">
      <c r="A2584" s="46" t="s">
        <v>354</v>
      </c>
      <c r="B2584" s="46" t="s">
        <v>4132</v>
      </c>
      <c r="C2584" s="46" t="s">
        <v>361</v>
      </c>
      <c r="D2584" s="46" t="s">
        <v>18</v>
      </c>
      <c r="E2584" s="46" t="s">
        <v>14</v>
      </c>
      <c r="F2584" s="48">
        <v>102.5</v>
      </c>
    </row>
    <row r="2585">
      <c r="A2585" s="46" t="s">
        <v>354</v>
      </c>
      <c r="B2585" s="46" t="s">
        <v>4134</v>
      </c>
      <c r="C2585" s="46" t="s">
        <v>2362</v>
      </c>
      <c r="D2585" s="46" t="s">
        <v>18</v>
      </c>
      <c r="E2585" s="46" t="s">
        <v>13</v>
      </c>
      <c r="F2585" s="48">
        <v>92.1</v>
      </c>
    </row>
    <row r="2586">
      <c r="A2586" s="46" t="s">
        <v>354</v>
      </c>
      <c r="B2586" s="46" t="s">
        <v>4144</v>
      </c>
      <c r="C2586" s="46" t="s">
        <v>4145</v>
      </c>
      <c r="D2586" s="46" t="s">
        <v>17</v>
      </c>
      <c r="E2586" s="46" t="s">
        <v>14</v>
      </c>
      <c r="F2586" s="48">
        <v>98.6</v>
      </c>
    </row>
    <row r="2587">
      <c r="A2587" s="46" t="s">
        <v>377</v>
      </c>
      <c r="B2587" s="46" t="s">
        <v>4154</v>
      </c>
      <c r="C2587" s="46" t="s">
        <v>2384</v>
      </c>
      <c r="D2587" s="46" t="s">
        <v>18</v>
      </c>
      <c r="E2587" s="46" t="s">
        <v>13</v>
      </c>
      <c r="F2587" s="48">
        <v>85.2</v>
      </c>
    </row>
    <row r="2588">
      <c r="A2588" s="46" t="s">
        <v>377</v>
      </c>
      <c r="B2588" s="46" t="s">
        <v>4158</v>
      </c>
      <c r="C2588" s="46" t="s">
        <v>2376</v>
      </c>
      <c r="D2588" s="46" t="s">
        <v>17</v>
      </c>
      <c r="E2588" s="46" t="s">
        <v>13</v>
      </c>
      <c r="F2588" s="48">
        <v>84.5</v>
      </c>
    </row>
    <row r="2589">
      <c r="A2589" s="46" t="s">
        <v>377</v>
      </c>
      <c r="B2589" s="46" t="s">
        <v>4160</v>
      </c>
      <c r="C2589" s="46" t="s">
        <v>2384</v>
      </c>
      <c r="D2589" s="46" t="s">
        <v>18</v>
      </c>
      <c r="E2589" s="46" t="s">
        <v>13</v>
      </c>
      <c r="F2589" s="48">
        <v>89.9</v>
      </c>
    </row>
    <row r="2590">
      <c r="A2590" s="46" t="s">
        <v>161</v>
      </c>
      <c r="B2590" s="46" t="s">
        <v>4166</v>
      </c>
      <c r="C2590" s="46" t="s">
        <v>411</v>
      </c>
      <c r="D2590" s="46" t="s">
        <v>18</v>
      </c>
      <c r="E2590" s="46" t="s">
        <v>13</v>
      </c>
      <c r="F2590" s="48">
        <v>81.2</v>
      </c>
    </row>
    <row r="2591">
      <c r="A2591" s="46" t="s">
        <v>161</v>
      </c>
      <c r="B2591" s="46" t="s">
        <v>4174</v>
      </c>
      <c r="C2591" s="46" t="s">
        <v>411</v>
      </c>
      <c r="D2591" s="46" t="s">
        <v>17</v>
      </c>
      <c r="E2591" s="46" t="s">
        <v>13</v>
      </c>
      <c r="F2591" s="48">
        <v>103.9</v>
      </c>
    </row>
    <row r="2592">
      <c r="A2592" s="46" t="s">
        <v>161</v>
      </c>
      <c r="B2592" s="46" t="s">
        <v>4176</v>
      </c>
      <c r="C2592" s="46" t="s">
        <v>4177</v>
      </c>
      <c r="D2592" s="46" t="s">
        <v>18</v>
      </c>
      <c r="E2592" s="46" t="s">
        <v>13</v>
      </c>
      <c r="F2592" s="48">
        <v>99.8</v>
      </c>
    </row>
    <row r="2593">
      <c r="A2593" s="46" t="s">
        <v>269</v>
      </c>
      <c r="B2593" s="46" t="s">
        <v>4183</v>
      </c>
      <c r="C2593" s="46" t="s">
        <v>420</v>
      </c>
      <c r="D2593" s="46" t="s">
        <v>17</v>
      </c>
      <c r="E2593" s="46" t="s">
        <v>14</v>
      </c>
      <c r="F2593" s="48">
        <v>101.5</v>
      </c>
    </row>
    <row r="2594">
      <c r="A2594" s="46" t="s">
        <v>269</v>
      </c>
      <c r="B2594" s="46" t="s">
        <v>4187</v>
      </c>
      <c r="C2594" s="46" t="s">
        <v>4188</v>
      </c>
      <c r="D2594" s="46" t="s">
        <v>18</v>
      </c>
      <c r="E2594" s="46" t="s">
        <v>14</v>
      </c>
      <c r="F2594" s="48">
        <v>93.1</v>
      </c>
    </row>
    <row r="2595">
      <c r="A2595" s="46" t="s">
        <v>313</v>
      </c>
      <c r="B2595" s="46" t="s">
        <v>1526</v>
      </c>
      <c r="C2595" s="46" t="s">
        <v>4192</v>
      </c>
      <c r="D2595" s="46" t="s">
        <v>17</v>
      </c>
      <c r="E2595" s="46" t="s">
        <v>13</v>
      </c>
      <c r="F2595" s="48">
        <v>81.0</v>
      </c>
    </row>
    <row r="2596">
      <c r="A2596" s="46" t="s">
        <v>313</v>
      </c>
      <c r="B2596" s="46" t="s">
        <v>4194</v>
      </c>
      <c r="C2596" s="46" t="s">
        <v>440</v>
      </c>
      <c r="D2596" s="46" t="s">
        <v>17</v>
      </c>
      <c r="E2596" s="46" t="s">
        <v>13</v>
      </c>
      <c r="F2596" s="48">
        <v>80.9</v>
      </c>
    </row>
    <row r="2597">
      <c r="A2597" s="46" t="s">
        <v>313</v>
      </c>
      <c r="B2597" s="46" t="s">
        <v>4196</v>
      </c>
      <c r="C2597" s="46" t="s">
        <v>2450</v>
      </c>
      <c r="D2597" s="46" t="s">
        <v>18</v>
      </c>
      <c r="E2597" s="46" t="s">
        <v>13</v>
      </c>
      <c r="F2597" s="48">
        <v>80.2</v>
      </c>
    </row>
    <row r="2598">
      <c r="A2598" s="46" t="s">
        <v>313</v>
      </c>
      <c r="B2598" s="46" t="s">
        <v>4198</v>
      </c>
      <c r="C2598" s="46" t="s">
        <v>440</v>
      </c>
      <c r="D2598" s="46" t="s">
        <v>18</v>
      </c>
      <c r="E2598" s="46" t="s">
        <v>13</v>
      </c>
      <c r="F2598" s="48">
        <v>88.0</v>
      </c>
    </row>
    <row r="2599">
      <c r="A2599" s="46" t="s">
        <v>354</v>
      </c>
      <c r="B2599" s="46" t="s">
        <v>1194</v>
      </c>
      <c r="C2599" s="46" t="s">
        <v>449</v>
      </c>
      <c r="D2599" s="46" t="s">
        <v>18</v>
      </c>
      <c r="E2599" s="46" t="s">
        <v>14</v>
      </c>
      <c r="F2599" s="48">
        <v>103.7</v>
      </c>
    </row>
    <row r="2600">
      <c r="A2600" s="46" t="s">
        <v>354</v>
      </c>
      <c r="B2600" s="46" t="s">
        <v>4209</v>
      </c>
      <c r="C2600" s="46" t="s">
        <v>471</v>
      </c>
      <c r="D2600" s="46" t="s">
        <v>18</v>
      </c>
      <c r="E2600" s="46" t="s">
        <v>13</v>
      </c>
      <c r="F2600" s="48">
        <v>96.7</v>
      </c>
    </row>
    <row r="2601">
      <c r="A2601" s="46" t="s">
        <v>354</v>
      </c>
      <c r="B2601" s="46" t="s">
        <v>4212</v>
      </c>
      <c r="C2601" s="46" t="s">
        <v>471</v>
      </c>
      <c r="D2601" s="46" t="s">
        <v>17</v>
      </c>
      <c r="E2601" s="46" t="s">
        <v>13</v>
      </c>
      <c r="F2601" s="48">
        <v>95.3</v>
      </c>
    </row>
    <row r="2602">
      <c r="A2602" s="46" t="s">
        <v>354</v>
      </c>
      <c r="B2602" s="46" t="s">
        <v>4220</v>
      </c>
      <c r="C2602" s="46" t="s">
        <v>449</v>
      </c>
      <c r="D2602" s="46" t="s">
        <v>17</v>
      </c>
      <c r="E2602" s="46" t="s">
        <v>13</v>
      </c>
      <c r="F2602" s="48">
        <v>97.8</v>
      </c>
    </row>
    <row r="2603">
      <c r="A2603" s="46" t="s">
        <v>483</v>
      </c>
      <c r="B2603" s="46" t="s">
        <v>4222</v>
      </c>
      <c r="C2603" s="46" t="s">
        <v>2476</v>
      </c>
      <c r="D2603" s="46" t="s">
        <v>17</v>
      </c>
      <c r="E2603" s="46" t="s">
        <v>13</v>
      </c>
      <c r="F2603" s="48">
        <v>78.4</v>
      </c>
    </row>
    <row r="2604">
      <c r="A2604" s="46" t="s">
        <v>483</v>
      </c>
      <c r="B2604" s="46" t="s">
        <v>4224</v>
      </c>
      <c r="C2604" s="46" t="s">
        <v>507</v>
      </c>
      <c r="D2604" s="46" t="s">
        <v>17</v>
      </c>
      <c r="E2604" s="46" t="s">
        <v>13</v>
      </c>
      <c r="F2604" s="48">
        <v>90.4</v>
      </c>
    </row>
    <row r="2605">
      <c r="A2605" s="46" t="s">
        <v>483</v>
      </c>
      <c r="B2605" s="46" t="s">
        <v>4228</v>
      </c>
      <c r="C2605" s="46" t="s">
        <v>4229</v>
      </c>
      <c r="D2605" s="46" t="s">
        <v>18</v>
      </c>
      <c r="E2605" s="46" t="s">
        <v>14</v>
      </c>
      <c r="F2605" s="48">
        <v>101.1</v>
      </c>
    </row>
    <row r="2606">
      <c r="A2606" s="46" t="s">
        <v>182</v>
      </c>
      <c r="B2606" s="46" t="s">
        <v>4242</v>
      </c>
      <c r="C2606" s="46" t="s">
        <v>182</v>
      </c>
      <c r="D2606" s="46" t="s">
        <v>18</v>
      </c>
      <c r="E2606" s="46" t="s">
        <v>13</v>
      </c>
      <c r="F2606" s="48">
        <v>89.9</v>
      </c>
    </row>
    <row r="2607">
      <c r="A2607" s="46" t="s">
        <v>182</v>
      </c>
      <c r="B2607" s="46" t="s">
        <v>4244</v>
      </c>
      <c r="C2607" s="46" t="s">
        <v>4238</v>
      </c>
      <c r="D2607" s="46" t="s">
        <v>17</v>
      </c>
      <c r="E2607" s="46" t="s">
        <v>14</v>
      </c>
      <c r="F2607" s="48">
        <v>102.3</v>
      </c>
    </row>
    <row r="2608">
      <c r="A2608" s="46" t="s">
        <v>182</v>
      </c>
      <c r="B2608" s="46" t="s">
        <v>4251</v>
      </c>
      <c r="C2608" s="46" t="s">
        <v>4252</v>
      </c>
      <c r="D2608" s="46" t="s">
        <v>17</v>
      </c>
      <c r="E2608" s="46" t="s">
        <v>13</v>
      </c>
      <c r="F2608" s="48">
        <v>101.7</v>
      </c>
    </row>
    <row r="2609">
      <c r="A2609" s="46" t="s">
        <v>182</v>
      </c>
      <c r="B2609" s="46" t="s">
        <v>4264</v>
      </c>
      <c r="C2609" s="46" t="s">
        <v>182</v>
      </c>
      <c r="D2609" s="46" t="s">
        <v>18</v>
      </c>
      <c r="E2609" s="46" t="s">
        <v>14</v>
      </c>
      <c r="F2609" s="48">
        <v>79.2</v>
      </c>
    </row>
    <row r="2610">
      <c r="A2610" s="46" t="s">
        <v>377</v>
      </c>
      <c r="B2610" s="46" t="s">
        <v>1631</v>
      </c>
      <c r="C2610" s="46" t="s">
        <v>4278</v>
      </c>
      <c r="D2610" s="46" t="s">
        <v>18</v>
      </c>
      <c r="E2610" s="46" t="s">
        <v>14</v>
      </c>
      <c r="F2610" s="48">
        <v>97.4</v>
      </c>
    </row>
    <row r="2611">
      <c r="A2611" s="46" t="s">
        <v>377</v>
      </c>
      <c r="B2611" s="46" t="s">
        <v>4284</v>
      </c>
      <c r="C2611" s="46" t="s">
        <v>4285</v>
      </c>
      <c r="D2611" s="46" t="s">
        <v>18</v>
      </c>
      <c r="E2611" s="46" t="s">
        <v>13</v>
      </c>
      <c r="F2611" s="48">
        <v>85.9</v>
      </c>
    </row>
    <row r="2612">
      <c r="A2612" s="46" t="s">
        <v>377</v>
      </c>
      <c r="B2612" s="46" t="s">
        <v>4287</v>
      </c>
      <c r="C2612" s="46" t="s">
        <v>2522</v>
      </c>
      <c r="D2612" s="46" t="s">
        <v>18</v>
      </c>
      <c r="E2612" s="46" t="s">
        <v>15</v>
      </c>
      <c r="F2612" s="48">
        <v>100.6</v>
      </c>
    </row>
    <row r="2613">
      <c r="A2613" s="46" t="s">
        <v>377</v>
      </c>
      <c r="B2613" s="46" t="s">
        <v>4289</v>
      </c>
      <c r="C2613" s="46" t="s">
        <v>377</v>
      </c>
      <c r="D2613" s="46" t="s">
        <v>18</v>
      </c>
      <c r="E2613" s="46" t="s">
        <v>13</v>
      </c>
      <c r="F2613" s="48">
        <v>75.4</v>
      </c>
    </row>
    <row r="2614">
      <c r="A2614" s="46" t="s">
        <v>377</v>
      </c>
      <c r="B2614" s="46" t="s">
        <v>4291</v>
      </c>
      <c r="C2614" s="46" t="s">
        <v>377</v>
      </c>
      <c r="D2614" s="46" t="s">
        <v>18</v>
      </c>
      <c r="E2614" s="46" t="s">
        <v>13</v>
      </c>
      <c r="F2614" s="48">
        <v>85.5</v>
      </c>
    </row>
    <row r="2615">
      <c r="A2615" s="46" t="s">
        <v>377</v>
      </c>
      <c r="B2615" s="46" t="s">
        <v>2869</v>
      </c>
      <c r="C2615" s="46" t="s">
        <v>4278</v>
      </c>
      <c r="D2615" s="46" t="s">
        <v>17</v>
      </c>
      <c r="E2615" s="46" t="s">
        <v>13</v>
      </c>
      <c r="F2615" s="48">
        <v>95.0</v>
      </c>
    </row>
    <row r="2616">
      <c r="A2616" s="46" t="s">
        <v>377</v>
      </c>
      <c r="B2616" s="46" t="s">
        <v>4298</v>
      </c>
      <c r="C2616" s="46" t="s">
        <v>4299</v>
      </c>
      <c r="D2616" s="46" t="s">
        <v>18</v>
      </c>
      <c r="E2616" s="46" t="s">
        <v>13</v>
      </c>
      <c r="F2616" s="48">
        <v>92.6</v>
      </c>
    </row>
    <row r="2617">
      <c r="A2617" s="46" t="s">
        <v>377</v>
      </c>
      <c r="B2617" s="46" t="s">
        <v>4301</v>
      </c>
      <c r="C2617" s="46" t="s">
        <v>586</v>
      </c>
      <c r="D2617" s="46" t="s">
        <v>18</v>
      </c>
      <c r="E2617" s="46" t="s">
        <v>14</v>
      </c>
      <c r="F2617" s="48">
        <v>103.6</v>
      </c>
    </row>
    <row r="2618">
      <c r="A2618" s="46" t="s">
        <v>377</v>
      </c>
      <c r="B2618" s="46" t="s">
        <v>4303</v>
      </c>
      <c r="C2618" s="46" t="s">
        <v>605</v>
      </c>
      <c r="D2618" s="46" t="s">
        <v>18</v>
      </c>
      <c r="E2618" s="46" t="s">
        <v>13</v>
      </c>
      <c r="F2618" s="48">
        <v>87.9</v>
      </c>
    </row>
    <row r="2619">
      <c r="A2619" s="46" t="s">
        <v>483</v>
      </c>
      <c r="B2619" s="46" t="s">
        <v>4310</v>
      </c>
      <c r="C2619" s="46" t="s">
        <v>4308</v>
      </c>
      <c r="D2619" s="46" t="s">
        <v>18</v>
      </c>
      <c r="E2619" s="46" t="s">
        <v>13</v>
      </c>
      <c r="F2619" s="48">
        <v>91.3</v>
      </c>
    </row>
    <row r="2620">
      <c r="A2620" s="46" t="s">
        <v>483</v>
      </c>
      <c r="B2620" s="46" t="s">
        <v>2446</v>
      </c>
      <c r="C2620" s="46" t="s">
        <v>2545</v>
      </c>
      <c r="D2620" s="46" t="s">
        <v>18</v>
      </c>
      <c r="E2620" s="46" t="s">
        <v>14</v>
      </c>
      <c r="F2620" s="48">
        <v>88.1</v>
      </c>
    </row>
    <row r="2621">
      <c r="A2621" s="46" t="s">
        <v>483</v>
      </c>
      <c r="B2621" s="46" t="s">
        <v>4313</v>
      </c>
      <c r="C2621" s="46" t="s">
        <v>2545</v>
      </c>
      <c r="D2621" s="46" t="s">
        <v>18</v>
      </c>
      <c r="E2621" s="46" t="s">
        <v>13</v>
      </c>
      <c r="F2621" s="48">
        <v>73.4</v>
      </c>
    </row>
    <row r="2622">
      <c r="A2622" s="46" t="s">
        <v>483</v>
      </c>
      <c r="B2622" s="46" t="s">
        <v>4315</v>
      </c>
      <c r="C2622" s="46" t="s">
        <v>4316</v>
      </c>
      <c r="D2622" s="46" t="s">
        <v>18</v>
      </c>
      <c r="E2622" s="46" t="s">
        <v>14</v>
      </c>
      <c r="F2622" s="48">
        <v>99.7</v>
      </c>
    </row>
    <row r="2623">
      <c r="A2623" s="46" t="s">
        <v>483</v>
      </c>
      <c r="B2623" s="46" t="s">
        <v>4320</v>
      </c>
      <c r="C2623" s="46" t="s">
        <v>483</v>
      </c>
      <c r="D2623" s="46" t="s">
        <v>18</v>
      </c>
      <c r="E2623" s="46" t="s">
        <v>13</v>
      </c>
      <c r="F2623" s="48">
        <v>79.0</v>
      </c>
    </row>
    <row r="2624">
      <c r="A2624" s="46" t="s">
        <v>483</v>
      </c>
      <c r="B2624" s="46" t="s">
        <v>4322</v>
      </c>
      <c r="C2624" s="46" t="s">
        <v>4323</v>
      </c>
      <c r="D2624" s="46" t="s">
        <v>18</v>
      </c>
      <c r="E2624" s="46" t="s">
        <v>13</v>
      </c>
      <c r="F2624" s="48">
        <v>88.1</v>
      </c>
    </row>
    <row r="2625">
      <c r="A2625" s="46" t="s">
        <v>483</v>
      </c>
      <c r="B2625" s="46" t="s">
        <v>4325</v>
      </c>
      <c r="C2625" s="46" t="s">
        <v>615</v>
      </c>
      <c r="D2625" s="46" t="s">
        <v>18</v>
      </c>
      <c r="E2625" s="46" t="s">
        <v>13</v>
      </c>
      <c r="F2625" s="48">
        <v>93.4</v>
      </c>
    </row>
    <row r="2626">
      <c r="A2626" s="46" t="s">
        <v>483</v>
      </c>
      <c r="B2626" s="46" t="s">
        <v>4327</v>
      </c>
      <c r="C2626" s="46" t="s">
        <v>4308</v>
      </c>
      <c r="D2626" s="46" t="s">
        <v>17</v>
      </c>
      <c r="E2626" s="46" t="s">
        <v>13</v>
      </c>
      <c r="F2626" s="48">
        <v>91.3</v>
      </c>
    </row>
    <row r="2627">
      <c r="A2627" s="46" t="s">
        <v>354</v>
      </c>
      <c r="B2627" s="46" t="s">
        <v>4339</v>
      </c>
      <c r="C2627" s="46" t="s">
        <v>4340</v>
      </c>
      <c r="D2627" s="46" t="s">
        <v>18</v>
      </c>
      <c r="E2627" s="46" t="s">
        <v>13</v>
      </c>
      <c r="F2627" s="48">
        <v>87.6</v>
      </c>
    </row>
    <row r="2628">
      <c r="A2628" s="46" t="s">
        <v>354</v>
      </c>
      <c r="B2628" s="46" t="s">
        <v>4346</v>
      </c>
      <c r="C2628" s="46" t="s">
        <v>354</v>
      </c>
      <c r="D2628" s="46" t="s">
        <v>18</v>
      </c>
      <c r="E2628" s="46" t="s">
        <v>13</v>
      </c>
      <c r="F2628" s="48">
        <v>91.3</v>
      </c>
    </row>
    <row r="2629">
      <c r="A2629" s="46" t="s">
        <v>354</v>
      </c>
      <c r="B2629" s="46" t="s">
        <v>4348</v>
      </c>
      <c r="C2629" s="46" t="s">
        <v>354</v>
      </c>
      <c r="D2629" s="46" t="s">
        <v>18</v>
      </c>
      <c r="E2629" s="46" t="s">
        <v>13</v>
      </c>
      <c r="F2629" s="48">
        <v>91.7</v>
      </c>
    </row>
    <row r="2630">
      <c r="A2630" s="46" t="s">
        <v>354</v>
      </c>
      <c r="B2630" s="46" t="s">
        <v>4355</v>
      </c>
      <c r="C2630" s="46" t="s">
        <v>2563</v>
      </c>
      <c r="D2630" s="46" t="s">
        <v>18</v>
      </c>
      <c r="E2630" s="46" t="s">
        <v>13</v>
      </c>
      <c r="F2630" s="48">
        <v>83.6</v>
      </c>
    </row>
    <row r="2631">
      <c r="A2631" s="46" t="s">
        <v>354</v>
      </c>
      <c r="B2631" s="46" t="s">
        <v>2854</v>
      </c>
      <c r="C2631" s="46" t="s">
        <v>2552</v>
      </c>
      <c r="D2631" s="46" t="s">
        <v>18</v>
      </c>
      <c r="E2631" s="46" t="s">
        <v>13</v>
      </c>
      <c r="F2631" s="48">
        <v>91.8</v>
      </c>
    </row>
    <row r="2632">
      <c r="A2632" s="46" t="s">
        <v>354</v>
      </c>
      <c r="B2632" s="46" t="s">
        <v>4371</v>
      </c>
      <c r="C2632" s="46" t="s">
        <v>354</v>
      </c>
      <c r="D2632" s="46" t="s">
        <v>18</v>
      </c>
      <c r="E2632" s="46" t="s">
        <v>13</v>
      </c>
      <c r="F2632" s="48">
        <v>89.5</v>
      </c>
    </row>
    <row r="2633">
      <c r="A2633" s="46" t="s">
        <v>354</v>
      </c>
      <c r="B2633" s="46" t="s">
        <v>4386</v>
      </c>
      <c r="C2633" s="46" t="s">
        <v>4340</v>
      </c>
      <c r="D2633" s="46" t="s">
        <v>17</v>
      </c>
      <c r="E2633" s="46" t="s">
        <v>15</v>
      </c>
      <c r="F2633" s="48">
        <v>101.8</v>
      </c>
    </row>
    <row r="2634">
      <c r="A2634" s="46" t="s">
        <v>313</v>
      </c>
      <c r="B2634" s="46" t="s">
        <v>4391</v>
      </c>
      <c r="C2634" s="46" t="s">
        <v>640</v>
      </c>
      <c r="D2634" s="46" t="s">
        <v>18</v>
      </c>
      <c r="E2634" s="46" t="s">
        <v>13</v>
      </c>
      <c r="F2634" s="48">
        <v>94.1</v>
      </c>
    </row>
    <row r="2635">
      <c r="A2635" s="46" t="s">
        <v>161</v>
      </c>
      <c r="B2635" s="46" t="s">
        <v>4397</v>
      </c>
      <c r="C2635" s="46" t="s">
        <v>161</v>
      </c>
      <c r="D2635" s="46" t="s">
        <v>17</v>
      </c>
      <c r="E2635" s="46" t="s">
        <v>15</v>
      </c>
      <c r="F2635" s="48">
        <v>99.1</v>
      </c>
    </row>
    <row r="2636">
      <c r="A2636" s="46" t="s">
        <v>161</v>
      </c>
      <c r="B2636" s="46" t="s">
        <v>4410</v>
      </c>
      <c r="C2636" s="46" t="s">
        <v>4411</v>
      </c>
      <c r="D2636" s="46" t="s">
        <v>18</v>
      </c>
      <c r="E2636" s="46" t="s">
        <v>13</v>
      </c>
      <c r="F2636" s="48">
        <v>89.7</v>
      </c>
    </row>
    <row r="2637">
      <c r="A2637" s="46" t="s">
        <v>377</v>
      </c>
      <c r="B2637" s="46" t="s">
        <v>4423</v>
      </c>
      <c r="C2637" s="46" t="s">
        <v>4424</v>
      </c>
      <c r="D2637" s="46" t="s">
        <v>18</v>
      </c>
      <c r="E2637" s="46" t="s">
        <v>13</v>
      </c>
      <c r="F2637" s="48">
        <v>94.9</v>
      </c>
    </row>
    <row r="2638">
      <c r="A2638" s="46" t="s">
        <v>377</v>
      </c>
      <c r="B2638" s="46" t="s">
        <v>4426</v>
      </c>
      <c r="C2638" s="46" t="s">
        <v>4427</v>
      </c>
      <c r="D2638" s="46" t="s">
        <v>18</v>
      </c>
      <c r="E2638" s="46" t="s">
        <v>13</v>
      </c>
      <c r="F2638" s="48">
        <v>89.2</v>
      </c>
    </row>
    <row r="2639">
      <c r="A2639" s="46" t="s">
        <v>377</v>
      </c>
      <c r="B2639" s="46" t="s">
        <v>4429</v>
      </c>
      <c r="C2639" s="46" t="s">
        <v>4427</v>
      </c>
      <c r="D2639" s="46" t="s">
        <v>18</v>
      </c>
      <c r="E2639" s="46" t="s">
        <v>13</v>
      </c>
      <c r="F2639" s="48">
        <v>83.5</v>
      </c>
    </row>
    <row r="2640">
      <c r="A2640" s="46" t="s">
        <v>377</v>
      </c>
      <c r="B2640" s="46" t="s">
        <v>4431</v>
      </c>
      <c r="C2640" s="46" t="s">
        <v>4421</v>
      </c>
      <c r="D2640" s="46" t="s">
        <v>18</v>
      </c>
      <c r="E2640" s="46" t="s">
        <v>13</v>
      </c>
      <c r="F2640" s="48">
        <v>83.0</v>
      </c>
    </row>
    <row r="2641">
      <c r="A2641" s="46" t="s">
        <v>377</v>
      </c>
      <c r="B2641" s="46" t="s">
        <v>4433</v>
      </c>
      <c r="C2641" s="46" t="s">
        <v>723</v>
      </c>
      <c r="D2641" s="46" t="s">
        <v>18</v>
      </c>
      <c r="E2641" s="46" t="s">
        <v>13</v>
      </c>
      <c r="F2641" s="48">
        <v>89.0</v>
      </c>
    </row>
    <row r="2642">
      <c r="A2642" s="46" t="s">
        <v>377</v>
      </c>
      <c r="B2642" s="46" t="s">
        <v>4435</v>
      </c>
      <c r="C2642" s="46" t="s">
        <v>726</v>
      </c>
      <c r="D2642" s="46" t="s">
        <v>17</v>
      </c>
      <c r="E2642" s="46" t="s">
        <v>13</v>
      </c>
      <c r="F2642" s="48">
        <v>90.1</v>
      </c>
    </row>
    <row r="2643">
      <c r="A2643" s="46" t="s">
        <v>71</v>
      </c>
      <c r="B2643" s="46" t="s">
        <v>4445</v>
      </c>
      <c r="C2643" s="46" t="s">
        <v>745</v>
      </c>
      <c r="D2643" s="46" t="s">
        <v>18</v>
      </c>
      <c r="E2643" s="46" t="s">
        <v>15</v>
      </c>
      <c r="F2643" s="48">
        <v>102.1</v>
      </c>
    </row>
    <row r="2644">
      <c r="A2644" s="46" t="s">
        <v>71</v>
      </c>
      <c r="B2644" s="46" t="s">
        <v>4449</v>
      </c>
      <c r="C2644" s="46" t="s">
        <v>4450</v>
      </c>
      <c r="D2644" s="46" t="s">
        <v>18</v>
      </c>
      <c r="E2644" s="46" t="s">
        <v>13</v>
      </c>
      <c r="F2644" s="48">
        <v>84.0</v>
      </c>
    </row>
    <row r="2645">
      <c r="A2645" s="46" t="s">
        <v>71</v>
      </c>
      <c r="B2645" s="46" t="s">
        <v>4452</v>
      </c>
      <c r="C2645" s="46" t="s">
        <v>748</v>
      </c>
      <c r="D2645" s="46" t="s">
        <v>18</v>
      </c>
      <c r="E2645" s="46" t="s">
        <v>13</v>
      </c>
      <c r="F2645" s="48">
        <v>87.0</v>
      </c>
    </row>
    <row r="2646">
      <c r="A2646" s="46" t="s">
        <v>71</v>
      </c>
      <c r="B2646" s="46" t="s">
        <v>4454</v>
      </c>
      <c r="C2646" s="46" t="s">
        <v>748</v>
      </c>
      <c r="D2646" s="46" t="s">
        <v>17</v>
      </c>
      <c r="E2646" s="46" t="s">
        <v>13</v>
      </c>
      <c r="F2646" s="48">
        <v>97.3</v>
      </c>
    </row>
    <row r="2647">
      <c r="A2647" s="46" t="s">
        <v>71</v>
      </c>
      <c r="B2647" s="46" t="s">
        <v>4456</v>
      </c>
      <c r="C2647" s="46" t="s">
        <v>4450</v>
      </c>
      <c r="D2647" s="46" t="s">
        <v>17</v>
      </c>
      <c r="E2647" s="46" t="s">
        <v>13</v>
      </c>
      <c r="F2647" s="48">
        <v>100.1</v>
      </c>
    </row>
    <row r="2648">
      <c r="A2648" s="46" t="s">
        <v>71</v>
      </c>
      <c r="B2648" s="46" t="s">
        <v>4461</v>
      </c>
      <c r="C2648" s="46" t="s">
        <v>4462</v>
      </c>
      <c r="D2648" s="46" t="s">
        <v>18</v>
      </c>
      <c r="E2648" s="46" t="s">
        <v>13</v>
      </c>
      <c r="F2648" s="48">
        <v>78.3</v>
      </c>
    </row>
    <row r="2649">
      <c r="A2649" s="46" t="s">
        <v>71</v>
      </c>
      <c r="B2649" s="46" t="s">
        <v>4464</v>
      </c>
      <c r="C2649" s="46" t="s">
        <v>4465</v>
      </c>
      <c r="D2649" s="46" t="s">
        <v>18</v>
      </c>
      <c r="E2649" s="46" t="s">
        <v>13</v>
      </c>
      <c r="F2649" s="48">
        <v>85.4</v>
      </c>
    </row>
    <row r="2650">
      <c r="A2650" s="46" t="s">
        <v>71</v>
      </c>
      <c r="B2650" s="46" t="s">
        <v>4467</v>
      </c>
      <c r="C2650" s="46" t="s">
        <v>4450</v>
      </c>
      <c r="D2650" s="46" t="s">
        <v>18</v>
      </c>
      <c r="E2650" s="46" t="s">
        <v>13</v>
      </c>
      <c r="F2650" s="48">
        <v>89.3</v>
      </c>
    </row>
    <row r="2651">
      <c r="A2651" s="46" t="s">
        <v>71</v>
      </c>
      <c r="B2651" s="46" t="s">
        <v>4469</v>
      </c>
      <c r="C2651" s="46" t="s">
        <v>748</v>
      </c>
      <c r="D2651" s="46" t="s">
        <v>17</v>
      </c>
      <c r="E2651" s="46" t="s">
        <v>13</v>
      </c>
      <c r="F2651" s="48">
        <v>86.3</v>
      </c>
    </row>
    <row r="2652">
      <c r="A2652" s="46" t="s">
        <v>71</v>
      </c>
      <c r="B2652" s="46" t="s">
        <v>4471</v>
      </c>
      <c r="C2652" s="46" t="s">
        <v>748</v>
      </c>
      <c r="D2652" s="46" t="s">
        <v>17</v>
      </c>
      <c r="E2652" s="46" t="s">
        <v>13</v>
      </c>
      <c r="F2652" s="48">
        <v>66.0</v>
      </c>
    </row>
    <row r="2653">
      <c r="A2653" s="46" t="s">
        <v>116</v>
      </c>
      <c r="B2653" s="46" t="s">
        <v>4473</v>
      </c>
      <c r="C2653" s="46" t="s">
        <v>767</v>
      </c>
      <c r="D2653" s="46" t="s">
        <v>18</v>
      </c>
      <c r="E2653" s="46" t="s">
        <v>13</v>
      </c>
      <c r="F2653" s="48">
        <v>82.9</v>
      </c>
    </row>
    <row r="2654">
      <c r="A2654" s="46" t="s">
        <v>116</v>
      </c>
      <c r="B2654" s="46" t="s">
        <v>4475</v>
      </c>
      <c r="C2654" s="46" t="s">
        <v>767</v>
      </c>
      <c r="D2654" s="46" t="s">
        <v>17</v>
      </c>
      <c r="E2654" s="46" t="s">
        <v>14</v>
      </c>
      <c r="F2654" s="48">
        <v>92.6</v>
      </c>
    </row>
    <row r="2655">
      <c r="A2655" s="46" t="s">
        <v>779</v>
      </c>
      <c r="B2655" s="46" t="s">
        <v>4480</v>
      </c>
      <c r="C2655" s="46" t="s">
        <v>779</v>
      </c>
      <c r="D2655" s="46" t="s">
        <v>18</v>
      </c>
      <c r="E2655" s="46" t="s">
        <v>13</v>
      </c>
      <c r="F2655" s="48">
        <v>93.1</v>
      </c>
    </row>
    <row r="2656">
      <c r="A2656" s="46" t="s">
        <v>779</v>
      </c>
      <c r="B2656" s="46" t="s">
        <v>4482</v>
      </c>
      <c r="C2656" s="46" t="s">
        <v>2711</v>
      </c>
      <c r="D2656" s="46" t="s">
        <v>18</v>
      </c>
      <c r="E2656" s="46" t="s">
        <v>13</v>
      </c>
      <c r="F2656" s="48">
        <v>87.0</v>
      </c>
    </row>
    <row r="2657">
      <c r="A2657" s="46" t="s">
        <v>779</v>
      </c>
      <c r="B2657" s="46" t="s">
        <v>4484</v>
      </c>
      <c r="C2657" s="46" t="s">
        <v>801</v>
      </c>
      <c r="D2657" s="46" t="s">
        <v>18</v>
      </c>
      <c r="E2657" s="46" t="s">
        <v>13</v>
      </c>
      <c r="F2657" s="48">
        <v>83.6</v>
      </c>
    </row>
    <row r="2658">
      <c r="A2658" s="46" t="s">
        <v>779</v>
      </c>
      <c r="B2658" s="46" t="s">
        <v>4489</v>
      </c>
      <c r="C2658" s="46" t="s">
        <v>818</v>
      </c>
      <c r="D2658" s="46" t="s">
        <v>18</v>
      </c>
      <c r="E2658" s="46" t="s">
        <v>13</v>
      </c>
      <c r="F2658" s="48">
        <v>95.0</v>
      </c>
    </row>
    <row r="2659">
      <c r="A2659" s="46" t="s">
        <v>779</v>
      </c>
      <c r="B2659" s="46" t="s">
        <v>4491</v>
      </c>
      <c r="C2659" s="46" t="s">
        <v>2724</v>
      </c>
      <c r="D2659" s="46" t="s">
        <v>17</v>
      </c>
      <c r="E2659" s="46" t="s">
        <v>13</v>
      </c>
      <c r="F2659" s="48">
        <v>100.1</v>
      </c>
    </row>
    <row r="2660">
      <c r="A2660" s="46" t="s">
        <v>313</v>
      </c>
      <c r="B2660" s="46" t="s">
        <v>4515</v>
      </c>
      <c r="C2660" s="46" t="s">
        <v>4516</v>
      </c>
      <c r="D2660" s="46" t="s">
        <v>17</v>
      </c>
      <c r="E2660" s="46" t="s">
        <v>13</v>
      </c>
      <c r="F2660" s="48">
        <v>82.5</v>
      </c>
    </row>
    <row r="2661">
      <c r="A2661" s="46" t="s">
        <v>313</v>
      </c>
      <c r="B2661" s="46" t="s">
        <v>4520</v>
      </c>
      <c r="C2661" s="46" t="s">
        <v>830</v>
      </c>
      <c r="D2661" s="46" t="s">
        <v>18</v>
      </c>
      <c r="E2661" s="46" t="s">
        <v>13</v>
      </c>
      <c r="F2661" s="48">
        <v>81.8</v>
      </c>
    </row>
    <row r="2662">
      <c r="A2662" s="46" t="s">
        <v>377</v>
      </c>
      <c r="B2662" s="46" t="s">
        <v>4529</v>
      </c>
      <c r="C2662" s="46" t="s">
        <v>4530</v>
      </c>
      <c r="D2662" s="46" t="s">
        <v>18</v>
      </c>
      <c r="E2662" s="46" t="s">
        <v>14</v>
      </c>
      <c r="F2662" s="48">
        <v>95.8</v>
      </c>
    </row>
    <row r="2663">
      <c r="A2663" s="46" t="s">
        <v>377</v>
      </c>
      <c r="B2663" s="46" t="s">
        <v>4534</v>
      </c>
      <c r="C2663" s="46" t="s">
        <v>4527</v>
      </c>
      <c r="D2663" s="46" t="s">
        <v>17</v>
      </c>
      <c r="E2663" s="46" t="s">
        <v>15</v>
      </c>
      <c r="F2663" s="48">
        <v>103.2</v>
      </c>
    </row>
    <row r="2664">
      <c r="A2664" s="46" t="s">
        <v>377</v>
      </c>
      <c r="B2664" s="46" t="s">
        <v>4538</v>
      </c>
      <c r="C2664" s="46" t="s">
        <v>4527</v>
      </c>
      <c r="D2664" s="46" t="s">
        <v>17</v>
      </c>
      <c r="E2664" s="46" t="s">
        <v>13</v>
      </c>
      <c r="F2664" s="48">
        <v>82.8</v>
      </c>
    </row>
    <row r="2665">
      <c r="A2665" s="46" t="s">
        <v>483</v>
      </c>
      <c r="B2665" s="46" t="s">
        <v>4540</v>
      </c>
      <c r="C2665" s="46" t="s">
        <v>4541</v>
      </c>
      <c r="D2665" s="46" t="s">
        <v>17</v>
      </c>
      <c r="E2665" s="46" t="s">
        <v>14</v>
      </c>
      <c r="F2665" s="48">
        <v>94.9</v>
      </c>
    </row>
    <row r="2666">
      <c r="A2666" s="46" t="s">
        <v>779</v>
      </c>
      <c r="B2666" s="46" t="s">
        <v>4548</v>
      </c>
      <c r="C2666" s="46" t="s">
        <v>867</v>
      </c>
      <c r="D2666" s="46" t="s">
        <v>18</v>
      </c>
      <c r="E2666" s="46" t="s">
        <v>14</v>
      </c>
      <c r="F2666" s="48">
        <v>91.9</v>
      </c>
    </row>
    <row r="2667">
      <c r="A2667" s="46" t="s">
        <v>779</v>
      </c>
      <c r="B2667" s="46" t="s">
        <v>4553</v>
      </c>
      <c r="C2667" s="46" t="s">
        <v>4554</v>
      </c>
      <c r="D2667" s="46" t="s">
        <v>17</v>
      </c>
      <c r="E2667" s="46" t="s">
        <v>14</v>
      </c>
      <c r="F2667" s="48">
        <v>99.3</v>
      </c>
    </row>
    <row r="2668">
      <c r="A2668" s="46" t="s">
        <v>779</v>
      </c>
      <c r="B2668" s="46" t="s">
        <v>4556</v>
      </c>
      <c r="C2668" s="46" t="s">
        <v>4551</v>
      </c>
      <c r="D2668" s="46" t="s">
        <v>17</v>
      </c>
      <c r="E2668" s="46" t="s">
        <v>13</v>
      </c>
      <c r="F2668" s="48">
        <v>97.6</v>
      </c>
    </row>
    <row r="2669">
      <c r="A2669" s="46" t="s">
        <v>779</v>
      </c>
      <c r="B2669" s="46" t="s">
        <v>4563</v>
      </c>
      <c r="C2669" s="46" t="s">
        <v>859</v>
      </c>
      <c r="D2669" s="46" t="s">
        <v>17</v>
      </c>
      <c r="E2669" s="46" t="s">
        <v>13</v>
      </c>
      <c r="F2669" s="48">
        <v>95.3</v>
      </c>
    </row>
    <row r="2670">
      <c r="A2670" s="46" t="s">
        <v>269</v>
      </c>
      <c r="B2670" s="46" t="s">
        <v>4572</v>
      </c>
      <c r="C2670" s="46" t="s">
        <v>884</v>
      </c>
      <c r="D2670" s="46" t="s">
        <v>17</v>
      </c>
      <c r="E2670" s="46" t="s">
        <v>13</v>
      </c>
      <c r="F2670" s="48">
        <v>99.0</v>
      </c>
    </row>
    <row r="2671">
      <c r="A2671" s="46" t="s">
        <v>269</v>
      </c>
      <c r="B2671" s="46" t="s">
        <v>4574</v>
      </c>
      <c r="C2671" s="46" t="s">
        <v>903</v>
      </c>
      <c r="D2671" s="46" t="s">
        <v>17</v>
      </c>
      <c r="E2671" s="46" t="s">
        <v>13</v>
      </c>
      <c r="F2671" s="48">
        <v>85.0</v>
      </c>
    </row>
    <row r="2672">
      <c r="A2672" s="46" t="s">
        <v>169</v>
      </c>
      <c r="B2672" s="46" t="s">
        <v>4576</v>
      </c>
      <c r="C2672" s="46" t="s">
        <v>169</v>
      </c>
      <c r="D2672" s="46" t="s">
        <v>18</v>
      </c>
      <c r="E2672" s="46" t="s">
        <v>13</v>
      </c>
      <c r="F2672" s="48">
        <v>78.1</v>
      </c>
    </row>
    <row r="2673">
      <c r="A2673" s="46" t="s">
        <v>169</v>
      </c>
      <c r="B2673" s="46" t="s">
        <v>3066</v>
      </c>
      <c r="C2673" s="46" t="s">
        <v>4580</v>
      </c>
      <c r="D2673" s="46" t="s">
        <v>18</v>
      </c>
      <c r="E2673" s="46" t="s">
        <v>15</v>
      </c>
      <c r="F2673" s="48">
        <v>102.5</v>
      </c>
    </row>
    <row r="2674">
      <c r="A2674" s="46" t="s">
        <v>169</v>
      </c>
      <c r="B2674" s="46" t="s">
        <v>4582</v>
      </c>
      <c r="C2674" s="46" t="s">
        <v>4580</v>
      </c>
      <c r="D2674" s="46" t="s">
        <v>18</v>
      </c>
      <c r="E2674" s="46" t="s">
        <v>13</v>
      </c>
      <c r="F2674" s="48">
        <v>80.6</v>
      </c>
    </row>
    <row r="2675">
      <c r="A2675" s="46" t="s">
        <v>169</v>
      </c>
      <c r="B2675" s="46" t="s">
        <v>4586</v>
      </c>
      <c r="C2675" s="46" t="s">
        <v>4587</v>
      </c>
      <c r="D2675" s="46" t="s">
        <v>18</v>
      </c>
      <c r="E2675" s="46" t="s">
        <v>13</v>
      </c>
      <c r="F2675" s="48">
        <v>82.3</v>
      </c>
    </row>
    <row r="2676">
      <c r="A2676" s="46" t="s">
        <v>779</v>
      </c>
      <c r="B2676" s="46" t="s">
        <v>985</v>
      </c>
      <c r="C2676" s="46" t="s">
        <v>4591</v>
      </c>
      <c r="D2676" s="46" t="s">
        <v>18</v>
      </c>
      <c r="E2676" s="46" t="s">
        <v>13</v>
      </c>
      <c r="F2676" s="48">
        <v>85.5</v>
      </c>
    </row>
    <row r="2677">
      <c r="A2677" s="46" t="s">
        <v>779</v>
      </c>
      <c r="B2677" s="46" t="s">
        <v>1631</v>
      </c>
      <c r="C2677" s="46" t="s">
        <v>927</v>
      </c>
      <c r="D2677" s="46" t="s">
        <v>18</v>
      </c>
      <c r="E2677" s="46" t="s">
        <v>13</v>
      </c>
      <c r="F2677" s="48">
        <v>86.2</v>
      </c>
    </row>
    <row r="2678">
      <c r="A2678" s="46" t="s">
        <v>930</v>
      </c>
      <c r="B2678" s="46" t="s">
        <v>4602</v>
      </c>
      <c r="C2678" s="46" t="s">
        <v>937</v>
      </c>
      <c r="D2678" s="46" t="s">
        <v>18</v>
      </c>
      <c r="E2678" s="46" t="s">
        <v>13</v>
      </c>
      <c r="F2678" s="48">
        <v>82.1</v>
      </c>
    </row>
    <row r="2679">
      <c r="A2679" s="46" t="s">
        <v>930</v>
      </c>
      <c r="B2679" s="46" t="s">
        <v>4606</v>
      </c>
      <c r="C2679" s="46" t="s">
        <v>4607</v>
      </c>
      <c r="D2679" s="46" t="s">
        <v>17</v>
      </c>
      <c r="E2679" s="46" t="s">
        <v>13</v>
      </c>
      <c r="F2679" s="48">
        <v>99.9</v>
      </c>
    </row>
    <row r="2680">
      <c r="A2680" s="46" t="s">
        <v>930</v>
      </c>
      <c r="B2680" s="46" t="s">
        <v>1526</v>
      </c>
      <c r="C2680" s="46" t="s">
        <v>4609</v>
      </c>
      <c r="D2680" s="46" t="s">
        <v>17</v>
      </c>
      <c r="E2680" s="46" t="s">
        <v>13</v>
      </c>
      <c r="F2680" s="48">
        <v>88.1</v>
      </c>
    </row>
    <row r="2681">
      <c r="A2681" s="46" t="s">
        <v>930</v>
      </c>
      <c r="B2681" s="46" t="s">
        <v>4613</v>
      </c>
      <c r="C2681" s="46" t="s">
        <v>937</v>
      </c>
      <c r="D2681" s="46" t="s">
        <v>17</v>
      </c>
      <c r="E2681" s="46" t="s">
        <v>13</v>
      </c>
      <c r="F2681" s="48">
        <v>82.4</v>
      </c>
    </row>
    <row r="2682">
      <c r="A2682" s="46" t="s">
        <v>930</v>
      </c>
      <c r="B2682" s="46" t="s">
        <v>4615</v>
      </c>
      <c r="C2682" s="46" t="s">
        <v>2820</v>
      </c>
      <c r="D2682" s="46" t="s">
        <v>17</v>
      </c>
      <c r="E2682" s="46" t="s">
        <v>13</v>
      </c>
      <c r="F2682" s="48">
        <v>98.2</v>
      </c>
    </row>
    <row r="2683">
      <c r="A2683" s="46" t="s">
        <v>930</v>
      </c>
      <c r="B2683" s="46" t="s">
        <v>3159</v>
      </c>
      <c r="C2683" s="46" t="s">
        <v>937</v>
      </c>
      <c r="D2683" s="46" t="s">
        <v>17</v>
      </c>
      <c r="E2683" s="46" t="s">
        <v>13</v>
      </c>
      <c r="F2683" s="48">
        <v>81.2</v>
      </c>
    </row>
    <row r="2684">
      <c r="A2684" s="46" t="s">
        <v>930</v>
      </c>
      <c r="B2684" s="46" t="s">
        <v>4618</v>
      </c>
      <c r="C2684" s="46" t="s">
        <v>966</v>
      </c>
      <c r="D2684" s="46" t="s">
        <v>17</v>
      </c>
      <c r="E2684" s="46" t="s">
        <v>13</v>
      </c>
      <c r="F2684" s="48">
        <v>96.8</v>
      </c>
    </row>
    <row r="2685">
      <c r="A2685" s="46" t="s">
        <v>354</v>
      </c>
      <c r="B2685" s="46" t="s">
        <v>4620</v>
      </c>
      <c r="C2685" s="46" t="s">
        <v>2857</v>
      </c>
      <c r="D2685" s="46" t="s">
        <v>18</v>
      </c>
      <c r="E2685" s="46" t="s">
        <v>13</v>
      </c>
      <c r="F2685" s="48">
        <v>91.1</v>
      </c>
    </row>
    <row r="2686">
      <c r="A2686" s="46" t="s">
        <v>354</v>
      </c>
      <c r="B2686" s="46" t="s">
        <v>4622</v>
      </c>
      <c r="C2686" s="46" t="s">
        <v>4623</v>
      </c>
      <c r="D2686" s="46" t="s">
        <v>17</v>
      </c>
      <c r="E2686" s="46" t="s">
        <v>14</v>
      </c>
      <c r="F2686" s="48">
        <v>89.7</v>
      </c>
    </row>
    <row r="2687">
      <c r="A2687" s="46" t="s">
        <v>930</v>
      </c>
      <c r="B2687" s="46" t="s">
        <v>4628</v>
      </c>
      <c r="C2687" s="46" t="s">
        <v>4629</v>
      </c>
      <c r="D2687" s="46" t="s">
        <v>18</v>
      </c>
      <c r="E2687" s="46" t="s">
        <v>14</v>
      </c>
      <c r="F2687" s="48">
        <v>103.9</v>
      </c>
    </row>
    <row r="2688">
      <c r="A2688" s="46" t="s">
        <v>930</v>
      </c>
      <c r="B2688" s="46" t="s">
        <v>4631</v>
      </c>
      <c r="C2688" s="46" t="s">
        <v>989</v>
      </c>
      <c r="D2688" s="46" t="s">
        <v>18</v>
      </c>
      <c r="E2688" s="46" t="s">
        <v>13</v>
      </c>
      <c r="F2688" s="48">
        <v>78.2</v>
      </c>
    </row>
    <row r="2689">
      <c r="A2689" s="46" t="s">
        <v>930</v>
      </c>
      <c r="B2689" s="46" t="s">
        <v>4633</v>
      </c>
      <c r="C2689" s="46" t="s">
        <v>2882</v>
      </c>
      <c r="D2689" s="46" t="s">
        <v>18</v>
      </c>
      <c r="E2689" s="46" t="s">
        <v>13</v>
      </c>
      <c r="F2689" s="48">
        <v>88.1</v>
      </c>
    </row>
    <row r="2690">
      <c r="A2690" s="46" t="s">
        <v>930</v>
      </c>
      <c r="B2690" s="46" t="s">
        <v>4635</v>
      </c>
      <c r="C2690" s="46" t="s">
        <v>2892</v>
      </c>
      <c r="D2690" s="46" t="s">
        <v>18</v>
      </c>
      <c r="E2690" s="46" t="s">
        <v>13</v>
      </c>
      <c r="F2690" s="48">
        <v>78.2</v>
      </c>
    </row>
    <row r="2691">
      <c r="A2691" s="46" t="s">
        <v>930</v>
      </c>
      <c r="B2691" s="46" t="s">
        <v>4637</v>
      </c>
      <c r="C2691" s="46" t="s">
        <v>4638</v>
      </c>
      <c r="D2691" s="46" t="s">
        <v>18</v>
      </c>
      <c r="E2691" s="46" t="s">
        <v>14</v>
      </c>
      <c r="F2691" s="48">
        <v>96.6</v>
      </c>
    </row>
    <row r="2692">
      <c r="A2692" s="46" t="s">
        <v>930</v>
      </c>
      <c r="B2692" s="46" t="s">
        <v>4640</v>
      </c>
      <c r="C2692" s="46" t="s">
        <v>4641</v>
      </c>
      <c r="D2692" s="46" t="s">
        <v>17</v>
      </c>
      <c r="E2692" s="46" t="s">
        <v>13</v>
      </c>
      <c r="F2692" s="48">
        <v>85.2</v>
      </c>
    </row>
    <row r="2693">
      <c r="A2693" s="46" t="s">
        <v>930</v>
      </c>
      <c r="B2693" s="46" t="s">
        <v>4645</v>
      </c>
      <c r="C2693" s="46" t="s">
        <v>4646</v>
      </c>
      <c r="D2693" s="46" t="s">
        <v>18</v>
      </c>
      <c r="E2693" s="46" t="s">
        <v>13</v>
      </c>
      <c r="F2693" s="48">
        <v>84.0</v>
      </c>
    </row>
    <row r="2694">
      <c r="A2694" s="46" t="s">
        <v>333</v>
      </c>
      <c r="B2694" s="46" t="s">
        <v>4648</v>
      </c>
      <c r="C2694" s="46" t="s">
        <v>1023</v>
      </c>
      <c r="D2694" s="46" t="s">
        <v>18</v>
      </c>
      <c r="E2694" s="46" t="s">
        <v>14</v>
      </c>
      <c r="F2694" s="48">
        <v>102.5</v>
      </c>
    </row>
    <row r="2695">
      <c r="A2695" s="46" t="s">
        <v>333</v>
      </c>
      <c r="B2695" s="46" t="s">
        <v>4650</v>
      </c>
      <c r="C2695" s="46" t="s">
        <v>4651</v>
      </c>
      <c r="D2695" s="46" t="s">
        <v>17</v>
      </c>
      <c r="E2695" s="46" t="s">
        <v>13</v>
      </c>
      <c r="F2695" s="48">
        <v>92.2</v>
      </c>
    </row>
    <row r="2696">
      <c r="A2696" s="46" t="s">
        <v>46</v>
      </c>
      <c r="B2696" s="46" t="s">
        <v>985</v>
      </c>
      <c r="C2696" s="46" t="s">
        <v>2939</v>
      </c>
      <c r="D2696" s="46" t="s">
        <v>18</v>
      </c>
      <c r="E2696" s="46" t="s">
        <v>13</v>
      </c>
      <c r="F2696" s="48">
        <v>71.4</v>
      </c>
    </row>
    <row r="2697">
      <c r="A2697" s="46" t="s">
        <v>46</v>
      </c>
      <c r="B2697" s="46" t="s">
        <v>4656</v>
      </c>
      <c r="C2697" s="46" t="s">
        <v>1036</v>
      </c>
      <c r="D2697" s="46" t="s">
        <v>18</v>
      </c>
      <c r="E2697" s="46" t="s">
        <v>15</v>
      </c>
      <c r="F2697" s="48">
        <v>103.9</v>
      </c>
    </row>
    <row r="2698">
      <c r="A2698" s="46" t="s">
        <v>46</v>
      </c>
      <c r="B2698" s="46" t="s">
        <v>3617</v>
      </c>
      <c r="C2698" s="46" t="s">
        <v>1092</v>
      </c>
      <c r="D2698" s="46" t="s">
        <v>18</v>
      </c>
      <c r="E2698" s="46" t="s">
        <v>15</v>
      </c>
      <c r="F2698" s="48">
        <v>100.8</v>
      </c>
    </row>
    <row r="2699">
      <c r="A2699" s="46" t="s">
        <v>46</v>
      </c>
      <c r="B2699" s="46" t="s">
        <v>4659</v>
      </c>
      <c r="C2699" s="46" t="s">
        <v>1092</v>
      </c>
      <c r="D2699" s="46" t="s">
        <v>18</v>
      </c>
      <c r="E2699" s="46" t="s">
        <v>15</v>
      </c>
      <c r="F2699" s="48">
        <v>88.5</v>
      </c>
    </row>
    <row r="2700">
      <c r="A2700" s="46" t="s">
        <v>46</v>
      </c>
      <c r="B2700" s="46" t="s">
        <v>4664</v>
      </c>
      <c r="C2700" s="46" t="s">
        <v>1105</v>
      </c>
      <c r="D2700" s="46" t="s">
        <v>18</v>
      </c>
      <c r="E2700" s="46" t="s">
        <v>13</v>
      </c>
      <c r="F2700" s="48">
        <v>79.0</v>
      </c>
    </row>
    <row r="2701">
      <c r="A2701" s="46" t="s">
        <v>46</v>
      </c>
      <c r="B2701" s="46" t="s">
        <v>4666</v>
      </c>
      <c r="C2701" s="46" t="s">
        <v>46</v>
      </c>
      <c r="D2701" s="46" t="s">
        <v>18</v>
      </c>
      <c r="E2701" s="46" t="s">
        <v>13</v>
      </c>
      <c r="F2701" s="48">
        <v>73.6</v>
      </c>
    </row>
    <row r="2702">
      <c r="A2702" s="46" t="s">
        <v>46</v>
      </c>
      <c r="B2702" s="46" t="s">
        <v>4668</v>
      </c>
      <c r="C2702" s="46" t="s">
        <v>4669</v>
      </c>
      <c r="D2702" s="46" t="s">
        <v>18</v>
      </c>
      <c r="E2702" s="46" t="s">
        <v>14</v>
      </c>
      <c r="F2702" s="48">
        <v>86.3</v>
      </c>
    </row>
    <row r="2703">
      <c r="A2703" s="46" t="s">
        <v>46</v>
      </c>
      <c r="B2703" s="46" t="s">
        <v>4671</v>
      </c>
      <c r="C2703" s="46" t="s">
        <v>1059</v>
      </c>
      <c r="D2703" s="46" t="s">
        <v>18</v>
      </c>
      <c r="E2703" s="46" t="s">
        <v>15</v>
      </c>
      <c r="F2703" s="48">
        <v>89.6</v>
      </c>
    </row>
    <row r="2704">
      <c r="A2704" s="46" t="s">
        <v>46</v>
      </c>
      <c r="B2704" s="46" t="s">
        <v>4673</v>
      </c>
      <c r="C2704" s="46" t="s">
        <v>1059</v>
      </c>
      <c r="D2704" s="46" t="s">
        <v>18</v>
      </c>
      <c r="E2704" s="46" t="s">
        <v>14</v>
      </c>
      <c r="F2704" s="48">
        <v>68.2</v>
      </c>
    </row>
    <row r="2705">
      <c r="A2705" s="46" t="s">
        <v>46</v>
      </c>
      <c r="B2705" s="46" t="s">
        <v>4675</v>
      </c>
      <c r="C2705" s="46" t="s">
        <v>1059</v>
      </c>
      <c r="D2705" s="46" t="s">
        <v>18</v>
      </c>
      <c r="E2705" s="46" t="s">
        <v>13</v>
      </c>
      <c r="F2705" s="48">
        <v>64.3</v>
      </c>
    </row>
    <row r="2706">
      <c r="A2706" s="46" t="s">
        <v>46</v>
      </c>
      <c r="B2706" s="46" t="s">
        <v>4677</v>
      </c>
      <c r="C2706" s="46" t="s">
        <v>1067</v>
      </c>
      <c r="D2706" s="46" t="s">
        <v>18</v>
      </c>
      <c r="E2706" s="46" t="s">
        <v>14</v>
      </c>
      <c r="F2706" s="48">
        <v>90.1</v>
      </c>
    </row>
    <row r="2707">
      <c r="A2707" s="46" t="s">
        <v>46</v>
      </c>
      <c r="B2707" s="46" t="s">
        <v>4679</v>
      </c>
      <c r="C2707" s="46" t="s">
        <v>1067</v>
      </c>
      <c r="D2707" s="46" t="s">
        <v>18</v>
      </c>
      <c r="E2707" s="46" t="s">
        <v>13</v>
      </c>
      <c r="F2707" s="48">
        <v>70.9</v>
      </c>
    </row>
    <row r="2708">
      <c r="A2708" s="46" t="s">
        <v>46</v>
      </c>
      <c r="B2708" s="46" t="s">
        <v>4681</v>
      </c>
      <c r="C2708" s="46" t="s">
        <v>4682</v>
      </c>
      <c r="D2708" s="46" t="s">
        <v>18</v>
      </c>
      <c r="E2708" s="46" t="s">
        <v>13</v>
      </c>
      <c r="F2708" s="48">
        <v>84.4</v>
      </c>
    </row>
    <row r="2709">
      <c r="A2709" s="46" t="s">
        <v>46</v>
      </c>
      <c r="B2709" s="46" t="s">
        <v>4684</v>
      </c>
      <c r="C2709" s="46" t="s">
        <v>1039</v>
      </c>
      <c r="D2709" s="46" t="s">
        <v>18</v>
      </c>
      <c r="E2709" s="46" t="s">
        <v>13</v>
      </c>
      <c r="F2709" s="48">
        <v>76.3</v>
      </c>
    </row>
    <row r="2710">
      <c r="A2710" s="46" t="s">
        <v>46</v>
      </c>
      <c r="B2710" s="46" t="s">
        <v>4686</v>
      </c>
      <c r="C2710" s="46" t="s">
        <v>4687</v>
      </c>
      <c r="D2710" s="46" t="s">
        <v>18</v>
      </c>
      <c r="E2710" s="46" t="s">
        <v>14</v>
      </c>
      <c r="F2710" s="48">
        <v>80.4</v>
      </c>
    </row>
    <row r="2711">
      <c r="A2711" s="46" t="s">
        <v>46</v>
      </c>
      <c r="B2711" s="46" t="s">
        <v>4689</v>
      </c>
      <c r="C2711" s="46" t="s">
        <v>4690</v>
      </c>
      <c r="D2711" s="46" t="s">
        <v>18</v>
      </c>
      <c r="E2711" s="46" t="s">
        <v>13</v>
      </c>
      <c r="F2711" s="48">
        <v>74.7</v>
      </c>
    </row>
    <row r="2712">
      <c r="A2712" s="46" t="s">
        <v>46</v>
      </c>
      <c r="B2712" s="46" t="s">
        <v>4692</v>
      </c>
      <c r="C2712" s="46" t="s">
        <v>1072</v>
      </c>
      <c r="D2712" s="46" t="s">
        <v>17</v>
      </c>
      <c r="E2712" s="46" t="s">
        <v>14</v>
      </c>
      <c r="F2712" s="48">
        <v>90.0</v>
      </c>
    </row>
    <row r="2713">
      <c r="A2713" s="46" t="s">
        <v>46</v>
      </c>
      <c r="B2713" s="46" t="s">
        <v>4694</v>
      </c>
      <c r="C2713" s="46" t="s">
        <v>1072</v>
      </c>
      <c r="D2713" s="46" t="s">
        <v>17</v>
      </c>
      <c r="E2713" s="46" t="s">
        <v>14</v>
      </c>
      <c r="F2713" s="48">
        <v>91.7</v>
      </c>
    </row>
    <row r="2714">
      <c r="A2714" s="46" t="s">
        <v>46</v>
      </c>
      <c r="B2714" s="46" t="s">
        <v>4696</v>
      </c>
      <c r="C2714" s="46" t="s">
        <v>1067</v>
      </c>
      <c r="D2714" s="46" t="s">
        <v>17</v>
      </c>
      <c r="E2714" s="46" t="s">
        <v>14</v>
      </c>
      <c r="F2714" s="48">
        <v>84.9</v>
      </c>
    </row>
    <row r="2715">
      <c r="A2715" s="46" t="s">
        <v>46</v>
      </c>
      <c r="B2715" s="46" t="s">
        <v>4698</v>
      </c>
      <c r="C2715" s="46" t="s">
        <v>1030</v>
      </c>
      <c r="D2715" s="46" t="s">
        <v>17</v>
      </c>
      <c r="E2715" s="46" t="s">
        <v>13</v>
      </c>
      <c r="F2715" s="48">
        <v>96.0</v>
      </c>
    </row>
    <row r="2716">
      <c r="A2716" s="46" t="s">
        <v>46</v>
      </c>
      <c r="B2716" s="46" t="s">
        <v>4700</v>
      </c>
      <c r="C2716" s="46" t="s">
        <v>1105</v>
      </c>
      <c r="D2716" s="46" t="s">
        <v>17</v>
      </c>
      <c r="E2716" s="46" t="s">
        <v>14</v>
      </c>
      <c r="F2716" s="48">
        <v>93.8</v>
      </c>
    </row>
    <row r="2717">
      <c r="A2717" s="46" t="s">
        <v>46</v>
      </c>
      <c r="B2717" s="46" t="s">
        <v>4708</v>
      </c>
      <c r="C2717" s="46" t="s">
        <v>1110</v>
      </c>
      <c r="D2717" s="46" t="s">
        <v>18</v>
      </c>
      <c r="E2717" s="46" t="s">
        <v>13</v>
      </c>
      <c r="F2717" s="48">
        <v>80.1</v>
      </c>
    </row>
    <row r="2718">
      <c r="A2718" s="46" t="s">
        <v>46</v>
      </c>
      <c r="B2718" s="46" t="s">
        <v>4710</v>
      </c>
      <c r="C2718" s="46" t="s">
        <v>1039</v>
      </c>
      <c r="D2718" s="46" t="s">
        <v>18</v>
      </c>
      <c r="E2718" s="46" t="s">
        <v>13</v>
      </c>
      <c r="F2718" s="48">
        <v>69.4</v>
      </c>
    </row>
    <row r="2719">
      <c r="A2719" s="46" t="s">
        <v>46</v>
      </c>
      <c r="B2719" s="46" t="s">
        <v>4712</v>
      </c>
      <c r="C2719" s="46" t="s">
        <v>46</v>
      </c>
      <c r="D2719" s="46" t="s">
        <v>17</v>
      </c>
      <c r="E2719" s="46" t="s">
        <v>15</v>
      </c>
      <c r="F2719" s="48">
        <v>102.0</v>
      </c>
    </row>
    <row r="2720">
      <c r="A2720" s="46" t="s">
        <v>46</v>
      </c>
      <c r="B2720" s="46" t="s">
        <v>4714</v>
      </c>
      <c r="C2720" s="46" t="s">
        <v>4715</v>
      </c>
      <c r="D2720" s="46" t="s">
        <v>18</v>
      </c>
      <c r="E2720" s="46" t="s">
        <v>14</v>
      </c>
      <c r="F2720" s="48">
        <v>76.4</v>
      </c>
    </row>
    <row r="2721">
      <c r="A2721" s="46" t="s">
        <v>46</v>
      </c>
      <c r="B2721" s="46" t="s">
        <v>4717</v>
      </c>
      <c r="C2721" s="46" t="s">
        <v>1092</v>
      </c>
      <c r="D2721" s="46" t="s">
        <v>18</v>
      </c>
      <c r="E2721" s="46" t="s">
        <v>15</v>
      </c>
      <c r="F2721" s="48">
        <v>89.6</v>
      </c>
    </row>
    <row r="2722">
      <c r="A2722" s="46" t="s">
        <v>46</v>
      </c>
      <c r="B2722" s="46" t="s">
        <v>4719</v>
      </c>
      <c r="C2722" s="46" t="s">
        <v>46</v>
      </c>
      <c r="D2722" s="46" t="s">
        <v>18</v>
      </c>
      <c r="E2722" s="46" t="s">
        <v>13</v>
      </c>
      <c r="F2722" s="48">
        <v>70.5</v>
      </c>
    </row>
    <row r="2723">
      <c r="A2723" s="46" t="s">
        <v>88</v>
      </c>
      <c r="B2723" s="46" t="s">
        <v>4724</v>
      </c>
      <c r="C2723" s="46" t="s">
        <v>1136</v>
      </c>
      <c r="D2723" s="46" t="s">
        <v>18</v>
      </c>
      <c r="E2723" s="46" t="s">
        <v>13</v>
      </c>
      <c r="F2723" s="48">
        <v>81.8</v>
      </c>
    </row>
    <row r="2724">
      <c r="A2724" s="46" t="s">
        <v>88</v>
      </c>
      <c r="B2724" s="46" t="s">
        <v>4726</v>
      </c>
      <c r="C2724" s="46" t="s">
        <v>2989</v>
      </c>
      <c r="D2724" s="46" t="s">
        <v>18</v>
      </c>
      <c r="E2724" s="46" t="s">
        <v>15</v>
      </c>
      <c r="F2724" s="48">
        <v>82.4</v>
      </c>
    </row>
    <row r="2725">
      <c r="A2725" s="46" t="s">
        <v>88</v>
      </c>
      <c r="B2725" s="46" t="s">
        <v>4728</v>
      </c>
      <c r="C2725" s="46" t="s">
        <v>2983</v>
      </c>
      <c r="D2725" s="46" t="s">
        <v>18</v>
      </c>
      <c r="E2725" s="46" t="s">
        <v>15</v>
      </c>
      <c r="F2725" s="48">
        <v>102.0</v>
      </c>
    </row>
    <row r="2726">
      <c r="A2726" s="46" t="s">
        <v>88</v>
      </c>
      <c r="B2726" s="46" t="s">
        <v>4735</v>
      </c>
      <c r="C2726" s="46" t="s">
        <v>4736</v>
      </c>
      <c r="D2726" s="46" t="s">
        <v>18</v>
      </c>
      <c r="E2726" s="46" t="s">
        <v>13</v>
      </c>
      <c r="F2726" s="48">
        <v>89.6</v>
      </c>
    </row>
    <row r="2727">
      <c r="A2727" s="46" t="s">
        <v>269</v>
      </c>
      <c r="B2727" s="46" t="s">
        <v>595</v>
      </c>
      <c r="C2727" s="46" t="s">
        <v>1161</v>
      </c>
      <c r="D2727" s="46" t="s">
        <v>17</v>
      </c>
      <c r="E2727" s="46" t="s">
        <v>13</v>
      </c>
      <c r="F2727" s="48">
        <v>92.3</v>
      </c>
    </row>
    <row r="2728">
      <c r="A2728" s="46" t="s">
        <v>46</v>
      </c>
      <c r="B2728" s="46" t="s">
        <v>4745</v>
      </c>
      <c r="C2728" s="46" t="s">
        <v>4746</v>
      </c>
      <c r="D2728" s="46" t="s">
        <v>18</v>
      </c>
      <c r="E2728" s="46" t="s">
        <v>13</v>
      </c>
      <c r="F2728" s="48">
        <v>80.1</v>
      </c>
    </row>
    <row r="2729">
      <c r="A2729" s="46" t="s">
        <v>46</v>
      </c>
      <c r="B2729" s="46" t="s">
        <v>4748</v>
      </c>
      <c r="C2729" s="46" t="s">
        <v>3055</v>
      </c>
      <c r="D2729" s="46" t="s">
        <v>18</v>
      </c>
      <c r="E2729" s="46" t="s">
        <v>14</v>
      </c>
      <c r="F2729" s="48">
        <v>101.7</v>
      </c>
    </row>
    <row r="2730">
      <c r="A2730" s="46" t="s">
        <v>46</v>
      </c>
      <c r="B2730" s="46" t="s">
        <v>3672</v>
      </c>
      <c r="C2730" s="46" t="s">
        <v>1188</v>
      </c>
      <c r="D2730" s="46" t="s">
        <v>18</v>
      </c>
      <c r="E2730" s="46" t="s">
        <v>15</v>
      </c>
      <c r="F2730" s="48">
        <v>87.4</v>
      </c>
    </row>
    <row r="2731">
      <c r="A2731" s="46" t="s">
        <v>46</v>
      </c>
      <c r="B2731" s="46" t="s">
        <v>4754</v>
      </c>
      <c r="C2731" s="46" t="s">
        <v>1171</v>
      </c>
      <c r="D2731" s="46" t="s">
        <v>18</v>
      </c>
      <c r="E2731" s="46" t="s">
        <v>13</v>
      </c>
      <c r="F2731" s="48">
        <v>72.5</v>
      </c>
    </row>
    <row r="2732">
      <c r="A2732" s="46" t="s">
        <v>46</v>
      </c>
      <c r="B2732" s="46" t="s">
        <v>4756</v>
      </c>
      <c r="C2732" s="46" t="s">
        <v>4757</v>
      </c>
      <c r="D2732" s="46" t="s">
        <v>18</v>
      </c>
      <c r="E2732" s="46" t="s">
        <v>14</v>
      </c>
      <c r="F2732" s="48">
        <v>96.2</v>
      </c>
    </row>
    <row r="2733">
      <c r="A2733" s="46" t="s">
        <v>46</v>
      </c>
      <c r="B2733" s="46" t="s">
        <v>3569</v>
      </c>
      <c r="C2733" s="46" t="s">
        <v>3025</v>
      </c>
      <c r="D2733" s="46" t="s">
        <v>18</v>
      </c>
      <c r="E2733" s="46" t="s">
        <v>14</v>
      </c>
      <c r="F2733" s="48">
        <v>97.8</v>
      </c>
    </row>
    <row r="2734">
      <c r="A2734" s="46" t="s">
        <v>116</v>
      </c>
      <c r="B2734" s="46" t="s">
        <v>2976</v>
      </c>
      <c r="C2734" s="46" t="s">
        <v>4760</v>
      </c>
      <c r="D2734" s="46" t="s">
        <v>18</v>
      </c>
      <c r="E2734" s="46" t="s">
        <v>13</v>
      </c>
      <c r="F2734" s="48">
        <v>89.0</v>
      </c>
    </row>
    <row r="2735">
      <c r="A2735" s="46" t="s">
        <v>116</v>
      </c>
      <c r="B2735" s="46" t="s">
        <v>4763</v>
      </c>
      <c r="C2735" s="46" t="s">
        <v>1199</v>
      </c>
      <c r="D2735" s="46" t="s">
        <v>18</v>
      </c>
      <c r="E2735" s="46" t="s">
        <v>13</v>
      </c>
      <c r="F2735" s="48">
        <v>86.1</v>
      </c>
    </row>
    <row r="2736">
      <c r="A2736" s="46" t="s">
        <v>116</v>
      </c>
      <c r="B2736" s="46" t="s">
        <v>4768</v>
      </c>
      <c r="C2736" s="46" t="s">
        <v>4769</v>
      </c>
      <c r="D2736" s="46" t="s">
        <v>18</v>
      </c>
      <c r="E2736" s="46" t="s">
        <v>13</v>
      </c>
      <c r="F2736" s="48">
        <v>85.5</v>
      </c>
    </row>
    <row r="2737">
      <c r="A2737" s="46" t="s">
        <v>116</v>
      </c>
      <c r="B2737" s="46" t="s">
        <v>4771</v>
      </c>
      <c r="C2737" s="46" t="s">
        <v>1199</v>
      </c>
      <c r="D2737" s="46" t="s">
        <v>18</v>
      </c>
      <c r="E2737" s="46" t="s">
        <v>15</v>
      </c>
      <c r="F2737" s="48">
        <v>90.3</v>
      </c>
    </row>
    <row r="2738">
      <c r="A2738" s="46" t="s">
        <v>377</v>
      </c>
      <c r="B2738" s="46" t="s">
        <v>4779</v>
      </c>
      <c r="C2738" s="46" t="s">
        <v>4780</v>
      </c>
      <c r="D2738" s="46" t="s">
        <v>18</v>
      </c>
      <c r="E2738" s="46" t="s">
        <v>13</v>
      </c>
      <c r="F2738" s="48">
        <v>83.0</v>
      </c>
    </row>
    <row r="2739">
      <c r="A2739" s="46" t="s">
        <v>377</v>
      </c>
      <c r="B2739" s="46" t="s">
        <v>4782</v>
      </c>
      <c r="C2739" s="46" t="s">
        <v>4783</v>
      </c>
      <c r="D2739" s="46" t="s">
        <v>18</v>
      </c>
      <c r="E2739" s="46" t="s">
        <v>13</v>
      </c>
      <c r="F2739" s="48">
        <v>92.7</v>
      </c>
    </row>
    <row r="2740">
      <c r="A2740" s="46" t="s">
        <v>377</v>
      </c>
      <c r="B2740" s="46" t="s">
        <v>4785</v>
      </c>
      <c r="C2740" s="46" t="s">
        <v>1222</v>
      </c>
      <c r="D2740" s="46" t="s">
        <v>18</v>
      </c>
      <c r="E2740" s="46" t="s">
        <v>13</v>
      </c>
      <c r="F2740" s="48">
        <v>94.4</v>
      </c>
    </row>
    <row r="2741">
      <c r="A2741" s="46" t="s">
        <v>377</v>
      </c>
      <c r="B2741" s="46" t="s">
        <v>4787</v>
      </c>
      <c r="C2741" s="46" t="s">
        <v>4788</v>
      </c>
      <c r="D2741" s="46" t="s">
        <v>18</v>
      </c>
      <c r="E2741" s="46" t="s">
        <v>13</v>
      </c>
      <c r="F2741" s="48">
        <v>103.1</v>
      </c>
    </row>
    <row r="2742">
      <c r="A2742" s="46" t="s">
        <v>377</v>
      </c>
      <c r="B2742" s="46" t="s">
        <v>4796</v>
      </c>
      <c r="C2742" s="46" t="s">
        <v>3113</v>
      </c>
      <c r="D2742" s="46" t="s">
        <v>17</v>
      </c>
      <c r="E2742" s="46" t="s">
        <v>13</v>
      </c>
      <c r="F2742" s="48">
        <v>90.5</v>
      </c>
    </row>
    <row r="2743">
      <c r="A2743" s="46" t="s">
        <v>182</v>
      </c>
      <c r="B2743" s="46" t="s">
        <v>4801</v>
      </c>
      <c r="C2743" s="46" t="s">
        <v>4802</v>
      </c>
      <c r="D2743" s="46" t="s">
        <v>18</v>
      </c>
      <c r="E2743" s="46" t="s">
        <v>13</v>
      </c>
      <c r="F2743" s="48">
        <v>85.8</v>
      </c>
    </row>
    <row r="2744">
      <c r="A2744" s="46" t="s">
        <v>182</v>
      </c>
      <c r="B2744" s="46" t="s">
        <v>4804</v>
      </c>
      <c r="C2744" s="46" t="s">
        <v>1252</v>
      </c>
      <c r="D2744" s="46" t="s">
        <v>18</v>
      </c>
      <c r="E2744" s="46" t="s">
        <v>13</v>
      </c>
      <c r="F2744" s="48">
        <v>95.8</v>
      </c>
    </row>
    <row r="2745">
      <c r="A2745" s="46" t="s">
        <v>182</v>
      </c>
      <c r="B2745" s="46" t="s">
        <v>4806</v>
      </c>
      <c r="C2745" s="46" t="s">
        <v>1249</v>
      </c>
      <c r="D2745" s="46" t="s">
        <v>17</v>
      </c>
      <c r="E2745" s="46" t="s">
        <v>15</v>
      </c>
      <c r="F2745" s="48">
        <v>103.2</v>
      </c>
    </row>
    <row r="2746">
      <c r="A2746" s="46" t="s">
        <v>182</v>
      </c>
      <c r="B2746" s="46" t="s">
        <v>4808</v>
      </c>
      <c r="C2746" s="46" t="s">
        <v>1252</v>
      </c>
      <c r="D2746" s="46" t="s">
        <v>17</v>
      </c>
      <c r="E2746" s="46" t="s">
        <v>13</v>
      </c>
      <c r="F2746" s="48">
        <v>75.6</v>
      </c>
    </row>
    <row r="2747">
      <c r="A2747" s="46" t="s">
        <v>182</v>
      </c>
      <c r="B2747" s="46" t="s">
        <v>4810</v>
      </c>
      <c r="C2747" s="46" t="s">
        <v>1252</v>
      </c>
      <c r="D2747" s="46" t="s">
        <v>17</v>
      </c>
      <c r="E2747" s="46" t="s">
        <v>13</v>
      </c>
      <c r="F2747" s="48">
        <v>92.0</v>
      </c>
    </row>
    <row r="2748">
      <c r="A2748" s="46" t="s">
        <v>483</v>
      </c>
      <c r="B2748" s="46" t="s">
        <v>4812</v>
      </c>
      <c r="C2748" s="46" t="s">
        <v>4813</v>
      </c>
      <c r="D2748" s="46" t="s">
        <v>18</v>
      </c>
      <c r="E2748" s="46" t="s">
        <v>14</v>
      </c>
      <c r="F2748" s="48">
        <v>101.3</v>
      </c>
    </row>
    <row r="2749">
      <c r="A2749" s="46" t="s">
        <v>483</v>
      </c>
      <c r="B2749" s="46" t="s">
        <v>4815</v>
      </c>
      <c r="C2749" s="46" t="s">
        <v>1258</v>
      </c>
      <c r="D2749" s="46" t="s">
        <v>18</v>
      </c>
      <c r="E2749" s="46" t="s">
        <v>14</v>
      </c>
      <c r="F2749" s="48">
        <v>95.6</v>
      </c>
    </row>
    <row r="2750">
      <c r="A2750" s="46" t="s">
        <v>483</v>
      </c>
      <c r="B2750" s="46" t="s">
        <v>4817</v>
      </c>
      <c r="C2750" s="46" t="s">
        <v>4818</v>
      </c>
      <c r="D2750" s="46" t="s">
        <v>18</v>
      </c>
      <c r="E2750" s="46" t="s">
        <v>14</v>
      </c>
      <c r="F2750" s="48">
        <v>101.2</v>
      </c>
    </row>
    <row r="2751">
      <c r="A2751" s="46" t="s">
        <v>1259</v>
      </c>
      <c r="B2751" s="46" t="s">
        <v>4820</v>
      </c>
      <c r="C2751" s="46" t="s">
        <v>3163</v>
      </c>
      <c r="D2751" s="46" t="s">
        <v>18</v>
      </c>
      <c r="E2751" s="46" t="s">
        <v>13</v>
      </c>
      <c r="F2751" s="48">
        <v>87.2</v>
      </c>
    </row>
    <row r="2752">
      <c r="A2752" s="46" t="s">
        <v>1259</v>
      </c>
      <c r="B2752" s="46" t="s">
        <v>4822</v>
      </c>
      <c r="C2752" s="46" t="s">
        <v>1266</v>
      </c>
      <c r="D2752" s="46" t="s">
        <v>18</v>
      </c>
      <c r="E2752" s="46" t="s">
        <v>13</v>
      </c>
      <c r="F2752" s="48">
        <v>98.6</v>
      </c>
    </row>
    <row r="2753">
      <c r="A2753" s="46" t="s">
        <v>1259</v>
      </c>
      <c r="B2753" s="46" t="s">
        <v>4840</v>
      </c>
      <c r="C2753" s="46" t="s">
        <v>4841</v>
      </c>
      <c r="D2753" s="46" t="s">
        <v>18</v>
      </c>
      <c r="E2753" s="46" t="s">
        <v>13</v>
      </c>
      <c r="F2753" s="48">
        <v>81.5</v>
      </c>
    </row>
    <row r="2754">
      <c r="A2754" s="46" t="s">
        <v>1259</v>
      </c>
      <c r="B2754" s="46" t="s">
        <v>4843</v>
      </c>
      <c r="C2754" s="46" t="s">
        <v>1292</v>
      </c>
      <c r="D2754" s="46" t="s">
        <v>18</v>
      </c>
      <c r="E2754" s="46" t="s">
        <v>13</v>
      </c>
      <c r="F2754" s="48">
        <v>73.5</v>
      </c>
    </row>
    <row r="2755">
      <c r="A2755" s="46" t="s">
        <v>1259</v>
      </c>
      <c r="B2755" s="46" t="s">
        <v>4848</v>
      </c>
      <c r="C2755" s="46" t="s">
        <v>4849</v>
      </c>
      <c r="D2755" s="46" t="s">
        <v>18</v>
      </c>
      <c r="E2755" s="46" t="s">
        <v>13</v>
      </c>
      <c r="F2755" s="48">
        <v>76.5</v>
      </c>
    </row>
    <row r="2756">
      <c r="A2756" s="46" t="s">
        <v>1259</v>
      </c>
      <c r="B2756" s="46" t="s">
        <v>4851</v>
      </c>
      <c r="C2756" s="46" t="s">
        <v>4852</v>
      </c>
      <c r="D2756" s="46" t="s">
        <v>18</v>
      </c>
      <c r="E2756" s="46" t="s">
        <v>14</v>
      </c>
      <c r="F2756" s="48">
        <v>93.6</v>
      </c>
    </row>
    <row r="2757">
      <c r="A2757" s="46" t="s">
        <v>1259</v>
      </c>
      <c r="B2757" s="46" t="s">
        <v>4854</v>
      </c>
      <c r="C2757" s="46" t="s">
        <v>4855</v>
      </c>
      <c r="D2757" s="46" t="s">
        <v>17</v>
      </c>
      <c r="E2757" s="46" t="s">
        <v>15</v>
      </c>
      <c r="F2757" s="48">
        <v>99.9</v>
      </c>
    </row>
    <row r="2758">
      <c r="A2758" s="46" t="s">
        <v>71</v>
      </c>
      <c r="B2758" s="46" t="s">
        <v>4860</v>
      </c>
      <c r="C2758" s="46" t="s">
        <v>1353</v>
      </c>
      <c r="D2758" s="46" t="s">
        <v>18</v>
      </c>
      <c r="E2758" s="46" t="s">
        <v>13</v>
      </c>
      <c r="F2758" s="48">
        <v>80.9</v>
      </c>
    </row>
    <row r="2759">
      <c r="A2759" s="46" t="s">
        <v>71</v>
      </c>
      <c r="B2759" s="46" t="s">
        <v>4864</v>
      </c>
      <c r="C2759" s="46" t="s">
        <v>1337</v>
      </c>
      <c r="D2759" s="46" t="s">
        <v>18</v>
      </c>
      <c r="E2759" s="46" t="s">
        <v>15</v>
      </c>
      <c r="F2759" s="48">
        <v>96.9</v>
      </c>
    </row>
    <row r="2760">
      <c r="A2760" s="46" t="s">
        <v>71</v>
      </c>
      <c r="B2760" s="46" t="s">
        <v>4875</v>
      </c>
      <c r="C2760" s="46" t="s">
        <v>1383</v>
      </c>
      <c r="D2760" s="46" t="s">
        <v>17</v>
      </c>
      <c r="E2760" s="46" t="s">
        <v>13</v>
      </c>
      <c r="F2760" s="48">
        <v>92.5</v>
      </c>
    </row>
    <row r="2761">
      <c r="A2761" s="46" t="s">
        <v>71</v>
      </c>
      <c r="B2761" s="46" t="s">
        <v>4881</v>
      </c>
      <c r="C2761" s="46" t="s">
        <v>3214</v>
      </c>
      <c r="D2761" s="46" t="s">
        <v>18</v>
      </c>
      <c r="E2761" s="46" t="s">
        <v>14</v>
      </c>
      <c r="F2761" s="48">
        <v>91.3</v>
      </c>
    </row>
    <row r="2762">
      <c r="A2762" s="46" t="s">
        <v>71</v>
      </c>
      <c r="B2762" s="46" t="s">
        <v>4883</v>
      </c>
      <c r="C2762" s="46" t="s">
        <v>1331</v>
      </c>
      <c r="D2762" s="46" t="s">
        <v>17</v>
      </c>
      <c r="E2762" s="46" t="s">
        <v>13</v>
      </c>
      <c r="F2762" s="48">
        <v>66.0</v>
      </c>
    </row>
    <row r="2763">
      <c r="A2763" s="46" t="s">
        <v>71</v>
      </c>
      <c r="B2763" s="46" t="s">
        <v>4885</v>
      </c>
      <c r="C2763" s="46" t="s">
        <v>4886</v>
      </c>
      <c r="D2763" s="46" t="s">
        <v>17</v>
      </c>
      <c r="E2763" s="46" t="s">
        <v>13</v>
      </c>
      <c r="F2763" s="48">
        <v>74.8</v>
      </c>
    </row>
    <row r="2764">
      <c r="A2764" s="46" t="s">
        <v>393</v>
      </c>
      <c r="B2764" s="46" t="s">
        <v>4889</v>
      </c>
      <c r="C2764" s="46" t="s">
        <v>4890</v>
      </c>
      <c r="D2764" s="46" t="s">
        <v>17</v>
      </c>
      <c r="E2764" s="46" t="s">
        <v>13</v>
      </c>
      <c r="F2764" s="48">
        <v>81.0</v>
      </c>
    </row>
    <row r="2765">
      <c r="A2765" s="46" t="s">
        <v>393</v>
      </c>
      <c r="B2765" s="46" t="s">
        <v>4892</v>
      </c>
      <c r="C2765" s="46" t="s">
        <v>1389</v>
      </c>
      <c r="D2765" s="46" t="s">
        <v>18</v>
      </c>
      <c r="E2765" s="46" t="s">
        <v>13</v>
      </c>
      <c r="F2765" s="48">
        <v>85.4</v>
      </c>
    </row>
    <row r="2766">
      <c r="A2766" s="46" t="s">
        <v>393</v>
      </c>
      <c r="B2766" s="46" t="s">
        <v>4894</v>
      </c>
      <c r="C2766" s="46" t="s">
        <v>3238</v>
      </c>
      <c r="D2766" s="46" t="s">
        <v>17</v>
      </c>
      <c r="E2766" s="46" t="s">
        <v>13</v>
      </c>
      <c r="F2766" s="48">
        <v>80.4</v>
      </c>
    </row>
    <row r="2767">
      <c r="A2767" s="46" t="s">
        <v>333</v>
      </c>
      <c r="B2767" s="46" t="s">
        <v>4898</v>
      </c>
      <c r="C2767" s="46" t="s">
        <v>3254</v>
      </c>
      <c r="D2767" s="46" t="s">
        <v>18</v>
      </c>
      <c r="E2767" s="46" t="s">
        <v>14</v>
      </c>
      <c r="F2767" s="48">
        <v>102.1</v>
      </c>
    </row>
    <row r="2768">
      <c r="A2768" s="46" t="s">
        <v>333</v>
      </c>
      <c r="B2768" s="46" t="s">
        <v>814</v>
      </c>
      <c r="C2768" s="46" t="s">
        <v>4905</v>
      </c>
      <c r="D2768" s="46" t="s">
        <v>18</v>
      </c>
      <c r="E2768" s="46" t="s">
        <v>15</v>
      </c>
      <c r="F2768" s="48">
        <v>102.3</v>
      </c>
    </row>
    <row r="2769">
      <c r="A2769" s="46" t="s">
        <v>779</v>
      </c>
      <c r="B2769" s="46" t="s">
        <v>4907</v>
      </c>
      <c r="C2769" s="46" t="s">
        <v>1403</v>
      </c>
      <c r="D2769" s="46" t="s">
        <v>18</v>
      </c>
      <c r="E2769" s="46" t="s">
        <v>14</v>
      </c>
      <c r="F2769" s="48">
        <v>103.7</v>
      </c>
    </row>
    <row r="2770">
      <c r="A2770" s="46" t="s">
        <v>779</v>
      </c>
      <c r="B2770" s="46" t="s">
        <v>4909</v>
      </c>
      <c r="C2770" s="46" t="s">
        <v>1403</v>
      </c>
      <c r="D2770" s="46" t="s">
        <v>18</v>
      </c>
      <c r="E2770" s="46" t="s">
        <v>13</v>
      </c>
      <c r="F2770" s="48">
        <v>79.8</v>
      </c>
    </row>
    <row r="2771">
      <c r="A2771" s="46" t="s">
        <v>779</v>
      </c>
      <c r="B2771" s="46" t="s">
        <v>4912</v>
      </c>
      <c r="C2771" s="46" t="s">
        <v>4913</v>
      </c>
      <c r="D2771" s="46" t="s">
        <v>18</v>
      </c>
      <c r="E2771" s="46" t="s">
        <v>13</v>
      </c>
      <c r="F2771" s="48">
        <v>82.8</v>
      </c>
    </row>
    <row r="2772">
      <c r="A2772" s="46" t="s">
        <v>161</v>
      </c>
      <c r="B2772" s="46" t="s">
        <v>4931</v>
      </c>
      <c r="C2772" s="46" t="s">
        <v>1440</v>
      </c>
      <c r="D2772" s="46" t="s">
        <v>18</v>
      </c>
      <c r="E2772" s="46" t="s">
        <v>14</v>
      </c>
      <c r="F2772" s="48">
        <v>84.5</v>
      </c>
    </row>
    <row r="2773">
      <c r="A2773" s="46" t="s">
        <v>161</v>
      </c>
      <c r="B2773" s="46" t="s">
        <v>4933</v>
      </c>
      <c r="C2773" s="46" t="s">
        <v>1440</v>
      </c>
      <c r="D2773" s="46" t="s">
        <v>18</v>
      </c>
      <c r="E2773" s="46" t="s">
        <v>13</v>
      </c>
      <c r="F2773" s="48">
        <v>88.2</v>
      </c>
    </row>
    <row r="2774">
      <c r="A2774" s="46" t="s">
        <v>161</v>
      </c>
      <c r="B2774" s="46" t="s">
        <v>4937</v>
      </c>
      <c r="C2774" s="46" t="s">
        <v>4938</v>
      </c>
      <c r="D2774" s="46" t="s">
        <v>17</v>
      </c>
      <c r="E2774" s="46" t="s">
        <v>13</v>
      </c>
      <c r="F2774" s="48">
        <v>96.0</v>
      </c>
    </row>
    <row r="2775">
      <c r="A2775" s="46" t="s">
        <v>161</v>
      </c>
      <c r="B2775" s="46" t="s">
        <v>4940</v>
      </c>
      <c r="C2775" s="46" t="s">
        <v>1440</v>
      </c>
      <c r="D2775" s="46" t="s">
        <v>17</v>
      </c>
      <c r="E2775" s="46" t="s">
        <v>14</v>
      </c>
      <c r="F2775" s="48">
        <v>98.5</v>
      </c>
    </row>
    <row r="2776">
      <c r="A2776" s="46" t="s">
        <v>161</v>
      </c>
      <c r="B2776" s="46" t="s">
        <v>4942</v>
      </c>
      <c r="C2776" s="46" t="s">
        <v>1440</v>
      </c>
      <c r="D2776" s="46" t="s">
        <v>17</v>
      </c>
      <c r="E2776" s="46" t="s">
        <v>13</v>
      </c>
      <c r="F2776" s="48">
        <v>99.2</v>
      </c>
    </row>
    <row r="2777">
      <c r="A2777" s="46" t="s">
        <v>161</v>
      </c>
      <c r="B2777" s="46" t="s">
        <v>4944</v>
      </c>
      <c r="C2777" s="46" t="s">
        <v>4945</v>
      </c>
      <c r="D2777" s="46" t="s">
        <v>17</v>
      </c>
      <c r="E2777" s="46" t="s">
        <v>13</v>
      </c>
      <c r="F2777" s="48">
        <v>103.0</v>
      </c>
    </row>
    <row r="2778">
      <c r="A2778" s="46" t="s">
        <v>1441</v>
      </c>
      <c r="B2778" s="46" t="s">
        <v>4947</v>
      </c>
      <c r="C2778" s="46" t="s">
        <v>1501</v>
      </c>
      <c r="D2778" s="46" t="s">
        <v>18</v>
      </c>
      <c r="E2778" s="46" t="s">
        <v>13</v>
      </c>
      <c r="F2778" s="48">
        <v>78.8</v>
      </c>
    </row>
    <row r="2779">
      <c r="A2779" s="46" t="s">
        <v>1441</v>
      </c>
      <c r="B2779" s="46" t="s">
        <v>4960</v>
      </c>
      <c r="C2779" s="46" t="s">
        <v>1455</v>
      </c>
      <c r="D2779" s="46" t="s">
        <v>18</v>
      </c>
      <c r="E2779" s="46" t="s">
        <v>14</v>
      </c>
      <c r="F2779" s="48">
        <v>96.7</v>
      </c>
    </row>
    <row r="2780">
      <c r="A2780" s="46" t="s">
        <v>1441</v>
      </c>
      <c r="B2780" s="46" t="s">
        <v>4962</v>
      </c>
      <c r="C2780" s="46" t="s">
        <v>1460</v>
      </c>
      <c r="D2780" s="46" t="s">
        <v>18</v>
      </c>
      <c r="E2780" s="46" t="s">
        <v>15</v>
      </c>
      <c r="F2780" s="48">
        <v>87.7</v>
      </c>
    </row>
    <row r="2781">
      <c r="A2781" s="46" t="s">
        <v>1441</v>
      </c>
      <c r="B2781" s="46" t="s">
        <v>4971</v>
      </c>
      <c r="C2781" s="46" t="s">
        <v>1460</v>
      </c>
      <c r="D2781" s="46" t="s">
        <v>18</v>
      </c>
      <c r="E2781" s="46" t="s">
        <v>13</v>
      </c>
      <c r="F2781" s="48">
        <v>87.2</v>
      </c>
    </row>
    <row r="2782">
      <c r="A2782" s="46" t="s">
        <v>1441</v>
      </c>
      <c r="B2782" s="46" t="s">
        <v>4973</v>
      </c>
      <c r="C2782" s="46" t="s">
        <v>3362</v>
      </c>
      <c r="D2782" s="46" t="s">
        <v>18</v>
      </c>
      <c r="E2782" s="46" t="s">
        <v>13</v>
      </c>
      <c r="F2782" s="48">
        <v>89.4</v>
      </c>
    </row>
    <row r="2783">
      <c r="A2783" s="46" t="s">
        <v>1441</v>
      </c>
      <c r="B2783" s="46" t="s">
        <v>4975</v>
      </c>
      <c r="C2783" s="46" t="s">
        <v>1498</v>
      </c>
      <c r="D2783" s="46" t="s">
        <v>18</v>
      </c>
      <c r="E2783" s="46" t="s">
        <v>13</v>
      </c>
      <c r="F2783" s="48">
        <v>76.0</v>
      </c>
    </row>
    <row r="2784">
      <c r="A2784" s="46" t="s">
        <v>1441</v>
      </c>
      <c r="B2784" s="46" t="s">
        <v>4979</v>
      </c>
      <c r="C2784" s="46" t="s">
        <v>3362</v>
      </c>
      <c r="D2784" s="46" t="s">
        <v>18</v>
      </c>
      <c r="E2784" s="46" t="s">
        <v>13</v>
      </c>
      <c r="F2784" s="48">
        <v>81.7</v>
      </c>
    </row>
    <row r="2785">
      <c r="A2785" s="46" t="s">
        <v>1441</v>
      </c>
      <c r="B2785" s="46" t="s">
        <v>4981</v>
      </c>
      <c r="C2785" s="46" t="s">
        <v>1471</v>
      </c>
      <c r="D2785" s="46" t="s">
        <v>18</v>
      </c>
      <c r="E2785" s="46" t="s">
        <v>13</v>
      </c>
      <c r="F2785" s="48">
        <v>74.4</v>
      </c>
    </row>
    <row r="2786">
      <c r="A2786" s="46" t="s">
        <v>1441</v>
      </c>
      <c r="B2786" s="46" t="s">
        <v>1321</v>
      </c>
      <c r="C2786" s="46" t="s">
        <v>1449</v>
      </c>
      <c r="D2786" s="46" t="s">
        <v>18</v>
      </c>
      <c r="E2786" s="46" t="s">
        <v>13</v>
      </c>
      <c r="F2786" s="48">
        <v>82.2</v>
      </c>
    </row>
    <row r="2787">
      <c r="A2787" s="46" t="s">
        <v>269</v>
      </c>
      <c r="B2787" s="46" t="s">
        <v>5012</v>
      </c>
      <c r="C2787" s="46" t="s">
        <v>1515</v>
      </c>
      <c r="D2787" s="46" t="s">
        <v>18</v>
      </c>
      <c r="E2787" s="46" t="s">
        <v>14</v>
      </c>
      <c r="F2787" s="48">
        <v>79.0</v>
      </c>
    </row>
    <row r="2788">
      <c r="A2788" s="46" t="s">
        <v>269</v>
      </c>
      <c r="B2788" s="46" t="s">
        <v>5014</v>
      </c>
      <c r="C2788" s="46" t="s">
        <v>1521</v>
      </c>
      <c r="D2788" s="46" t="s">
        <v>18</v>
      </c>
      <c r="E2788" s="46" t="s">
        <v>13</v>
      </c>
      <c r="F2788" s="48">
        <v>80.8</v>
      </c>
    </row>
    <row r="2789">
      <c r="A2789" s="46" t="s">
        <v>269</v>
      </c>
      <c r="B2789" s="46" t="s">
        <v>5020</v>
      </c>
      <c r="C2789" s="46" t="s">
        <v>3393</v>
      </c>
      <c r="D2789" s="46" t="s">
        <v>18</v>
      </c>
      <c r="E2789" s="46" t="s">
        <v>15</v>
      </c>
      <c r="F2789" s="48">
        <v>92.6</v>
      </c>
    </row>
    <row r="2790">
      <c r="A2790" s="46" t="s">
        <v>269</v>
      </c>
      <c r="B2790" s="46" t="s">
        <v>5022</v>
      </c>
      <c r="C2790" s="46" t="s">
        <v>5023</v>
      </c>
      <c r="D2790" s="46" t="s">
        <v>18</v>
      </c>
      <c r="E2790" s="46" t="s">
        <v>13</v>
      </c>
      <c r="F2790" s="48">
        <v>75.3</v>
      </c>
    </row>
    <row r="2791">
      <c r="A2791" s="46" t="s">
        <v>269</v>
      </c>
      <c r="B2791" s="46" t="s">
        <v>5025</v>
      </c>
      <c r="C2791" s="46" t="s">
        <v>1534</v>
      </c>
      <c r="D2791" s="46" t="s">
        <v>18</v>
      </c>
      <c r="E2791" s="46" t="s">
        <v>13</v>
      </c>
      <c r="F2791" s="48">
        <v>81.2</v>
      </c>
    </row>
    <row r="2792">
      <c r="A2792" s="46" t="s">
        <v>269</v>
      </c>
      <c r="B2792" s="46" t="s">
        <v>5027</v>
      </c>
      <c r="C2792" s="46" t="s">
        <v>3393</v>
      </c>
      <c r="D2792" s="46" t="s">
        <v>18</v>
      </c>
      <c r="E2792" s="46" t="s">
        <v>13</v>
      </c>
      <c r="F2792" s="48">
        <v>84.9</v>
      </c>
    </row>
    <row r="2793">
      <c r="A2793" s="46" t="s">
        <v>269</v>
      </c>
      <c r="B2793" s="46" t="s">
        <v>5029</v>
      </c>
      <c r="C2793" s="46" t="s">
        <v>1515</v>
      </c>
      <c r="D2793" s="46" t="s">
        <v>18</v>
      </c>
      <c r="E2793" s="46" t="s">
        <v>13</v>
      </c>
      <c r="F2793" s="48">
        <v>81.8</v>
      </c>
    </row>
    <row r="2794">
      <c r="A2794" s="46" t="s">
        <v>269</v>
      </c>
      <c r="B2794" s="46" t="s">
        <v>5033</v>
      </c>
      <c r="C2794" s="46" t="s">
        <v>5034</v>
      </c>
      <c r="D2794" s="46" t="s">
        <v>18</v>
      </c>
      <c r="E2794" s="46" t="s">
        <v>15</v>
      </c>
      <c r="F2794" s="48">
        <v>100.7</v>
      </c>
    </row>
    <row r="2795">
      <c r="A2795" s="46" t="s">
        <v>269</v>
      </c>
      <c r="B2795" s="46" t="s">
        <v>5036</v>
      </c>
      <c r="C2795" s="46" t="s">
        <v>1529</v>
      </c>
      <c r="D2795" s="46" t="s">
        <v>18</v>
      </c>
      <c r="E2795" s="46" t="s">
        <v>14</v>
      </c>
      <c r="F2795" s="48">
        <v>86.7</v>
      </c>
    </row>
    <row r="2796">
      <c r="A2796" s="46" t="s">
        <v>1545</v>
      </c>
      <c r="B2796" s="46" t="s">
        <v>5039</v>
      </c>
      <c r="C2796" s="46" t="s">
        <v>5040</v>
      </c>
      <c r="D2796" s="46" t="s">
        <v>18</v>
      </c>
      <c r="E2796" s="46" t="s">
        <v>14</v>
      </c>
      <c r="F2796" s="48">
        <v>102.7</v>
      </c>
    </row>
    <row r="2797">
      <c r="A2797" s="46" t="s">
        <v>1545</v>
      </c>
      <c r="B2797" s="46" t="s">
        <v>5042</v>
      </c>
      <c r="C2797" s="46" t="s">
        <v>1549</v>
      </c>
      <c r="D2797" s="46" t="s">
        <v>18</v>
      </c>
      <c r="E2797" s="46" t="s">
        <v>14</v>
      </c>
      <c r="F2797" s="48">
        <v>83.6</v>
      </c>
    </row>
    <row r="2798">
      <c r="A2798" s="46" t="s">
        <v>1545</v>
      </c>
      <c r="B2798" s="46" t="s">
        <v>5044</v>
      </c>
      <c r="C2798" s="46" t="s">
        <v>5045</v>
      </c>
      <c r="D2798" s="46" t="s">
        <v>18</v>
      </c>
      <c r="E2798" s="46" t="s">
        <v>14</v>
      </c>
      <c r="F2798" s="48">
        <v>94.2</v>
      </c>
    </row>
    <row r="2799">
      <c r="A2799" s="46" t="s">
        <v>1545</v>
      </c>
      <c r="B2799" s="46" t="s">
        <v>4336</v>
      </c>
      <c r="C2799" s="46" t="s">
        <v>5049</v>
      </c>
      <c r="D2799" s="46" t="s">
        <v>18</v>
      </c>
      <c r="E2799" s="46" t="s">
        <v>14</v>
      </c>
      <c r="F2799" s="48">
        <v>101.4</v>
      </c>
    </row>
    <row r="2800">
      <c r="A2800" s="46" t="s">
        <v>1579</v>
      </c>
      <c r="B2800" s="46" t="s">
        <v>1297</v>
      </c>
      <c r="C2800" s="46" t="s">
        <v>5073</v>
      </c>
      <c r="D2800" s="46" t="s">
        <v>18</v>
      </c>
      <c r="E2800" s="46" t="s">
        <v>14</v>
      </c>
      <c r="F2800" s="48">
        <v>101.3</v>
      </c>
    </row>
    <row r="2801">
      <c r="A2801" s="46" t="s">
        <v>284</v>
      </c>
      <c r="B2801" s="46" t="s">
        <v>5089</v>
      </c>
      <c r="C2801" s="46" t="s">
        <v>1625</v>
      </c>
      <c r="D2801" s="46" t="s">
        <v>18</v>
      </c>
      <c r="E2801" s="46" t="s">
        <v>13</v>
      </c>
      <c r="F2801" s="48">
        <v>87.5</v>
      </c>
    </row>
    <row r="2802">
      <c r="A2802" s="46" t="s">
        <v>284</v>
      </c>
      <c r="B2802" s="46" t="s">
        <v>5091</v>
      </c>
      <c r="C2802" s="46" t="s">
        <v>1625</v>
      </c>
      <c r="D2802" s="46" t="s">
        <v>18</v>
      </c>
      <c r="E2802" s="46" t="s">
        <v>13</v>
      </c>
      <c r="F2802" s="48">
        <v>85.1</v>
      </c>
    </row>
    <row r="2803">
      <c r="A2803" s="46" t="s">
        <v>88</v>
      </c>
      <c r="B2803" s="46" t="s">
        <v>5093</v>
      </c>
      <c r="C2803" s="46" t="s">
        <v>88</v>
      </c>
      <c r="D2803" s="46" t="s">
        <v>18</v>
      </c>
      <c r="E2803" s="46" t="s">
        <v>15</v>
      </c>
      <c r="F2803" s="48">
        <v>91.5</v>
      </c>
    </row>
    <row r="2804">
      <c r="A2804" s="46" t="s">
        <v>88</v>
      </c>
      <c r="B2804" s="46" t="s">
        <v>5095</v>
      </c>
      <c r="C2804" s="46" t="s">
        <v>88</v>
      </c>
      <c r="D2804" s="46" t="s">
        <v>18</v>
      </c>
      <c r="E2804" s="46" t="s">
        <v>13</v>
      </c>
      <c r="F2804" s="48">
        <v>76.0</v>
      </c>
    </row>
    <row r="2805">
      <c r="A2805" s="46" t="s">
        <v>88</v>
      </c>
      <c r="B2805" s="46" t="s">
        <v>5102</v>
      </c>
      <c r="C2805" s="46" t="s">
        <v>5103</v>
      </c>
      <c r="D2805" s="46" t="s">
        <v>18</v>
      </c>
      <c r="E2805" s="46" t="s">
        <v>13</v>
      </c>
      <c r="F2805" s="48">
        <v>70.2</v>
      </c>
    </row>
    <row r="2806">
      <c r="A2806" s="46" t="s">
        <v>88</v>
      </c>
      <c r="B2806" s="46" t="s">
        <v>5105</v>
      </c>
      <c r="C2806" s="46" t="s">
        <v>5106</v>
      </c>
      <c r="D2806" s="46" t="s">
        <v>18</v>
      </c>
      <c r="E2806" s="46" t="s">
        <v>14</v>
      </c>
      <c r="F2806" s="48">
        <v>88.7</v>
      </c>
    </row>
    <row r="2807">
      <c r="A2807" s="46" t="s">
        <v>88</v>
      </c>
      <c r="B2807" s="46" t="s">
        <v>5108</v>
      </c>
      <c r="C2807" s="46" t="s">
        <v>5109</v>
      </c>
      <c r="D2807" s="46" t="s">
        <v>18</v>
      </c>
      <c r="E2807" s="46" t="s">
        <v>14</v>
      </c>
      <c r="F2807" s="48">
        <v>89.2</v>
      </c>
    </row>
    <row r="2808">
      <c r="A2808" s="46" t="s">
        <v>88</v>
      </c>
      <c r="B2808" s="46" t="s">
        <v>5111</v>
      </c>
      <c r="C2808" s="46" t="s">
        <v>88</v>
      </c>
      <c r="D2808" s="46" t="s">
        <v>17</v>
      </c>
      <c r="E2808" s="46" t="s">
        <v>13</v>
      </c>
      <c r="F2808" s="48">
        <v>103.6</v>
      </c>
    </row>
    <row r="2809">
      <c r="A2809" s="46" t="s">
        <v>182</v>
      </c>
      <c r="B2809" s="46" t="s">
        <v>5115</v>
      </c>
      <c r="C2809" s="46" t="s">
        <v>1664</v>
      </c>
      <c r="D2809" s="46" t="s">
        <v>18</v>
      </c>
      <c r="E2809" s="46" t="s">
        <v>13</v>
      </c>
      <c r="F2809" s="48">
        <v>88.3</v>
      </c>
    </row>
    <row r="2810">
      <c r="A2810" s="46" t="s">
        <v>182</v>
      </c>
      <c r="B2810" s="46" t="s">
        <v>5119</v>
      </c>
      <c r="C2810" s="46" t="s">
        <v>1674</v>
      </c>
      <c r="D2810" s="46" t="s">
        <v>18</v>
      </c>
      <c r="E2810" s="46" t="s">
        <v>13</v>
      </c>
      <c r="F2810" s="48">
        <v>87.2</v>
      </c>
    </row>
    <row r="2811">
      <c r="A2811" s="46" t="s">
        <v>182</v>
      </c>
      <c r="B2811" s="46" t="s">
        <v>5121</v>
      </c>
      <c r="C2811" s="46" t="s">
        <v>5122</v>
      </c>
      <c r="D2811" s="46" t="s">
        <v>17</v>
      </c>
      <c r="E2811" s="46" t="s">
        <v>13</v>
      </c>
      <c r="F2811" s="48">
        <v>87.1</v>
      </c>
    </row>
    <row r="2812">
      <c r="A2812" s="46" t="s">
        <v>182</v>
      </c>
      <c r="B2812" s="46" t="s">
        <v>5124</v>
      </c>
      <c r="C2812" s="46" t="s">
        <v>411</v>
      </c>
      <c r="D2812" s="46" t="s">
        <v>18</v>
      </c>
      <c r="E2812" s="46" t="s">
        <v>14</v>
      </c>
      <c r="F2812" s="48">
        <v>95.5</v>
      </c>
    </row>
    <row r="2813">
      <c r="A2813" s="46" t="s">
        <v>134</v>
      </c>
      <c r="B2813" s="46" t="s">
        <v>5130</v>
      </c>
      <c r="C2813" s="46" t="s">
        <v>1688</v>
      </c>
      <c r="D2813" s="46" t="s">
        <v>17</v>
      </c>
      <c r="E2813" s="46" t="s">
        <v>13</v>
      </c>
      <c r="F2813" s="48">
        <v>100.6</v>
      </c>
    </row>
    <row r="2814">
      <c r="A2814" s="46" t="s">
        <v>134</v>
      </c>
      <c r="B2814" s="46" t="s">
        <v>5132</v>
      </c>
      <c r="C2814" s="46" t="s">
        <v>1688</v>
      </c>
      <c r="D2814" s="46" t="s">
        <v>18</v>
      </c>
      <c r="E2814" s="46" t="s">
        <v>15</v>
      </c>
      <c r="F2814" s="48">
        <v>96.3</v>
      </c>
    </row>
    <row r="2815">
      <c r="A2815" s="46" t="s">
        <v>129</v>
      </c>
      <c r="B2815" s="46" t="s">
        <v>5136</v>
      </c>
      <c r="C2815" s="46" t="s">
        <v>1707</v>
      </c>
      <c r="D2815" s="46" t="s">
        <v>18</v>
      </c>
      <c r="E2815" s="46" t="s">
        <v>15</v>
      </c>
      <c r="F2815" s="48">
        <v>102.7</v>
      </c>
    </row>
    <row r="2816">
      <c r="A2816" s="46" t="s">
        <v>129</v>
      </c>
      <c r="B2816" s="46" t="s">
        <v>5141</v>
      </c>
      <c r="C2816" s="46" t="s">
        <v>1707</v>
      </c>
      <c r="D2816" s="46" t="s">
        <v>18</v>
      </c>
      <c r="E2816" s="46" t="s">
        <v>13</v>
      </c>
      <c r="F2816" s="48">
        <v>75.5</v>
      </c>
    </row>
    <row r="2817">
      <c r="A2817" s="46" t="s">
        <v>779</v>
      </c>
      <c r="B2817" s="46" t="s">
        <v>5148</v>
      </c>
      <c r="C2817" s="46" t="s">
        <v>1714</v>
      </c>
      <c r="D2817" s="46" t="s">
        <v>18</v>
      </c>
      <c r="E2817" s="46" t="s">
        <v>13</v>
      </c>
      <c r="F2817" s="48">
        <v>88.3</v>
      </c>
    </row>
    <row r="2818">
      <c r="A2818" s="46" t="s">
        <v>779</v>
      </c>
      <c r="B2818" s="46" t="s">
        <v>5156</v>
      </c>
      <c r="C2818" s="46" t="s">
        <v>5154</v>
      </c>
      <c r="D2818" s="46" t="s">
        <v>18</v>
      </c>
      <c r="E2818" s="46" t="s">
        <v>13</v>
      </c>
      <c r="F2818" s="48">
        <v>84.8</v>
      </c>
    </row>
    <row r="2819">
      <c r="A2819" s="46" t="s">
        <v>779</v>
      </c>
      <c r="B2819" s="46" t="s">
        <v>2316</v>
      </c>
      <c r="C2819" s="46" t="s">
        <v>1717</v>
      </c>
      <c r="D2819" s="46" t="s">
        <v>18</v>
      </c>
      <c r="E2819" s="46" t="s">
        <v>14</v>
      </c>
      <c r="F2819" s="48">
        <v>95.8</v>
      </c>
    </row>
    <row r="2820">
      <c r="A2820" s="46" t="s">
        <v>779</v>
      </c>
      <c r="B2820" s="46" t="s">
        <v>1096</v>
      </c>
      <c r="C2820" s="46" t="s">
        <v>1725</v>
      </c>
      <c r="D2820" s="46" t="s">
        <v>17</v>
      </c>
      <c r="E2820" s="46" t="s">
        <v>13</v>
      </c>
      <c r="F2820" s="48">
        <v>102.8</v>
      </c>
    </row>
    <row r="2821">
      <c r="A2821" s="46" t="s">
        <v>284</v>
      </c>
      <c r="B2821" s="46" t="s">
        <v>5163</v>
      </c>
      <c r="C2821" s="46" t="s">
        <v>3583</v>
      </c>
      <c r="D2821" s="46" t="s">
        <v>18</v>
      </c>
      <c r="E2821" s="46" t="s">
        <v>15</v>
      </c>
      <c r="F2821" s="48">
        <v>103.3</v>
      </c>
    </row>
    <row r="2822">
      <c r="A2822" s="46" t="s">
        <v>284</v>
      </c>
      <c r="B2822" s="46" t="s">
        <v>5165</v>
      </c>
      <c r="C2822" s="46" t="s">
        <v>3583</v>
      </c>
      <c r="D2822" s="46" t="s">
        <v>18</v>
      </c>
      <c r="E2822" s="46" t="s">
        <v>13</v>
      </c>
      <c r="F2822" s="48">
        <v>90.6</v>
      </c>
    </row>
    <row r="2823">
      <c r="A2823" s="46" t="s">
        <v>284</v>
      </c>
      <c r="B2823" s="46" t="s">
        <v>5171</v>
      </c>
      <c r="C2823" s="46" t="s">
        <v>284</v>
      </c>
      <c r="D2823" s="46" t="s">
        <v>18</v>
      </c>
      <c r="E2823" s="46" t="s">
        <v>13</v>
      </c>
      <c r="F2823" s="48">
        <v>84.0</v>
      </c>
    </row>
    <row r="2824">
      <c r="A2824" s="46" t="s">
        <v>930</v>
      </c>
      <c r="B2824" s="46" t="s">
        <v>3729</v>
      </c>
      <c r="C2824" s="46" t="s">
        <v>3601</v>
      </c>
      <c r="D2824" s="46" t="s">
        <v>18</v>
      </c>
      <c r="E2824" s="46" t="s">
        <v>13</v>
      </c>
      <c r="F2824" s="48">
        <v>80.4</v>
      </c>
    </row>
    <row r="2825">
      <c r="A2825" s="46" t="s">
        <v>930</v>
      </c>
      <c r="B2825" s="46" t="s">
        <v>5190</v>
      </c>
      <c r="C2825" s="46" t="s">
        <v>5191</v>
      </c>
      <c r="D2825" s="46" t="s">
        <v>18</v>
      </c>
      <c r="E2825" s="46" t="s">
        <v>13</v>
      </c>
      <c r="F2825" s="48">
        <v>72.5</v>
      </c>
    </row>
    <row r="2826">
      <c r="A2826" s="46" t="s">
        <v>333</v>
      </c>
      <c r="B2826" s="46" t="s">
        <v>5195</v>
      </c>
      <c r="C2826" s="46" t="s">
        <v>1777</v>
      </c>
      <c r="D2826" s="46" t="s">
        <v>18</v>
      </c>
      <c r="E2826" s="46" t="s">
        <v>14</v>
      </c>
      <c r="F2826" s="48">
        <v>96.9</v>
      </c>
    </row>
    <row r="2827">
      <c r="A2827" s="46" t="s">
        <v>393</v>
      </c>
      <c r="B2827" s="46" t="s">
        <v>5198</v>
      </c>
      <c r="C2827" s="46" t="s">
        <v>5199</v>
      </c>
      <c r="D2827" s="46" t="s">
        <v>18</v>
      </c>
      <c r="E2827" s="46" t="s">
        <v>13</v>
      </c>
      <c r="F2827" s="48">
        <v>85.7</v>
      </c>
    </row>
    <row r="2828">
      <c r="A2828" s="46" t="s">
        <v>393</v>
      </c>
      <c r="B2828" s="46" t="s">
        <v>218</v>
      </c>
      <c r="C2828" s="46" t="s">
        <v>1781</v>
      </c>
      <c r="D2828" s="46" t="s">
        <v>17</v>
      </c>
      <c r="E2828" s="46" t="s">
        <v>13</v>
      </c>
      <c r="F2828" s="48">
        <v>83.9</v>
      </c>
    </row>
    <row r="2829">
      <c r="A2829" s="46" t="s">
        <v>1579</v>
      </c>
      <c r="B2829" s="46" t="s">
        <v>3991</v>
      </c>
      <c r="C2829" s="46" t="s">
        <v>5202</v>
      </c>
      <c r="D2829" s="46" t="s">
        <v>18</v>
      </c>
      <c r="E2829" s="46" t="s">
        <v>15</v>
      </c>
      <c r="F2829" s="48">
        <v>100.4</v>
      </c>
    </row>
    <row r="2830">
      <c r="A2830" s="46" t="s">
        <v>1579</v>
      </c>
      <c r="B2830" s="46" t="s">
        <v>5215</v>
      </c>
      <c r="C2830" s="46" t="s">
        <v>5216</v>
      </c>
      <c r="D2830" s="46" t="s">
        <v>18</v>
      </c>
      <c r="E2830" s="46" t="s">
        <v>13</v>
      </c>
      <c r="F2830" s="48">
        <v>85.2</v>
      </c>
    </row>
    <row r="2831">
      <c r="A2831" s="46" t="s">
        <v>1579</v>
      </c>
      <c r="B2831" s="46" t="s">
        <v>1179</v>
      </c>
      <c r="C2831" s="46" t="s">
        <v>5218</v>
      </c>
      <c r="D2831" s="46" t="s">
        <v>18</v>
      </c>
      <c r="E2831" s="46" t="s">
        <v>13</v>
      </c>
      <c r="F2831" s="48">
        <v>79.5</v>
      </c>
    </row>
    <row r="2832">
      <c r="A2832" s="46" t="s">
        <v>1579</v>
      </c>
      <c r="B2832" s="46" t="s">
        <v>5221</v>
      </c>
      <c r="C2832" s="46" t="s">
        <v>1804</v>
      </c>
      <c r="D2832" s="46" t="s">
        <v>18</v>
      </c>
      <c r="E2832" s="46" t="s">
        <v>14</v>
      </c>
      <c r="F2832" s="48">
        <v>95.3</v>
      </c>
    </row>
    <row r="2833">
      <c r="A2833" s="46" t="s">
        <v>1579</v>
      </c>
      <c r="B2833" s="46" t="s">
        <v>1511</v>
      </c>
      <c r="C2833" s="46" t="s">
        <v>1839</v>
      </c>
      <c r="D2833" s="46" t="s">
        <v>18</v>
      </c>
      <c r="E2833" s="46" t="s">
        <v>15</v>
      </c>
      <c r="F2833" s="48">
        <v>96.7</v>
      </c>
    </row>
    <row r="2834">
      <c r="A2834" s="46" t="s">
        <v>1579</v>
      </c>
      <c r="B2834" s="46" t="s">
        <v>5242</v>
      </c>
      <c r="C2834" s="46" t="s">
        <v>5243</v>
      </c>
      <c r="D2834" s="46" t="s">
        <v>18</v>
      </c>
      <c r="E2834" s="46" t="s">
        <v>13</v>
      </c>
      <c r="F2834" s="48">
        <v>87.4</v>
      </c>
    </row>
    <row r="2835">
      <c r="A2835" s="46" t="s">
        <v>1579</v>
      </c>
      <c r="B2835" s="46" t="s">
        <v>4333</v>
      </c>
      <c r="C2835" s="46" t="s">
        <v>1818</v>
      </c>
      <c r="D2835" s="46" t="s">
        <v>18</v>
      </c>
      <c r="E2835" s="46" t="s">
        <v>14</v>
      </c>
      <c r="F2835" s="48">
        <v>102.2</v>
      </c>
    </row>
    <row r="2836">
      <c r="A2836" s="46" t="s">
        <v>1579</v>
      </c>
      <c r="B2836" s="46" t="s">
        <v>5255</v>
      </c>
      <c r="C2836" s="46" t="s">
        <v>5256</v>
      </c>
      <c r="D2836" s="46" t="s">
        <v>18</v>
      </c>
      <c r="E2836" s="46" t="s">
        <v>13</v>
      </c>
      <c r="F2836" s="48">
        <v>89.1</v>
      </c>
    </row>
    <row r="2837">
      <c r="A2837" s="46" t="s">
        <v>1579</v>
      </c>
      <c r="B2837" s="46" t="s">
        <v>5258</v>
      </c>
      <c r="C2837" s="46" t="s">
        <v>3658</v>
      </c>
      <c r="D2837" s="46" t="s">
        <v>18</v>
      </c>
      <c r="E2837" s="46" t="s">
        <v>15</v>
      </c>
      <c r="F2837" s="48">
        <v>92.6</v>
      </c>
    </row>
    <row r="2838">
      <c r="A2838" s="46" t="s">
        <v>1579</v>
      </c>
      <c r="B2838" s="46" t="s">
        <v>5260</v>
      </c>
      <c r="C2838" s="46" t="s">
        <v>1851</v>
      </c>
      <c r="D2838" s="46" t="s">
        <v>18</v>
      </c>
      <c r="E2838" s="46" t="s">
        <v>13</v>
      </c>
      <c r="F2838" s="48">
        <v>86.9</v>
      </c>
    </row>
    <row r="2839">
      <c r="A2839" s="46" t="s">
        <v>1579</v>
      </c>
      <c r="B2839" s="46" t="s">
        <v>5262</v>
      </c>
      <c r="C2839" s="46" t="s">
        <v>3638</v>
      </c>
      <c r="D2839" s="46" t="s">
        <v>18</v>
      </c>
      <c r="E2839" s="46" t="s">
        <v>13</v>
      </c>
      <c r="F2839" s="48">
        <v>86.3</v>
      </c>
    </row>
    <row r="2840">
      <c r="A2840" s="46" t="s">
        <v>1545</v>
      </c>
      <c r="B2840" s="46" t="s">
        <v>1605</v>
      </c>
      <c r="C2840" s="46" t="s">
        <v>1874</v>
      </c>
      <c r="D2840" s="46" t="s">
        <v>18</v>
      </c>
      <c r="E2840" s="46" t="s">
        <v>15</v>
      </c>
      <c r="F2840" s="48">
        <v>77.3</v>
      </c>
    </row>
    <row r="2841">
      <c r="A2841" s="46" t="s">
        <v>1545</v>
      </c>
      <c r="B2841" s="46" t="s">
        <v>2485</v>
      </c>
      <c r="C2841" s="46" t="s">
        <v>1894</v>
      </c>
      <c r="D2841" s="46" t="s">
        <v>18</v>
      </c>
      <c r="E2841" s="46" t="s">
        <v>15</v>
      </c>
      <c r="F2841" s="48">
        <v>81.4</v>
      </c>
    </row>
    <row r="2842">
      <c r="A2842" s="46" t="s">
        <v>1545</v>
      </c>
      <c r="B2842" s="46" t="s">
        <v>5268</v>
      </c>
      <c r="C2842" s="46" t="s">
        <v>1894</v>
      </c>
      <c r="D2842" s="46" t="s">
        <v>18</v>
      </c>
      <c r="E2842" s="46" t="s">
        <v>14</v>
      </c>
      <c r="F2842" s="48">
        <v>77.5</v>
      </c>
    </row>
    <row r="2843">
      <c r="A2843" s="46" t="s">
        <v>1545</v>
      </c>
      <c r="B2843" s="46" t="s">
        <v>5270</v>
      </c>
      <c r="C2843" s="46" t="s">
        <v>5271</v>
      </c>
      <c r="D2843" s="46" t="s">
        <v>18</v>
      </c>
      <c r="E2843" s="46" t="s">
        <v>13</v>
      </c>
      <c r="F2843" s="48">
        <v>79.1</v>
      </c>
    </row>
    <row r="2844">
      <c r="A2844" s="46" t="s">
        <v>1545</v>
      </c>
      <c r="B2844" s="46" t="s">
        <v>5273</v>
      </c>
      <c r="C2844" s="46" t="s">
        <v>1861</v>
      </c>
      <c r="D2844" s="46" t="s">
        <v>18</v>
      </c>
      <c r="E2844" s="46" t="s">
        <v>15</v>
      </c>
      <c r="F2844" s="48">
        <v>97.2</v>
      </c>
    </row>
    <row r="2845">
      <c r="A2845" s="46" t="s">
        <v>1545</v>
      </c>
      <c r="B2845" s="46" t="s">
        <v>5275</v>
      </c>
      <c r="C2845" s="46" t="s">
        <v>3678</v>
      </c>
      <c r="D2845" s="46" t="s">
        <v>17</v>
      </c>
      <c r="E2845" s="46" t="s">
        <v>13</v>
      </c>
      <c r="F2845" s="48">
        <v>103.0</v>
      </c>
    </row>
    <row r="2846">
      <c r="A2846" s="46" t="s">
        <v>1545</v>
      </c>
      <c r="B2846" s="46" t="s">
        <v>5286</v>
      </c>
      <c r="C2846" s="46" t="s">
        <v>1866</v>
      </c>
      <c r="D2846" s="46" t="s">
        <v>18</v>
      </c>
      <c r="E2846" s="46" t="s">
        <v>15</v>
      </c>
      <c r="F2846" s="48">
        <v>77.5</v>
      </c>
    </row>
    <row r="2847">
      <c r="A2847" s="46" t="s">
        <v>1545</v>
      </c>
      <c r="B2847" s="46" t="s">
        <v>2355</v>
      </c>
      <c r="C2847" s="46" t="s">
        <v>1886</v>
      </c>
      <c r="D2847" s="46" t="s">
        <v>18</v>
      </c>
      <c r="E2847" s="46" t="s">
        <v>14</v>
      </c>
      <c r="F2847" s="48">
        <v>78.5</v>
      </c>
    </row>
    <row r="2848">
      <c r="A2848" s="46" t="s">
        <v>1545</v>
      </c>
      <c r="B2848" s="46" t="s">
        <v>2446</v>
      </c>
      <c r="C2848" s="46" t="s">
        <v>5271</v>
      </c>
      <c r="D2848" s="46" t="s">
        <v>18</v>
      </c>
      <c r="E2848" s="46" t="s">
        <v>14</v>
      </c>
      <c r="F2848" s="48">
        <v>75.8</v>
      </c>
    </row>
    <row r="2849">
      <c r="A2849" s="46" t="s">
        <v>1545</v>
      </c>
      <c r="B2849" s="46" t="s">
        <v>5292</v>
      </c>
      <c r="C2849" s="46" t="s">
        <v>5284</v>
      </c>
      <c r="D2849" s="46" t="s">
        <v>18</v>
      </c>
      <c r="E2849" s="46" t="s">
        <v>14</v>
      </c>
      <c r="F2849" s="48">
        <v>90.9</v>
      </c>
    </row>
    <row r="2850">
      <c r="A2850" s="46" t="s">
        <v>1545</v>
      </c>
      <c r="B2850" s="46" t="s">
        <v>5294</v>
      </c>
      <c r="C2850" s="46" t="s">
        <v>1858</v>
      </c>
      <c r="D2850" s="46" t="s">
        <v>18</v>
      </c>
      <c r="E2850" s="46" t="s">
        <v>14</v>
      </c>
      <c r="F2850" s="48">
        <v>76.6</v>
      </c>
    </row>
    <row r="2851">
      <c r="A2851" s="46" t="s">
        <v>1545</v>
      </c>
      <c r="B2851" s="46" t="s">
        <v>5296</v>
      </c>
      <c r="C2851" s="46" t="s">
        <v>3678</v>
      </c>
      <c r="D2851" s="46" t="s">
        <v>18</v>
      </c>
      <c r="E2851" s="46" t="s">
        <v>14</v>
      </c>
      <c r="F2851" s="48">
        <v>91.2</v>
      </c>
    </row>
    <row r="2852">
      <c r="A2852" s="46" t="s">
        <v>1545</v>
      </c>
      <c r="B2852" s="46" t="s">
        <v>5298</v>
      </c>
      <c r="C2852" s="46" t="s">
        <v>5299</v>
      </c>
      <c r="D2852" s="46" t="s">
        <v>18</v>
      </c>
      <c r="E2852" s="46" t="s">
        <v>15</v>
      </c>
      <c r="F2852" s="48">
        <v>78.5</v>
      </c>
    </row>
    <row r="2853">
      <c r="A2853" s="46" t="s">
        <v>1545</v>
      </c>
      <c r="B2853" s="46" t="s">
        <v>5301</v>
      </c>
      <c r="C2853" s="46" t="s">
        <v>1898</v>
      </c>
      <c r="D2853" s="46" t="s">
        <v>18</v>
      </c>
      <c r="E2853" s="46" t="s">
        <v>14</v>
      </c>
      <c r="F2853" s="48">
        <v>97.5</v>
      </c>
    </row>
    <row r="2854">
      <c r="A2854" s="46" t="s">
        <v>1545</v>
      </c>
      <c r="B2854" s="46" t="s">
        <v>5307</v>
      </c>
      <c r="C2854" s="46" t="s">
        <v>1913</v>
      </c>
      <c r="D2854" s="46" t="s">
        <v>18</v>
      </c>
      <c r="E2854" s="46" t="s">
        <v>15</v>
      </c>
      <c r="F2854" s="48">
        <v>100.2</v>
      </c>
    </row>
    <row r="2855">
      <c r="A2855" s="46" t="s">
        <v>1545</v>
      </c>
      <c r="B2855" s="46" t="s">
        <v>5311</v>
      </c>
      <c r="C2855" s="46" t="s">
        <v>1898</v>
      </c>
      <c r="D2855" s="46" t="s">
        <v>18</v>
      </c>
      <c r="E2855" s="46" t="s">
        <v>14</v>
      </c>
      <c r="F2855" s="48">
        <v>74.5</v>
      </c>
    </row>
    <row r="2856">
      <c r="A2856" s="46" t="s">
        <v>1545</v>
      </c>
      <c r="B2856" s="46" t="s">
        <v>5313</v>
      </c>
      <c r="C2856" s="46" t="s">
        <v>5314</v>
      </c>
      <c r="D2856" s="46" t="s">
        <v>18</v>
      </c>
      <c r="E2856" s="46" t="s">
        <v>13</v>
      </c>
      <c r="F2856" s="48">
        <v>85.6</v>
      </c>
    </row>
    <row r="2857">
      <c r="A2857" s="46" t="s">
        <v>1545</v>
      </c>
      <c r="B2857" s="46" t="s">
        <v>5316</v>
      </c>
      <c r="C2857" s="46" t="s">
        <v>1904</v>
      </c>
      <c r="D2857" s="46" t="s">
        <v>18</v>
      </c>
      <c r="E2857" s="46" t="s">
        <v>14</v>
      </c>
      <c r="F2857" s="48">
        <v>94.8</v>
      </c>
    </row>
    <row r="2858">
      <c r="A2858" s="46" t="s">
        <v>1545</v>
      </c>
      <c r="B2858" s="46" t="s">
        <v>5327</v>
      </c>
      <c r="C2858" s="46" t="s">
        <v>1545</v>
      </c>
      <c r="D2858" s="46" t="s">
        <v>18</v>
      </c>
      <c r="E2858" s="46" t="s">
        <v>14</v>
      </c>
      <c r="F2858" s="48">
        <v>86.5</v>
      </c>
    </row>
    <row r="2859">
      <c r="A2859" s="46" t="s">
        <v>1545</v>
      </c>
      <c r="B2859" s="46" t="s">
        <v>5329</v>
      </c>
      <c r="C2859" s="46" t="s">
        <v>1898</v>
      </c>
      <c r="D2859" s="46" t="s">
        <v>18</v>
      </c>
      <c r="E2859" s="46" t="s">
        <v>14</v>
      </c>
      <c r="F2859" s="48">
        <v>92.3</v>
      </c>
    </row>
    <row r="2860">
      <c r="A2860" s="46" t="s">
        <v>1579</v>
      </c>
      <c r="B2860" s="46" t="s">
        <v>5341</v>
      </c>
      <c r="C2860" s="46" t="s">
        <v>1930</v>
      </c>
      <c r="D2860" s="46" t="s">
        <v>18</v>
      </c>
      <c r="E2860" s="46" t="s">
        <v>14</v>
      </c>
      <c r="F2860" s="48">
        <v>88.9</v>
      </c>
    </row>
    <row r="2861">
      <c r="A2861" s="46" t="s">
        <v>1579</v>
      </c>
      <c r="B2861" s="46" t="s">
        <v>5343</v>
      </c>
      <c r="C2861" s="46" t="s">
        <v>5344</v>
      </c>
      <c r="D2861" s="46" t="s">
        <v>18</v>
      </c>
      <c r="E2861" s="46" t="s">
        <v>14</v>
      </c>
      <c r="F2861" s="48">
        <v>83.9</v>
      </c>
    </row>
    <row r="2862">
      <c r="A2862" s="46" t="s">
        <v>1579</v>
      </c>
      <c r="B2862" s="46" t="s">
        <v>5356</v>
      </c>
      <c r="C2862" s="46" t="s">
        <v>3760</v>
      </c>
      <c r="D2862" s="46" t="s">
        <v>18</v>
      </c>
      <c r="E2862" s="46" t="s">
        <v>13</v>
      </c>
      <c r="F2862" s="48">
        <v>82.3</v>
      </c>
    </row>
    <row r="2863">
      <c r="A2863" s="46" t="s">
        <v>1579</v>
      </c>
      <c r="B2863" s="46" t="s">
        <v>5358</v>
      </c>
      <c r="C2863" s="46" t="s">
        <v>5359</v>
      </c>
      <c r="D2863" s="46" t="s">
        <v>18</v>
      </c>
      <c r="E2863" s="46" t="s">
        <v>13</v>
      </c>
      <c r="F2863" s="48">
        <v>90.4</v>
      </c>
    </row>
    <row r="2864">
      <c r="A2864" s="46" t="s">
        <v>1579</v>
      </c>
      <c r="B2864" s="46" t="s">
        <v>5363</v>
      </c>
      <c r="C2864" s="46" t="s">
        <v>1957</v>
      </c>
      <c r="D2864" s="46" t="s">
        <v>18</v>
      </c>
      <c r="E2864" s="46" t="s">
        <v>15</v>
      </c>
      <c r="F2864" s="48">
        <v>78.7</v>
      </c>
    </row>
    <row r="2865">
      <c r="A2865" s="46" t="s">
        <v>1989</v>
      </c>
      <c r="B2865" s="46" t="s">
        <v>5373</v>
      </c>
      <c r="C2865" s="46" t="s">
        <v>1992</v>
      </c>
      <c r="D2865" s="46" t="s">
        <v>18</v>
      </c>
      <c r="E2865" s="46" t="s">
        <v>15</v>
      </c>
      <c r="F2865" s="48">
        <v>97.5</v>
      </c>
    </row>
    <row r="2866">
      <c r="A2866" s="46" t="s">
        <v>1989</v>
      </c>
      <c r="B2866" s="46" t="s">
        <v>5375</v>
      </c>
      <c r="C2866" s="46" t="s">
        <v>2001</v>
      </c>
      <c r="D2866" s="46" t="s">
        <v>17</v>
      </c>
      <c r="E2866" s="46" t="s">
        <v>15</v>
      </c>
      <c r="F2866" s="48">
        <v>97.1</v>
      </c>
    </row>
    <row r="2867">
      <c r="A2867" s="46" t="s">
        <v>1989</v>
      </c>
      <c r="B2867" s="46" t="s">
        <v>5377</v>
      </c>
      <c r="C2867" s="46" t="s">
        <v>2648</v>
      </c>
      <c r="D2867" s="46" t="s">
        <v>18</v>
      </c>
      <c r="E2867" s="46" t="s">
        <v>13</v>
      </c>
      <c r="F2867" s="48">
        <v>70.6</v>
      </c>
    </row>
    <row r="2868">
      <c r="A2868" s="46" t="s">
        <v>1989</v>
      </c>
      <c r="B2868" s="46" t="s">
        <v>5379</v>
      </c>
      <c r="C2868" s="46" t="s">
        <v>3798</v>
      </c>
      <c r="D2868" s="46" t="s">
        <v>18</v>
      </c>
      <c r="E2868" s="46" t="s">
        <v>13</v>
      </c>
      <c r="F2868" s="48">
        <v>73.6</v>
      </c>
    </row>
    <row r="2869">
      <c r="A2869" s="46" t="s">
        <v>1989</v>
      </c>
      <c r="B2869" s="46" t="s">
        <v>5381</v>
      </c>
      <c r="C2869" s="46" t="s">
        <v>3798</v>
      </c>
      <c r="D2869" s="46" t="s">
        <v>17</v>
      </c>
      <c r="E2869" s="46" t="s">
        <v>13</v>
      </c>
      <c r="F2869" s="48">
        <v>76.5</v>
      </c>
    </row>
    <row r="2870">
      <c r="A2870" s="46" t="s">
        <v>1989</v>
      </c>
      <c r="B2870" s="46" t="s">
        <v>5383</v>
      </c>
      <c r="C2870" s="46" t="s">
        <v>1992</v>
      </c>
      <c r="D2870" s="46" t="s">
        <v>18</v>
      </c>
      <c r="E2870" s="46" t="s">
        <v>14</v>
      </c>
      <c r="F2870" s="48">
        <v>92.1</v>
      </c>
    </row>
    <row r="2871">
      <c r="A2871" s="46" t="s">
        <v>1989</v>
      </c>
      <c r="B2871" s="46" t="s">
        <v>5385</v>
      </c>
      <c r="C2871" s="46" t="s">
        <v>5386</v>
      </c>
      <c r="D2871" s="46" t="s">
        <v>18</v>
      </c>
      <c r="E2871" s="46" t="s">
        <v>15</v>
      </c>
      <c r="F2871" s="48">
        <v>97.3</v>
      </c>
    </row>
    <row r="2872">
      <c r="A2872" s="46" t="s">
        <v>1989</v>
      </c>
      <c r="B2872" s="46" t="s">
        <v>5388</v>
      </c>
      <c r="C2872" s="46" t="s">
        <v>5389</v>
      </c>
      <c r="D2872" s="46" t="s">
        <v>18</v>
      </c>
      <c r="E2872" s="46" t="s">
        <v>14</v>
      </c>
      <c r="F2872" s="48">
        <v>81.7</v>
      </c>
    </row>
    <row r="2873">
      <c r="A2873" s="46" t="s">
        <v>2013</v>
      </c>
      <c r="B2873" s="46" t="s">
        <v>5393</v>
      </c>
      <c r="C2873" s="46" t="s">
        <v>2028</v>
      </c>
      <c r="D2873" s="46" t="s">
        <v>18</v>
      </c>
      <c r="E2873" s="46" t="s">
        <v>13</v>
      </c>
      <c r="F2873" s="48">
        <v>76.0</v>
      </c>
    </row>
    <row r="2874">
      <c r="A2874" s="46" t="s">
        <v>2013</v>
      </c>
      <c r="B2874" s="46" t="s">
        <v>5398</v>
      </c>
      <c r="C2874" s="46" t="s">
        <v>5399</v>
      </c>
      <c r="D2874" s="46" t="s">
        <v>18</v>
      </c>
      <c r="E2874" s="46" t="s">
        <v>14</v>
      </c>
      <c r="F2874" s="48">
        <v>97.6</v>
      </c>
    </row>
    <row r="2875">
      <c r="A2875" s="46" t="s">
        <v>2013</v>
      </c>
      <c r="B2875" s="46" t="s">
        <v>5404</v>
      </c>
      <c r="C2875" s="46" t="s">
        <v>2019</v>
      </c>
      <c r="D2875" s="46" t="s">
        <v>18</v>
      </c>
      <c r="E2875" s="46" t="s">
        <v>13</v>
      </c>
      <c r="F2875" s="48">
        <v>77.5</v>
      </c>
    </row>
    <row r="2876">
      <c r="A2876" s="46" t="s">
        <v>2035</v>
      </c>
      <c r="B2876" s="46" t="s">
        <v>5406</v>
      </c>
      <c r="C2876" s="46" t="s">
        <v>2046</v>
      </c>
      <c r="D2876" s="46" t="s">
        <v>18</v>
      </c>
      <c r="E2876" s="46" t="s">
        <v>14</v>
      </c>
      <c r="F2876" s="48">
        <v>75.6</v>
      </c>
    </row>
    <row r="2877">
      <c r="A2877" s="46" t="s">
        <v>2035</v>
      </c>
      <c r="B2877" s="46" t="s">
        <v>5408</v>
      </c>
      <c r="C2877" s="46" t="s">
        <v>2046</v>
      </c>
      <c r="D2877" s="46" t="s">
        <v>18</v>
      </c>
      <c r="E2877" s="46" t="s">
        <v>13</v>
      </c>
      <c r="F2877" s="48">
        <v>68.9</v>
      </c>
    </row>
    <row r="2878">
      <c r="A2878" s="46" t="s">
        <v>2035</v>
      </c>
      <c r="B2878" s="46" t="s">
        <v>5410</v>
      </c>
      <c r="C2878" s="46" t="s">
        <v>2046</v>
      </c>
      <c r="D2878" s="46" t="s">
        <v>17</v>
      </c>
      <c r="E2878" s="46" t="s">
        <v>14</v>
      </c>
      <c r="F2878" s="48">
        <v>74.8</v>
      </c>
    </row>
    <row r="2879">
      <c r="A2879" s="46" t="s">
        <v>2054</v>
      </c>
      <c r="B2879" s="46" t="s">
        <v>5412</v>
      </c>
      <c r="C2879" s="46" t="s">
        <v>2077</v>
      </c>
      <c r="D2879" s="46" t="s">
        <v>18</v>
      </c>
      <c r="E2879" s="46" t="s">
        <v>13</v>
      </c>
      <c r="F2879" s="48">
        <v>68.0</v>
      </c>
    </row>
    <row r="2880">
      <c r="A2880" s="46" t="s">
        <v>2054</v>
      </c>
      <c r="B2880" s="46" t="s">
        <v>5414</v>
      </c>
      <c r="C2880" s="46" t="s">
        <v>1858</v>
      </c>
      <c r="D2880" s="46" t="s">
        <v>18</v>
      </c>
      <c r="E2880" s="46" t="s">
        <v>15</v>
      </c>
      <c r="F2880" s="48">
        <v>83.7</v>
      </c>
    </row>
    <row r="2881">
      <c r="A2881" s="46" t="s">
        <v>2054</v>
      </c>
      <c r="B2881" s="46" t="s">
        <v>5418</v>
      </c>
      <c r="C2881" s="46" t="s">
        <v>3855</v>
      </c>
      <c r="D2881" s="46" t="s">
        <v>17</v>
      </c>
      <c r="E2881" s="46" t="s">
        <v>13</v>
      </c>
      <c r="F2881" s="48">
        <v>67.8</v>
      </c>
    </row>
    <row r="2882">
      <c r="A2882" s="46" t="s">
        <v>2054</v>
      </c>
      <c r="B2882" s="46" t="s">
        <v>5420</v>
      </c>
      <c r="C2882" s="46" t="s">
        <v>5421</v>
      </c>
      <c r="D2882" s="46" t="s">
        <v>18</v>
      </c>
      <c r="E2882" s="46" t="s">
        <v>14</v>
      </c>
      <c r="F2882" s="48">
        <v>102.6</v>
      </c>
    </row>
    <row r="2883">
      <c r="A2883" s="46" t="s">
        <v>2054</v>
      </c>
      <c r="B2883" s="46" t="s">
        <v>5423</v>
      </c>
      <c r="C2883" s="46" t="s">
        <v>3826</v>
      </c>
      <c r="D2883" s="46" t="s">
        <v>18</v>
      </c>
      <c r="E2883" s="46" t="s">
        <v>15</v>
      </c>
      <c r="F2883" s="48">
        <v>93.1</v>
      </c>
    </row>
    <row r="2884">
      <c r="A2884" s="46" t="s">
        <v>2054</v>
      </c>
      <c r="B2884" s="46" t="s">
        <v>5425</v>
      </c>
      <c r="C2884" s="46" t="s">
        <v>2057</v>
      </c>
      <c r="D2884" s="46" t="s">
        <v>18</v>
      </c>
      <c r="E2884" s="46" t="s">
        <v>14</v>
      </c>
      <c r="F2884" s="48">
        <v>97.9</v>
      </c>
    </row>
    <row r="2885">
      <c r="A2885" s="46" t="s">
        <v>2054</v>
      </c>
      <c r="B2885" s="46" t="s">
        <v>5427</v>
      </c>
      <c r="C2885" s="46" t="s">
        <v>1858</v>
      </c>
      <c r="D2885" s="46" t="s">
        <v>17</v>
      </c>
      <c r="E2885" s="46" t="s">
        <v>13</v>
      </c>
      <c r="F2885" s="48">
        <v>61.3</v>
      </c>
    </row>
    <row r="2886">
      <c r="A2886" s="46" t="s">
        <v>2084</v>
      </c>
      <c r="B2886" s="46" t="s">
        <v>5429</v>
      </c>
      <c r="C2886" s="46" t="s">
        <v>5430</v>
      </c>
      <c r="D2886" s="46" t="s">
        <v>18</v>
      </c>
      <c r="E2886" s="46" t="s">
        <v>15</v>
      </c>
      <c r="F2886" s="48">
        <v>70.5</v>
      </c>
    </row>
    <row r="2887">
      <c r="A2887" s="46" t="s">
        <v>2084</v>
      </c>
      <c r="B2887" s="46" t="s">
        <v>5432</v>
      </c>
      <c r="C2887" s="46" t="s">
        <v>5433</v>
      </c>
      <c r="D2887" s="46" t="s">
        <v>18</v>
      </c>
      <c r="E2887" s="46" t="s">
        <v>14</v>
      </c>
      <c r="F2887" s="48">
        <v>74.8</v>
      </c>
    </row>
    <row r="2888">
      <c r="A2888" s="46" t="s">
        <v>2084</v>
      </c>
      <c r="B2888" s="46" t="s">
        <v>5435</v>
      </c>
      <c r="C2888" s="46" t="s">
        <v>5436</v>
      </c>
      <c r="D2888" s="46" t="s">
        <v>18</v>
      </c>
      <c r="E2888" s="46" t="s">
        <v>14</v>
      </c>
      <c r="F2888" s="48">
        <v>63.6</v>
      </c>
    </row>
    <row r="2889">
      <c r="A2889" s="46" t="s">
        <v>71</v>
      </c>
      <c r="B2889" s="46" t="s">
        <v>5440</v>
      </c>
      <c r="C2889" s="46" t="s">
        <v>84</v>
      </c>
      <c r="D2889" s="46" t="s">
        <v>17</v>
      </c>
      <c r="E2889" s="46" t="s">
        <v>13</v>
      </c>
      <c r="F2889" s="48">
        <v>98.2</v>
      </c>
    </row>
    <row r="2890">
      <c r="A2890" s="46" t="s">
        <v>71</v>
      </c>
      <c r="B2890" s="46" t="s">
        <v>218</v>
      </c>
      <c r="C2890" s="46" t="s">
        <v>81</v>
      </c>
      <c r="D2890" s="46" t="s">
        <v>17</v>
      </c>
      <c r="E2890" s="46" t="s">
        <v>13</v>
      </c>
      <c r="F2890" s="48">
        <v>103.3</v>
      </c>
    </row>
    <row r="2891">
      <c r="A2891" s="46" t="s">
        <v>71</v>
      </c>
      <c r="B2891" s="46" t="s">
        <v>5443</v>
      </c>
      <c r="C2891" s="46" t="s">
        <v>5444</v>
      </c>
      <c r="D2891" s="46" t="s">
        <v>18</v>
      </c>
      <c r="E2891" s="46" t="s">
        <v>14</v>
      </c>
      <c r="F2891" s="48">
        <v>101.0</v>
      </c>
    </row>
    <row r="2892">
      <c r="A2892" s="46" t="s">
        <v>88</v>
      </c>
      <c r="B2892" s="46" t="s">
        <v>5446</v>
      </c>
      <c r="C2892" s="46" t="s">
        <v>95</v>
      </c>
      <c r="D2892" s="46" t="s">
        <v>18</v>
      </c>
      <c r="E2892" s="46" t="s">
        <v>15</v>
      </c>
      <c r="F2892" s="48">
        <v>100.8</v>
      </c>
    </row>
    <row r="2893">
      <c r="A2893" s="46" t="s">
        <v>88</v>
      </c>
      <c r="B2893" s="46" t="s">
        <v>5449</v>
      </c>
      <c r="C2893" s="46" t="s">
        <v>5450</v>
      </c>
      <c r="D2893" s="46" t="s">
        <v>17</v>
      </c>
      <c r="E2893" s="46" t="s">
        <v>13</v>
      </c>
      <c r="F2893" s="48">
        <v>84.8</v>
      </c>
    </row>
    <row r="2894">
      <c r="A2894" s="46" t="s">
        <v>88</v>
      </c>
      <c r="B2894" s="46" t="s">
        <v>5454</v>
      </c>
      <c r="C2894" s="46" t="s">
        <v>113</v>
      </c>
      <c r="D2894" s="46" t="s">
        <v>18</v>
      </c>
      <c r="E2894" s="46" t="s">
        <v>14</v>
      </c>
      <c r="F2894" s="48">
        <v>102.2</v>
      </c>
    </row>
    <row r="2895">
      <c r="A2895" s="46" t="s">
        <v>88</v>
      </c>
      <c r="B2895" s="46" t="s">
        <v>5456</v>
      </c>
      <c r="C2895" s="46" t="s">
        <v>5450</v>
      </c>
      <c r="D2895" s="46" t="s">
        <v>17</v>
      </c>
      <c r="E2895" s="46" t="s">
        <v>15</v>
      </c>
      <c r="F2895" s="48">
        <v>95.0</v>
      </c>
    </row>
    <row r="2896">
      <c r="A2896" s="46" t="s">
        <v>88</v>
      </c>
      <c r="B2896" s="46" t="s">
        <v>5458</v>
      </c>
      <c r="C2896" s="46" t="s">
        <v>105</v>
      </c>
      <c r="D2896" s="46" t="s">
        <v>18</v>
      </c>
      <c r="E2896" s="46" t="s">
        <v>14</v>
      </c>
      <c r="F2896" s="48">
        <v>80.9</v>
      </c>
    </row>
    <row r="2897">
      <c r="A2897" s="46" t="s">
        <v>116</v>
      </c>
      <c r="B2897" s="46" t="s">
        <v>5462</v>
      </c>
      <c r="C2897" s="46" t="s">
        <v>120</v>
      </c>
      <c r="D2897" s="46" t="s">
        <v>17</v>
      </c>
      <c r="E2897" s="46" t="s">
        <v>13</v>
      </c>
      <c r="F2897" s="48">
        <v>80.0</v>
      </c>
    </row>
    <row r="2898">
      <c r="A2898" s="46" t="s">
        <v>129</v>
      </c>
      <c r="B2898" s="46" t="s">
        <v>5471</v>
      </c>
      <c r="C2898" s="46" t="s">
        <v>2133</v>
      </c>
      <c r="D2898" s="46" t="s">
        <v>18</v>
      </c>
      <c r="E2898" s="46" t="s">
        <v>13</v>
      </c>
      <c r="F2898" s="48">
        <v>91.6</v>
      </c>
    </row>
    <row r="2899">
      <c r="A2899" s="46" t="s">
        <v>134</v>
      </c>
      <c r="B2899" s="46" t="s">
        <v>5479</v>
      </c>
      <c r="C2899" s="46" t="s">
        <v>134</v>
      </c>
      <c r="D2899" s="46" t="s">
        <v>18</v>
      </c>
      <c r="E2899" s="46" t="s">
        <v>13</v>
      </c>
      <c r="F2899" s="48">
        <v>81.5</v>
      </c>
    </row>
    <row r="2900">
      <c r="A2900" s="46" t="s">
        <v>134</v>
      </c>
      <c r="B2900" s="46" t="s">
        <v>5481</v>
      </c>
      <c r="C2900" s="46" t="s">
        <v>134</v>
      </c>
      <c r="D2900" s="46" t="s">
        <v>18</v>
      </c>
      <c r="E2900" s="46" t="s">
        <v>13</v>
      </c>
      <c r="F2900" s="48">
        <v>79.2</v>
      </c>
    </row>
    <row r="2901">
      <c r="A2901" s="46" t="s">
        <v>134</v>
      </c>
      <c r="B2901" s="46" t="s">
        <v>5488</v>
      </c>
      <c r="C2901" s="46" t="s">
        <v>158</v>
      </c>
      <c r="D2901" s="46" t="s">
        <v>17</v>
      </c>
      <c r="E2901" s="46" t="s">
        <v>13</v>
      </c>
      <c r="F2901" s="48">
        <v>88.8</v>
      </c>
    </row>
    <row r="2902">
      <c r="A2902" s="46" t="s">
        <v>134</v>
      </c>
      <c r="B2902" s="46" t="s">
        <v>5493</v>
      </c>
      <c r="C2902" s="46" t="s">
        <v>5494</v>
      </c>
      <c r="D2902" s="46" t="s">
        <v>18</v>
      </c>
      <c r="E2902" s="46" t="s">
        <v>15</v>
      </c>
      <c r="F2902" s="48">
        <v>100.5</v>
      </c>
    </row>
    <row r="2903">
      <c r="A2903" s="46" t="s">
        <v>161</v>
      </c>
      <c r="B2903" s="46" t="s">
        <v>5496</v>
      </c>
      <c r="C2903" s="46" t="s">
        <v>2161</v>
      </c>
      <c r="D2903" s="46" t="s">
        <v>18</v>
      </c>
      <c r="E2903" s="46" t="s">
        <v>14</v>
      </c>
      <c r="F2903" s="48">
        <v>99.7</v>
      </c>
    </row>
    <row r="2904">
      <c r="A2904" s="46" t="s">
        <v>169</v>
      </c>
      <c r="B2904" s="46" t="s">
        <v>1069</v>
      </c>
      <c r="C2904" s="46" t="s">
        <v>173</v>
      </c>
      <c r="D2904" s="46" t="s">
        <v>18</v>
      </c>
      <c r="E2904" s="46" t="s">
        <v>15</v>
      </c>
      <c r="F2904" s="48">
        <v>102.3</v>
      </c>
    </row>
    <row r="2905">
      <c r="A2905" s="46" t="s">
        <v>169</v>
      </c>
      <c r="B2905" s="46" t="s">
        <v>5501</v>
      </c>
      <c r="C2905" s="46" t="s">
        <v>5502</v>
      </c>
      <c r="D2905" s="46" t="s">
        <v>18</v>
      </c>
      <c r="E2905" s="46" t="s">
        <v>15</v>
      </c>
      <c r="F2905" s="48">
        <v>97.2</v>
      </c>
    </row>
    <row r="2906">
      <c r="A2906" s="46" t="s">
        <v>169</v>
      </c>
      <c r="B2906" s="46" t="s">
        <v>5504</v>
      </c>
      <c r="C2906" s="46" t="s">
        <v>179</v>
      </c>
      <c r="D2906" s="46" t="s">
        <v>18</v>
      </c>
      <c r="E2906" s="46" t="s">
        <v>15</v>
      </c>
      <c r="F2906" s="48">
        <v>96.5</v>
      </c>
    </row>
    <row r="2907">
      <c r="A2907" s="46" t="s">
        <v>169</v>
      </c>
      <c r="B2907" s="46" t="s">
        <v>5508</v>
      </c>
      <c r="C2907" s="46" t="s">
        <v>5509</v>
      </c>
      <c r="D2907" s="46" t="s">
        <v>18</v>
      </c>
      <c r="E2907" s="46" t="s">
        <v>14</v>
      </c>
      <c r="F2907" s="48">
        <v>95.3</v>
      </c>
    </row>
    <row r="2908">
      <c r="A2908" s="46" t="s">
        <v>182</v>
      </c>
      <c r="B2908" s="46" t="s">
        <v>5513</v>
      </c>
      <c r="C2908" s="46" t="s">
        <v>5514</v>
      </c>
      <c r="D2908" s="46" t="s">
        <v>18</v>
      </c>
      <c r="E2908" s="46" t="s">
        <v>13</v>
      </c>
      <c r="F2908" s="48">
        <v>86.9</v>
      </c>
    </row>
    <row r="2909">
      <c r="A2909" s="46" t="s">
        <v>169</v>
      </c>
      <c r="B2909" s="46" t="s">
        <v>5527</v>
      </c>
      <c r="C2909" s="46" t="s">
        <v>193</v>
      </c>
      <c r="D2909" s="46" t="s">
        <v>18</v>
      </c>
      <c r="E2909" s="46" t="s">
        <v>13</v>
      </c>
      <c r="F2909" s="48">
        <v>71.1</v>
      </c>
    </row>
    <row r="2910">
      <c r="A2910" s="46" t="s">
        <v>169</v>
      </c>
      <c r="B2910" s="46" t="s">
        <v>5529</v>
      </c>
      <c r="C2910" s="46" t="s">
        <v>193</v>
      </c>
      <c r="D2910" s="46" t="s">
        <v>17</v>
      </c>
      <c r="E2910" s="46" t="s">
        <v>13</v>
      </c>
      <c r="F2910" s="48">
        <v>99.7</v>
      </c>
    </row>
    <row r="2911">
      <c r="A2911" s="46" t="s">
        <v>182</v>
      </c>
      <c r="B2911" s="46" t="s">
        <v>5537</v>
      </c>
      <c r="C2911" s="46" t="s">
        <v>206</v>
      </c>
      <c r="D2911" s="46" t="s">
        <v>18</v>
      </c>
      <c r="E2911" s="46" t="s">
        <v>13</v>
      </c>
      <c r="F2911" s="48">
        <v>83.9</v>
      </c>
    </row>
    <row r="2912">
      <c r="A2912" s="46" t="s">
        <v>182</v>
      </c>
      <c r="B2912" s="46" t="s">
        <v>3209</v>
      </c>
      <c r="C2912" s="46" t="s">
        <v>5539</v>
      </c>
      <c r="D2912" s="46" t="s">
        <v>17</v>
      </c>
      <c r="E2912" s="46" t="s">
        <v>15</v>
      </c>
      <c r="F2912" s="48">
        <v>102.2</v>
      </c>
    </row>
    <row r="2913">
      <c r="A2913" s="46" t="s">
        <v>182</v>
      </c>
      <c r="B2913" s="46" t="s">
        <v>5541</v>
      </c>
      <c r="C2913" s="46" t="s">
        <v>5542</v>
      </c>
      <c r="D2913" s="46" t="s">
        <v>18</v>
      </c>
      <c r="E2913" s="46" t="s">
        <v>13</v>
      </c>
      <c r="F2913" s="48">
        <v>98.5</v>
      </c>
    </row>
    <row r="2914">
      <c r="A2914" s="46" t="s">
        <v>182</v>
      </c>
      <c r="B2914" s="46" t="s">
        <v>595</v>
      </c>
      <c r="C2914" s="46" t="s">
        <v>203</v>
      </c>
      <c r="D2914" s="46" t="s">
        <v>17</v>
      </c>
      <c r="E2914" s="46" t="s">
        <v>13</v>
      </c>
      <c r="F2914" s="48">
        <v>91.4</v>
      </c>
    </row>
    <row r="2915">
      <c r="A2915" s="46" t="s">
        <v>129</v>
      </c>
      <c r="B2915" s="46" t="s">
        <v>5551</v>
      </c>
      <c r="C2915" s="46" t="s">
        <v>2239</v>
      </c>
      <c r="D2915" s="46" t="s">
        <v>18</v>
      </c>
      <c r="E2915" s="46" t="s">
        <v>13</v>
      </c>
      <c r="F2915" s="48">
        <v>89.4</v>
      </c>
    </row>
    <row r="2916">
      <c r="A2916" s="46" t="s">
        <v>129</v>
      </c>
      <c r="B2916" s="46" t="s">
        <v>4582</v>
      </c>
      <c r="C2916" s="46" t="s">
        <v>2250</v>
      </c>
      <c r="D2916" s="46" t="s">
        <v>18</v>
      </c>
      <c r="E2916" s="46" t="s">
        <v>13</v>
      </c>
      <c r="F2916" s="48">
        <v>79.2</v>
      </c>
    </row>
    <row r="2917">
      <c r="A2917" s="46" t="s">
        <v>129</v>
      </c>
      <c r="B2917" s="46" t="s">
        <v>5554</v>
      </c>
      <c r="C2917" s="46" t="s">
        <v>2272</v>
      </c>
      <c r="D2917" s="46" t="s">
        <v>18</v>
      </c>
      <c r="E2917" s="46" t="s">
        <v>13</v>
      </c>
      <c r="F2917" s="48">
        <v>62.6</v>
      </c>
    </row>
    <row r="2918">
      <c r="A2918" s="46" t="s">
        <v>129</v>
      </c>
      <c r="B2918" s="46" t="s">
        <v>5556</v>
      </c>
      <c r="C2918" s="46" t="s">
        <v>259</v>
      </c>
      <c r="D2918" s="46" t="s">
        <v>18</v>
      </c>
      <c r="E2918" s="46" t="s">
        <v>13</v>
      </c>
      <c r="F2918" s="48">
        <v>70.2</v>
      </c>
    </row>
    <row r="2919">
      <c r="A2919" s="46" t="s">
        <v>129</v>
      </c>
      <c r="B2919" s="46" t="s">
        <v>5562</v>
      </c>
      <c r="C2919" s="46" t="s">
        <v>222</v>
      </c>
      <c r="D2919" s="46" t="s">
        <v>17</v>
      </c>
      <c r="E2919" s="46" t="s">
        <v>15</v>
      </c>
      <c r="F2919" s="48">
        <v>101.2</v>
      </c>
    </row>
    <row r="2920">
      <c r="A2920" s="46" t="s">
        <v>129</v>
      </c>
      <c r="B2920" s="46" t="s">
        <v>5564</v>
      </c>
      <c r="C2920" s="46" t="s">
        <v>222</v>
      </c>
      <c r="D2920" s="46" t="s">
        <v>17</v>
      </c>
      <c r="E2920" s="46" t="s">
        <v>14</v>
      </c>
      <c r="F2920" s="48">
        <v>100.4</v>
      </c>
    </row>
    <row r="2921">
      <c r="A2921" s="46" t="s">
        <v>129</v>
      </c>
      <c r="B2921" s="46" t="s">
        <v>5566</v>
      </c>
      <c r="C2921" s="46" t="s">
        <v>2272</v>
      </c>
      <c r="D2921" s="46" t="s">
        <v>17</v>
      </c>
      <c r="E2921" s="46" t="s">
        <v>13</v>
      </c>
      <c r="F2921" s="48">
        <v>67.0</v>
      </c>
    </row>
    <row r="2922">
      <c r="A2922" s="46" t="s">
        <v>129</v>
      </c>
      <c r="B2922" s="46" t="s">
        <v>5570</v>
      </c>
      <c r="C2922" s="46" t="s">
        <v>5571</v>
      </c>
      <c r="D2922" s="46" t="s">
        <v>17</v>
      </c>
      <c r="E2922" s="46" t="s">
        <v>14</v>
      </c>
      <c r="F2922" s="48">
        <v>90.3</v>
      </c>
    </row>
    <row r="2923">
      <c r="A2923" s="46" t="s">
        <v>129</v>
      </c>
      <c r="B2923" s="46" t="s">
        <v>5576</v>
      </c>
      <c r="C2923" s="46" t="s">
        <v>2239</v>
      </c>
      <c r="D2923" s="46" t="s">
        <v>18</v>
      </c>
      <c r="E2923" s="46" t="s">
        <v>14</v>
      </c>
      <c r="F2923" s="48">
        <v>102.0</v>
      </c>
    </row>
    <row r="2924">
      <c r="A2924" s="46" t="s">
        <v>129</v>
      </c>
      <c r="B2924" s="46" t="s">
        <v>5580</v>
      </c>
      <c r="C2924" s="46" t="s">
        <v>239</v>
      </c>
      <c r="D2924" s="46" t="s">
        <v>18</v>
      </c>
      <c r="E2924" s="46" t="s">
        <v>15</v>
      </c>
      <c r="F2924" s="48">
        <v>97.9</v>
      </c>
    </row>
    <row r="2925">
      <c r="A2925" s="46" t="s">
        <v>129</v>
      </c>
      <c r="B2925" s="46" t="s">
        <v>5591</v>
      </c>
      <c r="C2925" s="46" t="s">
        <v>225</v>
      </c>
      <c r="D2925" s="46" t="s">
        <v>18</v>
      </c>
      <c r="E2925" s="46" t="s">
        <v>14</v>
      </c>
      <c r="F2925" s="48">
        <v>91.6</v>
      </c>
    </row>
    <row r="2926">
      <c r="A2926" s="46" t="s">
        <v>269</v>
      </c>
      <c r="B2926" s="46" t="s">
        <v>5607</v>
      </c>
      <c r="C2926" s="46" t="s">
        <v>2301</v>
      </c>
      <c r="D2926" s="46" t="s">
        <v>18</v>
      </c>
      <c r="E2926" s="46" t="s">
        <v>14</v>
      </c>
      <c r="F2926" s="48">
        <v>89.6</v>
      </c>
    </row>
    <row r="2927">
      <c r="A2927" s="46" t="s">
        <v>116</v>
      </c>
      <c r="B2927" s="46" t="s">
        <v>5611</v>
      </c>
      <c r="C2927" s="46" t="s">
        <v>2307</v>
      </c>
      <c r="D2927" s="46" t="s">
        <v>17</v>
      </c>
      <c r="E2927" s="46" t="s">
        <v>14</v>
      </c>
      <c r="F2927" s="48">
        <v>101.7</v>
      </c>
    </row>
    <row r="2928">
      <c r="A2928" s="46" t="s">
        <v>322</v>
      </c>
      <c r="B2928" s="46" t="s">
        <v>4336</v>
      </c>
      <c r="C2928" s="46" t="s">
        <v>332</v>
      </c>
      <c r="D2928" s="46" t="s">
        <v>18</v>
      </c>
      <c r="E2928" s="46" t="s">
        <v>14</v>
      </c>
      <c r="F2928" s="48">
        <v>87.7</v>
      </c>
    </row>
    <row r="2929">
      <c r="A2929" s="46" t="s">
        <v>322</v>
      </c>
      <c r="B2929" s="46" t="s">
        <v>5623</v>
      </c>
      <c r="C2929" s="46" t="s">
        <v>5624</v>
      </c>
      <c r="D2929" s="46" t="s">
        <v>18</v>
      </c>
      <c r="E2929" s="46" t="s">
        <v>13</v>
      </c>
      <c r="F2929" s="48">
        <v>102.9</v>
      </c>
    </row>
    <row r="2930">
      <c r="A2930" s="46" t="s">
        <v>322</v>
      </c>
      <c r="B2930" s="46" t="s">
        <v>5628</v>
      </c>
      <c r="C2930" s="46" t="s">
        <v>5629</v>
      </c>
      <c r="D2930" s="46" t="s">
        <v>17</v>
      </c>
      <c r="E2930" s="46" t="s">
        <v>15</v>
      </c>
      <c r="F2930" s="48">
        <v>91.7</v>
      </c>
    </row>
    <row r="2931">
      <c r="A2931" s="46" t="s">
        <v>322</v>
      </c>
      <c r="B2931" s="46" t="s">
        <v>1101</v>
      </c>
      <c r="C2931" s="46" t="s">
        <v>329</v>
      </c>
      <c r="D2931" s="46" t="s">
        <v>17</v>
      </c>
      <c r="E2931" s="46" t="s">
        <v>14</v>
      </c>
      <c r="F2931" s="48">
        <v>89.3</v>
      </c>
    </row>
    <row r="2932">
      <c r="A2932" s="46" t="s">
        <v>333</v>
      </c>
      <c r="B2932" s="46" t="s">
        <v>5635</v>
      </c>
      <c r="C2932" s="46" t="s">
        <v>5636</v>
      </c>
      <c r="D2932" s="46" t="s">
        <v>18</v>
      </c>
      <c r="E2932" s="46" t="s">
        <v>13</v>
      </c>
      <c r="F2932" s="48">
        <v>89.2</v>
      </c>
    </row>
    <row r="2933">
      <c r="A2933" s="46" t="s">
        <v>333</v>
      </c>
      <c r="B2933" s="46" t="s">
        <v>5642</v>
      </c>
      <c r="C2933" s="46" t="s">
        <v>333</v>
      </c>
      <c r="D2933" s="46" t="s">
        <v>18</v>
      </c>
      <c r="E2933" s="46" t="s">
        <v>14</v>
      </c>
      <c r="F2933" s="48">
        <v>90.3</v>
      </c>
    </row>
    <row r="2934">
      <c r="A2934" s="46" t="s">
        <v>333</v>
      </c>
      <c r="B2934" s="46" t="s">
        <v>3316</v>
      </c>
      <c r="C2934" s="46" t="s">
        <v>333</v>
      </c>
      <c r="D2934" s="46" t="s">
        <v>18</v>
      </c>
      <c r="E2934" s="46" t="s">
        <v>14</v>
      </c>
      <c r="F2934" s="48">
        <v>88.9</v>
      </c>
    </row>
    <row r="2935">
      <c r="A2935" s="46" t="s">
        <v>333</v>
      </c>
      <c r="B2935" s="46" t="s">
        <v>5645</v>
      </c>
      <c r="C2935" s="46" t="s">
        <v>340</v>
      </c>
      <c r="D2935" s="46" t="s">
        <v>17</v>
      </c>
      <c r="E2935" s="46" t="s">
        <v>14</v>
      </c>
      <c r="F2935" s="48">
        <v>87.8</v>
      </c>
    </row>
    <row r="2936">
      <c r="A2936" s="46" t="s">
        <v>354</v>
      </c>
      <c r="B2936" s="46" t="s">
        <v>5653</v>
      </c>
      <c r="C2936" s="46" t="s">
        <v>5654</v>
      </c>
      <c r="D2936" s="46" t="s">
        <v>18</v>
      </c>
      <c r="E2936" s="46" t="s">
        <v>13</v>
      </c>
      <c r="F2936" s="48">
        <v>94.4</v>
      </c>
    </row>
    <row r="2937">
      <c r="A2937" s="46" t="s">
        <v>354</v>
      </c>
      <c r="B2937" s="46" t="s">
        <v>5656</v>
      </c>
      <c r="C2937" s="46" t="s">
        <v>2358</v>
      </c>
      <c r="D2937" s="46" t="s">
        <v>18</v>
      </c>
      <c r="E2937" s="46" t="s">
        <v>13</v>
      </c>
      <c r="F2937" s="48">
        <v>95.3</v>
      </c>
    </row>
    <row r="2938">
      <c r="A2938" s="46" t="s">
        <v>354</v>
      </c>
      <c r="B2938" s="46" t="s">
        <v>5658</v>
      </c>
      <c r="C2938" s="46" t="s">
        <v>4145</v>
      </c>
      <c r="D2938" s="46" t="s">
        <v>18</v>
      </c>
      <c r="E2938" s="46" t="s">
        <v>13</v>
      </c>
      <c r="F2938" s="48">
        <v>86.1</v>
      </c>
    </row>
    <row r="2939">
      <c r="A2939" s="46" t="s">
        <v>354</v>
      </c>
      <c r="B2939" s="46" t="s">
        <v>5665</v>
      </c>
      <c r="C2939" s="46" t="s">
        <v>2348</v>
      </c>
      <c r="D2939" s="46" t="s">
        <v>18</v>
      </c>
      <c r="E2939" s="46" t="s">
        <v>13</v>
      </c>
      <c r="F2939" s="48">
        <v>95.3</v>
      </c>
    </row>
    <row r="2940">
      <c r="A2940" s="46" t="s">
        <v>354</v>
      </c>
      <c r="B2940" s="46" t="s">
        <v>218</v>
      </c>
      <c r="C2940" s="46" t="s">
        <v>4140</v>
      </c>
      <c r="D2940" s="46" t="s">
        <v>17</v>
      </c>
      <c r="E2940" s="46" t="s">
        <v>13</v>
      </c>
      <c r="F2940" s="48">
        <v>86.9</v>
      </c>
    </row>
    <row r="2941">
      <c r="A2941" s="46" t="s">
        <v>322</v>
      </c>
      <c r="B2941" s="46" t="s">
        <v>5668</v>
      </c>
      <c r="C2941" s="46" t="s">
        <v>2370</v>
      </c>
      <c r="D2941" s="46" t="s">
        <v>18</v>
      </c>
      <c r="E2941" s="46" t="s">
        <v>13</v>
      </c>
      <c r="F2941" s="48">
        <v>82.9</v>
      </c>
    </row>
    <row r="2942">
      <c r="A2942" s="46" t="s">
        <v>322</v>
      </c>
      <c r="B2942" s="46" t="s">
        <v>5670</v>
      </c>
      <c r="C2942" s="46" t="s">
        <v>5671</v>
      </c>
      <c r="D2942" s="46" t="s">
        <v>18</v>
      </c>
      <c r="E2942" s="46" t="s">
        <v>13</v>
      </c>
      <c r="F2942" s="48">
        <v>89.9</v>
      </c>
    </row>
    <row r="2943">
      <c r="A2943" s="46" t="s">
        <v>377</v>
      </c>
      <c r="B2943" s="46" t="s">
        <v>5673</v>
      </c>
      <c r="C2943" s="46" t="s">
        <v>2376</v>
      </c>
      <c r="D2943" s="46" t="s">
        <v>18</v>
      </c>
      <c r="E2943" s="46" t="s">
        <v>13</v>
      </c>
      <c r="F2943" s="48">
        <v>85.7</v>
      </c>
    </row>
    <row r="2944">
      <c r="A2944" s="46" t="s">
        <v>377</v>
      </c>
      <c r="B2944" s="46" t="s">
        <v>5675</v>
      </c>
      <c r="C2944" s="46" t="s">
        <v>2391</v>
      </c>
      <c r="D2944" s="46" t="s">
        <v>18</v>
      </c>
      <c r="E2944" s="46" t="s">
        <v>15</v>
      </c>
      <c r="F2944" s="48">
        <v>103.8</v>
      </c>
    </row>
    <row r="2945">
      <c r="A2945" s="46" t="s">
        <v>393</v>
      </c>
      <c r="B2945" s="46" t="s">
        <v>5679</v>
      </c>
      <c r="C2945" s="46" t="s">
        <v>5680</v>
      </c>
      <c r="D2945" s="46" t="s">
        <v>18</v>
      </c>
      <c r="E2945" s="46" t="s">
        <v>13</v>
      </c>
      <c r="F2945" s="48">
        <v>80.9</v>
      </c>
    </row>
    <row r="2946">
      <c r="A2946" s="46" t="s">
        <v>393</v>
      </c>
      <c r="B2946" s="46" t="s">
        <v>5684</v>
      </c>
      <c r="C2946" s="46" t="s">
        <v>393</v>
      </c>
      <c r="D2946" s="46" t="s">
        <v>17</v>
      </c>
      <c r="E2946" s="46" t="s">
        <v>13</v>
      </c>
      <c r="F2946" s="48">
        <v>100.0</v>
      </c>
    </row>
    <row r="2947">
      <c r="A2947" s="46" t="s">
        <v>161</v>
      </c>
      <c r="B2947" s="46" t="s">
        <v>5691</v>
      </c>
      <c r="C2947" s="46" t="s">
        <v>2414</v>
      </c>
      <c r="D2947" s="46" t="s">
        <v>18</v>
      </c>
      <c r="E2947" s="46" t="s">
        <v>13</v>
      </c>
      <c r="F2947" s="48">
        <v>83.4</v>
      </c>
    </row>
    <row r="2948">
      <c r="A2948" s="46" t="s">
        <v>161</v>
      </c>
      <c r="B2948" s="46" t="s">
        <v>5696</v>
      </c>
      <c r="C2948" s="46" t="s">
        <v>2414</v>
      </c>
      <c r="D2948" s="46" t="s">
        <v>17</v>
      </c>
      <c r="E2948" s="46" t="s">
        <v>13</v>
      </c>
      <c r="F2948" s="48">
        <v>93.0</v>
      </c>
    </row>
    <row r="2949">
      <c r="A2949" s="46" t="s">
        <v>161</v>
      </c>
      <c r="B2949" s="46" t="s">
        <v>5698</v>
      </c>
      <c r="C2949" s="46" t="s">
        <v>2419</v>
      </c>
      <c r="D2949" s="46" t="s">
        <v>18</v>
      </c>
      <c r="E2949" s="46" t="s">
        <v>14</v>
      </c>
      <c r="F2949" s="48">
        <v>96.2</v>
      </c>
    </row>
    <row r="2950">
      <c r="A2950" s="46" t="s">
        <v>161</v>
      </c>
      <c r="B2950" s="46" t="s">
        <v>5700</v>
      </c>
      <c r="C2950" s="46" t="s">
        <v>5701</v>
      </c>
      <c r="D2950" s="46" t="s">
        <v>18</v>
      </c>
      <c r="E2950" s="46" t="s">
        <v>15</v>
      </c>
      <c r="F2950" s="48">
        <v>99.3</v>
      </c>
    </row>
    <row r="2951">
      <c r="A2951" s="46" t="s">
        <v>269</v>
      </c>
      <c r="B2951" s="46" t="s">
        <v>5703</v>
      </c>
      <c r="C2951" s="46" t="s">
        <v>420</v>
      </c>
      <c r="D2951" s="46" t="s">
        <v>18</v>
      </c>
      <c r="E2951" s="46" t="s">
        <v>13</v>
      </c>
      <c r="F2951" s="48">
        <v>78.9</v>
      </c>
    </row>
    <row r="2952">
      <c r="A2952" s="46" t="s">
        <v>269</v>
      </c>
      <c r="B2952" s="46" t="s">
        <v>5709</v>
      </c>
      <c r="C2952" s="46" t="s">
        <v>2433</v>
      </c>
      <c r="D2952" s="46" t="s">
        <v>17</v>
      </c>
      <c r="E2952" s="46" t="s">
        <v>13</v>
      </c>
      <c r="F2952" s="48">
        <v>98.4</v>
      </c>
    </row>
    <row r="2953">
      <c r="A2953" s="46" t="s">
        <v>269</v>
      </c>
      <c r="B2953" s="46" t="s">
        <v>5711</v>
      </c>
      <c r="C2953" s="46" t="s">
        <v>420</v>
      </c>
      <c r="D2953" s="46" t="s">
        <v>18</v>
      </c>
      <c r="E2953" s="46" t="s">
        <v>13</v>
      </c>
      <c r="F2953" s="48">
        <v>85.3</v>
      </c>
    </row>
    <row r="2954">
      <c r="A2954" s="46" t="s">
        <v>269</v>
      </c>
      <c r="B2954" s="46" t="s">
        <v>3442</v>
      </c>
      <c r="C2954" s="46" t="s">
        <v>2427</v>
      </c>
      <c r="D2954" s="46" t="s">
        <v>18</v>
      </c>
      <c r="E2954" s="46" t="s">
        <v>13</v>
      </c>
      <c r="F2954" s="48">
        <v>85.4</v>
      </c>
    </row>
    <row r="2955">
      <c r="A2955" s="46" t="s">
        <v>313</v>
      </c>
      <c r="B2955" s="46" t="s">
        <v>5715</v>
      </c>
      <c r="C2955" s="46" t="s">
        <v>443</v>
      </c>
      <c r="D2955" s="46" t="s">
        <v>18</v>
      </c>
      <c r="E2955" s="46" t="s">
        <v>13</v>
      </c>
      <c r="F2955" s="48">
        <v>96.5</v>
      </c>
    </row>
    <row r="2956">
      <c r="A2956" s="46" t="s">
        <v>354</v>
      </c>
      <c r="B2956" s="46" t="s">
        <v>5723</v>
      </c>
      <c r="C2956" s="46" t="s">
        <v>4207</v>
      </c>
      <c r="D2956" s="46" t="s">
        <v>18</v>
      </c>
      <c r="E2956" s="46" t="s">
        <v>13</v>
      </c>
      <c r="F2956" s="48">
        <v>89.0</v>
      </c>
    </row>
    <row r="2957">
      <c r="A2957" s="46" t="s">
        <v>354</v>
      </c>
      <c r="B2957" s="46" t="s">
        <v>5735</v>
      </c>
      <c r="C2957" s="46" t="s">
        <v>5728</v>
      </c>
      <c r="D2957" s="46" t="s">
        <v>17</v>
      </c>
      <c r="E2957" s="46" t="s">
        <v>13</v>
      </c>
      <c r="F2957" s="48">
        <v>93.3</v>
      </c>
    </row>
    <row r="2958">
      <c r="A2958" s="46" t="s">
        <v>354</v>
      </c>
      <c r="B2958" s="46" t="s">
        <v>5739</v>
      </c>
      <c r="C2958" s="46" t="s">
        <v>463</v>
      </c>
      <c r="D2958" s="46" t="s">
        <v>18</v>
      </c>
      <c r="E2958" s="46" t="s">
        <v>13</v>
      </c>
      <c r="F2958" s="48">
        <v>88.3</v>
      </c>
    </row>
    <row r="2959">
      <c r="A2959" s="46" t="s">
        <v>354</v>
      </c>
      <c r="B2959" s="46" t="s">
        <v>5741</v>
      </c>
      <c r="C2959" s="46" t="s">
        <v>4202</v>
      </c>
      <c r="D2959" s="46" t="s">
        <v>17</v>
      </c>
      <c r="E2959" s="46" t="s">
        <v>13</v>
      </c>
      <c r="F2959" s="48">
        <v>99.5</v>
      </c>
    </row>
    <row r="2960">
      <c r="A2960" s="46" t="s">
        <v>483</v>
      </c>
      <c r="B2960" s="46" t="s">
        <v>5745</v>
      </c>
      <c r="C2960" s="46" t="s">
        <v>2476</v>
      </c>
      <c r="D2960" s="46" t="s">
        <v>18</v>
      </c>
      <c r="E2960" s="46" t="s">
        <v>14</v>
      </c>
      <c r="F2960" s="48">
        <v>92.5</v>
      </c>
    </row>
    <row r="2961">
      <c r="A2961" s="46" t="s">
        <v>483</v>
      </c>
      <c r="B2961" s="46" t="s">
        <v>5752</v>
      </c>
      <c r="C2961" s="46" t="s">
        <v>5753</v>
      </c>
      <c r="D2961" s="46" t="s">
        <v>17</v>
      </c>
      <c r="E2961" s="46" t="s">
        <v>13</v>
      </c>
      <c r="F2961" s="48">
        <v>90.8</v>
      </c>
    </row>
    <row r="2962">
      <c r="A2962" s="46" t="s">
        <v>483</v>
      </c>
      <c r="B2962" s="46" t="s">
        <v>5755</v>
      </c>
      <c r="C2962" s="46" t="s">
        <v>490</v>
      </c>
      <c r="D2962" s="46" t="s">
        <v>18</v>
      </c>
      <c r="E2962" s="46" t="s">
        <v>13</v>
      </c>
      <c r="F2962" s="48">
        <v>80.5</v>
      </c>
    </row>
    <row r="2963">
      <c r="A2963" s="46" t="s">
        <v>483</v>
      </c>
      <c r="B2963" s="46" t="s">
        <v>5757</v>
      </c>
      <c r="C2963" s="46" t="s">
        <v>5758</v>
      </c>
      <c r="D2963" s="46" t="s">
        <v>18</v>
      </c>
      <c r="E2963" s="46" t="s">
        <v>14</v>
      </c>
      <c r="F2963" s="48">
        <v>95.6</v>
      </c>
    </row>
    <row r="2964">
      <c r="A2964" s="46" t="s">
        <v>182</v>
      </c>
      <c r="B2964" s="46" t="s">
        <v>5766</v>
      </c>
      <c r="C2964" s="46" t="s">
        <v>182</v>
      </c>
      <c r="D2964" s="46" t="s">
        <v>18</v>
      </c>
      <c r="E2964" s="46" t="s">
        <v>14</v>
      </c>
      <c r="F2964" s="48">
        <v>99.3</v>
      </c>
    </row>
    <row r="2965">
      <c r="A2965" s="46" t="s">
        <v>182</v>
      </c>
      <c r="B2965" s="46" t="s">
        <v>5768</v>
      </c>
      <c r="C2965" s="46" t="s">
        <v>4235</v>
      </c>
      <c r="D2965" s="46" t="s">
        <v>18</v>
      </c>
      <c r="E2965" s="46" t="s">
        <v>13</v>
      </c>
      <c r="F2965" s="48">
        <v>103.3</v>
      </c>
    </row>
    <row r="2966">
      <c r="A2966" s="46" t="s">
        <v>182</v>
      </c>
      <c r="B2966" s="46" t="s">
        <v>5770</v>
      </c>
      <c r="C2966" s="46" t="s">
        <v>182</v>
      </c>
      <c r="D2966" s="46" t="s">
        <v>18</v>
      </c>
      <c r="E2966" s="46" t="s">
        <v>13</v>
      </c>
      <c r="F2966" s="48">
        <v>95.5</v>
      </c>
    </row>
    <row r="2967">
      <c r="A2967" s="46" t="s">
        <v>182</v>
      </c>
      <c r="B2967" s="46" t="s">
        <v>5776</v>
      </c>
      <c r="C2967" s="46" t="s">
        <v>182</v>
      </c>
      <c r="D2967" s="46" t="s">
        <v>17</v>
      </c>
      <c r="E2967" s="46" t="s">
        <v>13</v>
      </c>
      <c r="F2967" s="48">
        <v>98.6</v>
      </c>
    </row>
    <row r="2968">
      <c r="A2968" s="46" t="s">
        <v>182</v>
      </c>
      <c r="B2968" s="46" t="s">
        <v>5792</v>
      </c>
      <c r="C2968" s="46" t="s">
        <v>5793</v>
      </c>
      <c r="D2968" s="46" t="s">
        <v>18</v>
      </c>
      <c r="E2968" s="46" t="s">
        <v>14</v>
      </c>
      <c r="F2968" s="48">
        <v>100.2</v>
      </c>
    </row>
    <row r="2969">
      <c r="A2969" s="46" t="s">
        <v>377</v>
      </c>
      <c r="B2969" s="46" t="s">
        <v>5795</v>
      </c>
      <c r="C2969" s="46" t="s">
        <v>377</v>
      </c>
      <c r="D2969" s="46" t="s">
        <v>18</v>
      </c>
      <c r="E2969" s="46" t="s">
        <v>13</v>
      </c>
      <c r="F2969" s="48">
        <v>80.9</v>
      </c>
    </row>
    <row r="2970">
      <c r="A2970" s="46" t="s">
        <v>377</v>
      </c>
      <c r="B2970" s="46" t="s">
        <v>5797</v>
      </c>
      <c r="C2970" s="46" t="s">
        <v>5798</v>
      </c>
      <c r="D2970" s="46" t="s">
        <v>18</v>
      </c>
      <c r="E2970" s="46" t="s">
        <v>13</v>
      </c>
      <c r="F2970" s="48">
        <v>95.1</v>
      </c>
    </row>
    <row r="2971">
      <c r="A2971" s="46" t="s">
        <v>377</v>
      </c>
      <c r="B2971" s="46" t="s">
        <v>5818</v>
      </c>
      <c r="C2971" s="46" t="s">
        <v>377</v>
      </c>
      <c r="D2971" s="46" t="s">
        <v>18</v>
      </c>
      <c r="E2971" s="46" t="s">
        <v>15</v>
      </c>
      <c r="F2971" s="48">
        <v>88.0</v>
      </c>
    </row>
    <row r="2972">
      <c r="A2972" s="46" t="s">
        <v>377</v>
      </c>
      <c r="B2972" s="46" t="s">
        <v>5820</v>
      </c>
      <c r="C2972" s="46" t="s">
        <v>2512</v>
      </c>
      <c r="D2972" s="46" t="s">
        <v>18</v>
      </c>
      <c r="E2972" s="46" t="s">
        <v>13</v>
      </c>
      <c r="F2972" s="48">
        <v>88.2</v>
      </c>
    </row>
    <row r="2973">
      <c r="A2973" s="46" t="s">
        <v>483</v>
      </c>
      <c r="B2973" s="46" t="s">
        <v>5825</v>
      </c>
      <c r="C2973" s="46" t="s">
        <v>2545</v>
      </c>
      <c r="D2973" s="46" t="s">
        <v>18</v>
      </c>
      <c r="E2973" s="46" t="s">
        <v>15</v>
      </c>
      <c r="F2973" s="48">
        <v>99.8</v>
      </c>
    </row>
    <row r="2974">
      <c r="A2974" s="46" t="s">
        <v>483</v>
      </c>
      <c r="B2974" s="46" t="s">
        <v>5832</v>
      </c>
      <c r="C2974" s="46" t="s">
        <v>615</v>
      </c>
      <c r="D2974" s="46" t="s">
        <v>18</v>
      </c>
      <c r="E2974" s="46" t="s">
        <v>13</v>
      </c>
      <c r="F2974" s="48">
        <v>84.7</v>
      </c>
    </row>
    <row r="2975">
      <c r="A2975" s="46" t="s">
        <v>483</v>
      </c>
      <c r="B2975" s="46" t="s">
        <v>4395</v>
      </c>
      <c r="C2975" s="46" t="s">
        <v>483</v>
      </c>
      <c r="D2975" s="46" t="s">
        <v>18</v>
      </c>
      <c r="E2975" s="46" t="s">
        <v>15</v>
      </c>
      <c r="F2975" s="48">
        <v>102.4</v>
      </c>
    </row>
    <row r="2976">
      <c r="A2976" s="46" t="s">
        <v>483</v>
      </c>
      <c r="B2976" s="46" t="s">
        <v>5848</v>
      </c>
      <c r="C2976" s="46" t="s">
        <v>483</v>
      </c>
      <c r="D2976" s="46" t="s">
        <v>18</v>
      </c>
      <c r="E2976" s="46" t="s">
        <v>14</v>
      </c>
      <c r="F2976" s="48">
        <v>101.5</v>
      </c>
    </row>
    <row r="2977">
      <c r="A2977" s="46" t="s">
        <v>354</v>
      </c>
      <c r="B2977" s="46" t="s">
        <v>5852</v>
      </c>
      <c r="C2977" s="46" t="s">
        <v>5853</v>
      </c>
      <c r="D2977" s="46" t="s">
        <v>18</v>
      </c>
      <c r="E2977" s="46" t="s">
        <v>13</v>
      </c>
      <c r="F2977" s="48">
        <v>83.9</v>
      </c>
    </row>
    <row r="2978">
      <c r="A2978" s="46" t="s">
        <v>354</v>
      </c>
      <c r="B2978" s="46" t="s">
        <v>5855</v>
      </c>
      <c r="C2978" s="46" t="s">
        <v>2552</v>
      </c>
      <c r="D2978" s="46" t="s">
        <v>17</v>
      </c>
      <c r="E2978" s="46" t="s">
        <v>14</v>
      </c>
      <c r="F2978" s="48">
        <v>103.9</v>
      </c>
    </row>
    <row r="2979">
      <c r="A2979" s="46" t="s">
        <v>313</v>
      </c>
      <c r="B2979" s="46" t="s">
        <v>5867</v>
      </c>
      <c r="C2979" s="46" t="s">
        <v>2577</v>
      </c>
      <c r="D2979" s="46" t="s">
        <v>18</v>
      </c>
      <c r="E2979" s="46" t="s">
        <v>14</v>
      </c>
      <c r="F2979" s="48">
        <v>96.1</v>
      </c>
    </row>
    <row r="2980">
      <c r="A2980" s="46" t="s">
        <v>161</v>
      </c>
      <c r="B2980" s="46" t="s">
        <v>5877</v>
      </c>
      <c r="C2980" s="46" t="s">
        <v>5878</v>
      </c>
      <c r="D2980" s="46" t="s">
        <v>18</v>
      </c>
      <c r="E2980" s="46" t="s">
        <v>13</v>
      </c>
      <c r="F2980" s="48">
        <v>88.1</v>
      </c>
    </row>
    <row r="2981">
      <c r="A2981" s="46" t="s">
        <v>161</v>
      </c>
      <c r="B2981" s="46" t="s">
        <v>5888</v>
      </c>
      <c r="C2981" s="46" t="s">
        <v>5889</v>
      </c>
      <c r="D2981" s="46" t="s">
        <v>18</v>
      </c>
      <c r="E2981" s="46" t="s">
        <v>14</v>
      </c>
      <c r="F2981" s="48">
        <v>93.5</v>
      </c>
    </row>
    <row r="2982">
      <c r="A2982" s="46" t="s">
        <v>161</v>
      </c>
      <c r="B2982" s="46" t="s">
        <v>5893</v>
      </c>
      <c r="C2982" s="46" t="s">
        <v>161</v>
      </c>
      <c r="D2982" s="46" t="s">
        <v>17</v>
      </c>
      <c r="E2982" s="46" t="s">
        <v>13</v>
      </c>
      <c r="F2982" s="48">
        <v>102.0</v>
      </c>
    </row>
    <row r="2983">
      <c r="A2983" s="46" t="s">
        <v>161</v>
      </c>
      <c r="B2983" s="46" t="s">
        <v>5895</v>
      </c>
      <c r="C2983" s="46" t="s">
        <v>2609</v>
      </c>
      <c r="D2983" s="46" t="s">
        <v>17</v>
      </c>
      <c r="E2983" s="46" t="s">
        <v>13</v>
      </c>
      <c r="F2983" s="48">
        <v>95.4</v>
      </c>
    </row>
    <row r="2984">
      <c r="A2984" s="46" t="s">
        <v>161</v>
      </c>
      <c r="B2984" s="46" t="s">
        <v>5897</v>
      </c>
      <c r="C2984" s="46" t="s">
        <v>2609</v>
      </c>
      <c r="D2984" s="46" t="s">
        <v>17</v>
      </c>
      <c r="E2984" s="46" t="s">
        <v>13</v>
      </c>
      <c r="F2984" s="48">
        <v>88.8</v>
      </c>
    </row>
    <row r="2985">
      <c r="A2985" s="46" t="s">
        <v>393</v>
      </c>
      <c r="B2985" s="46" t="s">
        <v>5910</v>
      </c>
      <c r="C2985" s="46" t="s">
        <v>2634</v>
      </c>
      <c r="D2985" s="46" t="s">
        <v>18</v>
      </c>
      <c r="E2985" s="46" t="s">
        <v>13</v>
      </c>
      <c r="F2985" s="48">
        <v>88.7</v>
      </c>
    </row>
    <row r="2986">
      <c r="A2986" s="46" t="s">
        <v>393</v>
      </c>
      <c r="B2986" s="46" t="s">
        <v>5912</v>
      </c>
      <c r="C2986" s="46" t="s">
        <v>2634</v>
      </c>
      <c r="D2986" s="46" t="s">
        <v>17</v>
      </c>
      <c r="E2986" s="46" t="s">
        <v>14</v>
      </c>
      <c r="F2986" s="48">
        <v>98.8</v>
      </c>
    </row>
    <row r="2987">
      <c r="A2987" s="46" t="s">
        <v>377</v>
      </c>
      <c r="B2987" s="46" t="s">
        <v>5918</v>
      </c>
      <c r="C2987" s="46" t="s">
        <v>5919</v>
      </c>
      <c r="D2987" s="46" t="s">
        <v>18</v>
      </c>
      <c r="E2987" s="46" t="s">
        <v>13</v>
      </c>
      <c r="F2987" s="48">
        <v>81.1</v>
      </c>
    </row>
    <row r="2988">
      <c r="A2988" s="46" t="s">
        <v>71</v>
      </c>
      <c r="B2988" s="46" t="s">
        <v>5921</v>
      </c>
      <c r="C2988" s="46" t="s">
        <v>2675</v>
      </c>
      <c r="D2988" s="46" t="s">
        <v>18</v>
      </c>
      <c r="E2988" s="46" t="s">
        <v>15</v>
      </c>
      <c r="F2988" s="48">
        <v>103.9</v>
      </c>
    </row>
    <row r="2989">
      <c r="A2989" s="46" t="s">
        <v>71</v>
      </c>
      <c r="B2989" s="46" t="s">
        <v>5927</v>
      </c>
      <c r="C2989" s="46" t="s">
        <v>5928</v>
      </c>
      <c r="D2989" s="46" t="s">
        <v>18</v>
      </c>
      <c r="E2989" s="46" t="s">
        <v>13</v>
      </c>
      <c r="F2989" s="48">
        <v>85.9</v>
      </c>
    </row>
    <row r="2990">
      <c r="A2990" s="46" t="s">
        <v>71</v>
      </c>
      <c r="B2990" s="46" t="s">
        <v>5930</v>
      </c>
      <c r="C2990" s="46" t="s">
        <v>2675</v>
      </c>
      <c r="D2990" s="46" t="s">
        <v>18</v>
      </c>
      <c r="E2990" s="46" t="s">
        <v>13</v>
      </c>
      <c r="F2990" s="48">
        <v>73.4</v>
      </c>
    </row>
    <row r="2991">
      <c r="A2991" s="46" t="s">
        <v>71</v>
      </c>
      <c r="B2991" s="46" t="s">
        <v>5937</v>
      </c>
      <c r="C2991" s="46" t="s">
        <v>4462</v>
      </c>
      <c r="D2991" s="46" t="s">
        <v>17</v>
      </c>
      <c r="E2991" s="46" t="s">
        <v>13</v>
      </c>
      <c r="F2991" s="48">
        <v>76.1</v>
      </c>
    </row>
    <row r="2992">
      <c r="A2992" s="46" t="s">
        <v>71</v>
      </c>
      <c r="B2992" s="46" t="s">
        <v>5939</v>
      </c>
      <c r="C2992" s="46" t="s">
        <v>4450</v>
      </c>
      <c r="D2992" s="46" t="s">
        <v>17</v>
      </c>
      <c r="E2992" s="46" t="s">
        <v>13</v>
      </c>
      <c r="F2992" s="48">
        <v>82.7</v>
      </c>
    </row>
    <row r="2993">
      <c r="A2993" s="46" t="s">
        <v>116</v>
      </c>
      <c r="B2993" s="46" t="s">
        <v>5949</v>
      </c>
      <c r="C2993" s="46" t="s">
        <v>5950</v>
      </c>
      <c r="D2993" s="46" t="s">
        <v>18</v>
      </c>
      <c r="E2993" s="46" t="s">
        <v>13</v>
      </c>
      <c r="F2993" s="48">
        <v>85.3</v>
      </c>
    </row>
    <row r="2994">
      <c r="A2994" s="46" t="s">
        <v>779</v>
      </c>
      <c r="B2994" s="46" t="s">
        <v>5954</v>
      </c>
      <c r="C2994" s="46" t="s">
        <v>795</v>
      </c>
      <c r="D2994" s="46" t="s">
        <v>18</v>
      </c>
      <c r="E2994" s="46" t="s">
        <v>14</v>
      </c>
      <c r="F2994" s="48">
        <v>92.4</v>
      </c>
    </row>
    <row r="2995">
      <c r="A2995" s="46" t="s">
        <v>779</v>
      </c>
      <c r="B2995" s="46" t="s">
        <v>489</v>
      </c>
      <c r="C2995" s="46" t="s">
        <v>779</v>
      </c>
      <c r="D2995" s="46" t="s">
        <v>18</v>
      </c>
      <c r="E2995" s="46" t="s">
        <v>15</v>
      </c>
      <c r="F2995" s="48">
        <v>100.2</v>
      </c>
    </row>
    <row r="2996">
      <c r="A2996" s="46" t="s">
        <v>779</v>
      </c>
      <c r="B2996" s="46" t="s">
        <v>5967</v>
      </c>
      <c r="C2996" s="46" t="s">
        <v>801</v>
      </c>
      <c r="D2996" s="46" t="s">
        <v>18</v>
      </c>
      <c r="E2996" s="46" t="s">
        <v>13</v>
      </c>
      <c r="F2996" s="48">
        <v>83.8</v>
      </c>
    </row>
    <row r="2997">
      <c r="A2997" s="46" t="s">
        <v>779</v>
      </c>
      <c r="B2997" s="46" t="s">
        <v>5969</v>
      </c>
      <c r="C2997" s="46" t="s">
        <v>798</v>
      </c>
      <c r="D2997" s="46" t="s">
        <v>18</v>
      </c>
      <c r="E2997" s="46" t="s">
        <v>13</v>
      </c>
      <c r="F2997" s="48">
        <v>92.8</v>
      </c>
    </row>
    <row r="2998">
      <c r="A2998" s="46" t="s">
        <v>779</v>
      </c>
      <c r="B2998" s="46" t="s">
        <v>5973</v>
      </c>
      <c r="C2998" s="46" t="s">
        <v>801</v>
      </c>
      <c r="D2998" s="46" t="s">
        <v>18</v>
      </c>
      <c r="E2998" s="46" t="s">
        <v>13</v>
      </c>
      <c r="F2998" s="48">
        <v>98.2</v>
      </c>
    </row>
    <row r="2999">
      <c r="A2999" s="46" t="s">
        <v>313</v>
      </c>
      <c r="B2999" s="46" t="s">
        <v>5984</v>
      </c>
      <c r="C2999" s="46" t="s">
        <v>2742</v>
      </c>
      <c r="D2999" s="46" t="s">
        <v>18</v>
      </c>
      <c r="E2999" s="46" t="s">
        <v>14</v>
      </c>
      <c r="F2999" s="48">
        <v>92.6</v>
      </c>
    </row>
    <row r="3000">
      <c r="A3000" s="46" t="s">
        <v>313</v>
      </c>
      <c r="B3000" s="46" t="s">
        <v>5986</v>
      </c>
      <c r="C3000" s="46" t="s">
        <v>5987</v>
      </c>
      <c r="D3000" s="46" t="s">
        <v>18</v>
      </c>
      <c r="E3000" s="46" t="s">
        <v>13</v>
      </c>
      <c r="F3000" s="48">
        <v>88.7</v>
      </c>
    </row>
    <row r="3001">
      <c r="A3001" s="46" t="s">
        <v>313</v>
      </c>
      <c r="B3001" s="46" t="s">
        <v>5990</v>
      </c>
      <c r="C3001" s="46" t="s">
        <v>2737</v>
      </c>
      <c r="D3001" s="46" t="s">
        <v>18</v>
      </c>
      <c r="E3001" s="46" t="s">
        <v>13</v>
      </c>
      <c r="F3001" s="48">
        <v>85.9</v>
      </c>
    </row>
    <row r="3002">
      <c r="A3002" s="46" t="s">
        <v>313</v>
      </c>
      <c r="B3002" s="46" t="s">
        <v>5992</v>
      </c>
      <c r="C3002" s="46" t="s">
        <v>830</v>
      </c>
      <c r="D3002" s="46" t="s">
        <v>17</v>
      </c>
      <c r="E3002" s="46" t="s">
        <v>14</v>
      </c>
      <c r="F3002" s="48">
        <v>98.9</v>
      </c>
    </row>
    <row r="3003">
      <c r="A3003" s="46" t="s">
        <v>313</v>
      </c>
      <c r="B3003" s="46" t="s">
        <v>5994</v>
      </c>
      <c r="C3003" s="46" t="s">
        <v>2737</v>
      </c>
      <c r="D3003" s="46" t="s">
        <v>17</v>
      </c>
      <c r="E3003" s="46" t="s">
        <v>13</v>
      </c>
      <c r="F3003" s="48">
        <v>94.5</v>
      </c>
    </row>
    <row r="3004">
      <c r="A3004" s="46" t="s">
        <v>313</v>
      </c>
      <c r="B3004" s="46" t="s">
        <v>5996</v>
      </c>
      <c r="C3004" s="46" t="s">
        <v>5997</v>
      </c>
      <c r="D3004" s="46" t="s">
        <v>18</v>
      </c>
      <c r="E3004" s="46" t="s">
        <v>13</v>
      </c>
      <c r="F3004" s="48">
        <v>81.1</v>
      </c>
    </row>
    <row r="3005">
      <c r="A3005" s="46" t="s">
        <v>313</v>
      </c>
      <c r="B3005" s="46" t="s">
        <v>5999</v>
      </c>
      <c r="C3005" s="46" t="s">
        <v>6000</v>
      </c>
      <c r="D3005" s="46" t="s">
        <v>18</v>
      </c>
      <c r="E3005" s="46" t="s">
        <v>14</v>
      </c>
      <c r="F3005" s="48">
        <v>93.1</v>
      </c>
    </row>
    <row r="3006">
      <c r="A3006" s="46" t="s">
        <v>182</v>
      </c>
      <c r="B3006" s="46" t="s">
        <v>6007</v>
      </c>
      <c r="C3006" s="46" t="s">
        <v>2751</v>
      </c>
      <c r="D3006" s="46" t="s">
        <v>18</v>
      </c>
      <c r="E3006" s="46" t="s">
        <v>14</v>
      </c>
      <c r="F3006" s="48">
        <v>103.8</v>
      </c>
    </row>
    <row r="3007">
      <c r="A3007" s="46" t="s">
        <v>182</v>
      </c>
      <c r="B3007" s="46" t="s">
        <v>6009</v>
      </c>
      <c r="C3007" s="46" t="s">
        <v>2748</v>
      </c>
      <c r="D3007" s="46" t="s">
        <v>18</v>
      </c>
      <c r="E3007" s="46" t="s">
        <v>13</v>
      </c>
      <c r="F3007" s="48">
        <v>89.9</v>
      </c>
    </row>
    <row r="3008">
      <c r="A3008" s="46" t="s">
        <v>377</v>
      </c>
      <c r="B3008" s="46" t="s">
        <v>6011</v>
      </c>
      <c r="C3008" s="46" t="s">
        <v>852</v>
      </c>
      <c r="D3008" s="46" t="s">
        <v>18</v>
      </c>
      <c r="E3008" s="46" t="s">
        <v>14</v>
      </c>
      <c r="F3008" s="48">
        <v>85.7</v>
      </c>
    </row>
    <row r="3009">
      <c r="A3009" s="46" t="s">
        <v>483</v>
      </c>
      <c r="B3009" s="46" t="s">
        <v>6013</v>
      </c>
      <c r="C3009" s="46" t="s">
        <v>2764</v>
      </c>
      <c r="D3009" s="46" t="s">
        <v>18</v>
      </c>
      <c r="E3009" s="46" t="s">
        <v>13</v>
      </c>
      <c r="F3009" s="48">
        <v>94.7</v>
      </c>
    </row>
    <row r="3010">
      <c r="A3010" s="46" t="s">
        <v>779</v>
      </c>
      <c r="B3010" s="46" t="s">
        <v>6015</v>
      </c>
      <c r="C3010" s="46" t="s">
        <v>859</v>
      </c>
      <c r="D3010" s="46" t="s">
        <v>18</v>
      </c>
      <c r="E3010" s="46" t="s">
        <v>13</v>
      </c>
      <c r="F3010" s="48">
        <v>80.0</v>
      </c>
    </row>
    <row r="3011">
      <c r="A3011" s="46" t="s">
        <v>779</v>
      </c>
      <c r="B3011" s="46" t="s">
        <v>6019</v>
      </c>
      <c r="C3011" s="46" t="s">
        <v>870</v>
      </c>
      <c r="D3011" s="46" t="s">
        <v>18</v>
      </c>
      <c r="E3011" s="46" t="s">
        <v>14</v>
      </c>
      <c r="F3011" s="48">
        <v>89.6</v>
      </c>
    </row>
    <row r="3012">
      <c r="A3012" s="46" t="s">
        <v>779</v>
      </c>
      <c r="B3012" s="46" t="s">
        <v>1566</v>
      </c>
      <c r="C3012" s="46" t="s">
        <v>4554</v>
      </c>
      <c r="D3012" s="46" t="s">
        <v>18</v>
      </c>
      <c r="E3012" s="46" t="s">
        <v>14</v>
      </c>
      <c r="F3012" s="48">
        <v>102.8</v>
      </c>
    </row>
    <row r="3013">
      <c r="A3013" s="46" t="s">
        <v>779</v>
      </c>
      <c r="B3013" s="46" t="s">
        <v>6024</v>
      </c>
      <c r="C3013" s="46" t="s">
        <v>6025</v>
      </c>
      <c r="D3013" s="46" t="s">
        <v>18</v>
      </c>
      <c r="E3013" s="46" t="s">
        <v>13</v>
      </c>
      <c r="F3013" s="48">
        <v>78.2</v>
      </c>
    </row>
    <row r="3014">
      <c r="A3014" s="46" t="s">
        <v>269</v>
      </c>
      <c r="B3014" s="46" t="s">
        <v>6032</v>
      </c>
      <c r="C3014" s="46" t="s">
        <v>884</v>
      </c>
      <c r="D3014" s="46" t="s">
        <v>18</v>
      </c>
      <c r="E3014" s="46" t="s">
        <v>13</v>
      </c>
      <c r="F3014" s="48">
        <v>91.3</v>
      </c>
    </row>
    <row r="3015">
      <c r="A3015" s="46" t="s">
        <v>269</v>
      </c>
      <c r="B3015" s="46" t="s">
        <v>6034</v>
      </c>
      <c r="C3015" s="46" t="s">
        <v>887</v>
      </c>
      <c r="D3015" s="46" t="s">
        <v>17</v>
      </c>
      <c r="E3015" s="46" t="s">
        <v>15</v>
      </c>
      <c r="F3015" s="48">
        <v>96.8</v>
      </c>
    </row>
    <row r="3016">
      <c r="A3016" s="46" t="s">
        <v>269</v>
      </c>
      <c r="B3016" s="46" t="s">
        <v>6036</v>
      </c>
      <c r="C3016" s="46" t="s">
        <v>887</v>
      </c>
      <c r="D3016" s="46" t="s">
        <v>18</v>
      </c>
      <c r="E3016" s="46" t="s">
        <v>14</v>
      </c>
      <c r="F3016" s="48">
        <v>98.1</v>
      </c>
    </row>
    <row r="3017">
      <c r="A3017" s="46" t="s">
        <v>269</v>
      </c>
      <c r="B3017" s="46" t="s">
        <v>6038</v>
      </c>
      <c r="C3017" s="46" t="s">
        <v>884</v>
      </c>
      <c r="D3017" s="46" t="s">
        <v>18</v>
      </c>
      <c r="E3017" s="46" t="s">
        <v>13</v>
      </c>
      <c r="F3017" s="48">
        <v>85.0</v>
      </c>
    </row>
    <row r="3018">
      <c r="A3018" s="46" t="s">
        <v>169</v>
      </c>
      <c r="B3018" s="46" t="s">
        <v>6042</v>
      </c>
      <c r="C3018" s="46" t="s">
        <v>169</v>
      </c>
      <c r="D3018" s="46" t="s">
        <v>18</v>
      </c>
      <c r="E3018" s="46" t="s">
        <v>13</v>
      </c>
      <c r="F3018" s="48">
        <v>77.6</v>
      </c>
    </row>
    <row r="3019">
      <c r="A3019" s="46" t="s">
        <v>169</v>
      </c>
      <c r="B3019" s="46" t="s">
        <v>3187</v>
      </c>
      <c r="C3019" s="46" t="s">
        <v>169</v>
      </c>
      <c r="D3019" s="46" t="s">
        <v>18</v>
      </c>
      <c r="E3019" s="46" t="s">
        <v>15</v>
      </c>
      <c r="F3019" s="48">
        <v>99.5</v>
      </c>
    </row>
    <row r="3020">
      <c r="A3020" s="46" t="s">
        <v>169</v>
      </c>
      <c r="B3020" s="46" t="s">
        <v>6045</v>
      </c>
      <c r="C3020" s="46" t="s">
        <v>4587</v>
      </c>
      <c r="D3020" s="46" t="s">
        <v>18</v>
      </c>
      <c r="E3020" s="46" t="s">
        <v>13</v>
      </c>
      <c r="F3020" s="48">
        <v>87.7</v>
      </c>
    </row>
    <row r="3021">
      <c r="A3021" s="46" t="s">
        <v>169</v>
      </c>
      <c r="B3021" s="46" t="s">
        <v>6047</v>
      </c>
      <c r="C3021" s="46" t="s">
        <v>6048</v>
      </c>
      <c r="D3021" s="46" t="s">
        <v>18</v>
      </c>
      <c r="E3021" s="46" t="s">
        <v>15</v>
      </c>
      <c r="F3021" s="48">
        <v>97.2</v>
      </c>
    </row>
    <row r="3022">
      <c r="A3022" s="46" t="s">
        <v>169</v>
      </c>
      <c r="B3022" s="46" t="s">
        <v>6056</v>
      </c>
      <c r="C3022" s="46" t="s">
        <v>4580</v>
      </c>
      <c r="D3022" s="46" t="s">
        <v>18</v>
      </c>
      <c r="E3022" s="46" t="s">
        <v>13</v>
      </c>
      <c r="F3022" s="48">
        <v>74.9</v>
      </c>
    </row>
    <row r="3023">
      <c r="A3023" s="46" t="s">
        <v>779</v>
      </c>
      <c r="B3023" s="46" t="s">
        <v>6061</v>
      </c>
      <c r="C3023" s="46" t="s">
        <v>2808</v>
      </c>
      <c r="D3023" s="46" t="s">
        <v>18</v>
      </c>
      <c r="E3023" s="46" t="s">
        <v>13</v>
      </c>
      <c r="F3023" s="48">
        <v>84.5</v>
      </c>
    </row>
    <row r="3024">
      <c r="A3024" s="46" t="s">
        <v>930</v>
      </c>
      <c r="B3024" s="46" t="s">
        <v>6066</v>
      </c>
      <c r="C3024" s="46" t="s">
        <v>6067</v>
      </c>
      <c r="D3024" s="46" t="s">
        <v>18</v>
      </c>
      <c r="E3024" s="46" t="s">
        <v>13</v>
      </c>
      <c r="F3024" s="48">
        <v>79.8</v>
      </c>
    </row>
    <row r="3025">
      <c r="A3025" s="46" t="s">
        <v>930</v>
      </c>
      <c r="B3025" s="46" t="s">
        <v>6069</v>
      </c>
      <c r="C3025" s="46" t="s">
        <v>2825</v>
      </c>
      <c r="D3025" s="46" t="s">
        <v>18</v>
      </c>
      <c r="E3025" s="46" t="s">
        <v>14</v>
      </c>
      <c r="F3025" s="48">
        <v>97.1</v>
      </c>
    </row>
    <row r="3026">
      <c r="A3026" s="46" t="s">
        <v>930</v>
      </c>
      <c r="B3026" s="46" t="s">
        <v>6071</v>
      </c>
      <c r="C3026" s="46" t="s">
        <v>2825</v>
      </c>
      <c r="D3026" s="46" t="s">
        <v>18</v>
      </c>
      <c r="E3026" s="46" t="s">
        <v>13</v>
      </c>
      <c r="F3026" s="48">
        <v>76.7</v>
      </c>
    </row>
    <row r="3027">
      <c r="A3027" s="46" t="s">
        <v>930</v>
      </c>
      <c r="B3027" s="46" t="s">
        <v>6073</v>
      </c>
      <c r="C3027" s="46" t="s">
        <v>6074</v>
      </c>
      <c r="D3027" s="46" t="s">
        <v>18</v>
      </c>
      <c r="E3027" s="46" t="s">
        <v>13</v>
      </c>
      <c r="F3027" s="48">
        <v>74.5</v>
      </c>
    </row>
    <row r="3028">
      <c r="A3028" s="46" t="s">
        <v>930</v>
      </c>
      <c r="B3028" s="46" t="s">
        <v>6076</v>
      </c>
      <c r="C3028" s="46" t="s">
        <v>942</v>
      </c>
      <c r="D3028" s="46" t="s">
        <v>18</v>
      </c>
      <c r="E3028" s="46" t="s">
        <v>13</v>
      </c>
      <c r="F3028" s="48">
        <v>77.5</v>
      </c>
    </row>
    <row r="3029">
      <c r="A3029" s="46" t="s">
        <v>930</v>
      </c>
      <c r="B3029" s="46" t="s">
        <v>6078</v>
      </c>
      <c r="C3029" s="46" t="s">
        <v>2820</v>
      </c>
      <c r="D3029" s="46" t="s">
        <v>18</v>
      </c>
      <c r="E3029" s="46" t="s">
        <v>13</v>
      </c>
      <c r="F3029" s="48">
        <v>82.9</v>
      </c>
    </row>
    <row r="3030">
      <c r="A3030" s="46" t="s">
        <v>930</v>
      </c>
      <c r="B3030" s="46" t="s">
        <v>6080</v>
      </c>
      <c r="C3030" s="46" t="s">
        <v>6081</v>
      </c>
      <c r="D3030" s="46" t="s">
        <v>18</v>
      </c>
      <c r="E3030" s="46" t="s">
        <v>13</v>
      </c>
      <c r="F3030" s="48">
        <v>85.6</v>
      </c>
    </row>
    <row r="3031">
      <c r="A3031" s="46" t="s">
        <v>930</v>
      </c>
      <c r="B3031" s="46" t="s">
        <v>6083</v>
      </c>
      <c r="C3031" s="46" t="s">
        <v>934</v>
      </c>
      <c r="D3031" s="46" t="s">
        <v>17</v>
      </c>
      <c r="E3031" s="46" t="s">
        <v>15</v>
      </c>
      <c r="F3031" s="48">
        <v>103.6</v>
      </c>
    </row>
    <row r="3032">
      <c r="A3032" s="46" t="s">
        <v>930</v>
      </c>
      <c r="B3032" s="46" t="s">
        <v>6087</v>
      </c>
      <c r="C3032" s="46" t="s">
        <v>960</v>
      </c>
      <c r="D3032" s="46" t="s">
        <v>18</v>
      </c>
      <c r="E3032" s="46" t="s">
        <v>13</v>
      </c>
      <c r="F3032" s="48">
        <v>80.7</v>
      </c>
    </row>
    <row r="3033">
      <c r="A3033" s="46" t="s">
        <v>930</v>
      </c>
      <c r="B3033" s="46" t="s">
        <v>6089</v>
      </c>
      <c r="C3033" s="46" t="s">
        <v>963</v>
      </c>
      <c r="D3033" s="46" t="s">
        <v>17</v>
      </c>
      <c r="E3033" s="46" t="s">
        <v>13</v>
      </c>
      <c r="F3033" s="48">
        <v>96.0</v>
      </c>
    </row>
    <row r="3034">
      <c r="A3034" s="46" t="s">
        <v>354</v>
      </c>
      <c r="B3034" s="46" t="s">
        <v>2228</v>
      </c>
      <c r="C3034" s="46" t="s">
        <v>6091</v>
      </c>
      <c r="D3034" s="46" t="s">
        <v>18</v>
      </c>
      <c r="E3034" s="46" t="s">
        <v>13</v>
      </c>
      <c r="F3034" s="48">
        <v>81.3</v>
      </c>
    </row>
    <row r="3035">
      <c r="A3035" s="46" t="s">
        <v>354</v>
      </c>
      <c r="B3035" s="46" t="s">
        <v>6098</v>
      </c>
      <c r="C3035" s="46" t="s">
        <v>6094</v>
      </c>
      <c r="D3035" s="46" t="s">
        <v>18</v>
      </c>
      <c r="E3035" s="46" t="s">
        <v>14</v>
      </c>
      <c r="F3035" s="48">
        <v>89.7</v>
      </c>
    </row>
    <row r="3036">
      <c r="A3036" s="46" t="s">
        <v>354</v>
      </c>
      <c r="B3036" s="46" t="s">
        <v>6100</v>
      </c>
      <c r="C3036" s="46" t="s">
        <v>975</v>
      </c>
      <c r="D3036" s="46" t="s">
        <v>18</v>
      </c>
      <c r="E3036" s="46" t="s">
        <v>13</v>
      </c>
      <c r="F3036" s="48">
        <v>87.9</v>
      </c>
    </row>
    <row r="3037">
      <c r="A3037" s="46" t="s">
        <v>354</v>
      </c>
      <c r="B3037" s="46" t="s">
        <v>6109</v>
      </c>
      <c r="C3037" s="46" t="s">
        <v>6110</v>
      </c>
      <c r="D3037" s="46" t="s">
        <v>18</v>
      </c>
      <c r="E3037" s="46" t="s">
        <v>14</v>
      </c>
      <c r="F3037" s="48">
        <v>91.0</v>
      </c>
    </row>
    <row r="3038">
      <c r="A3038" s="46" t="s">
        <v>930</v>
      </c>
      <c r="B3038" s="46" t="s">
        <v>1324</v>
      </c>
      <c r="C3038" s="46" t="s">
        <v>1004</v>
      </c>
      <c r="D3038" s="46" t="s">
        <v>18</v>
      </c>
      <c r="E3038" s="46" t="s">
        <v>15</v>
      </c>
      <c r="F3038" s="48">
        <v>91.3</v>
      </c>
    </row>
    <row r="3039">
      <c r="A3039" s="46" t="s">
        <v>930</v>
      </c>
      <c r="B3039" s="46" t="s">
        <v>456</v>
      </c>
      <c r="C3039" s="46" t="s">
        <v>1007</v>
      </c>
      <c r="D3039" s="46" t="s">
        <v>18</v>
      </c>
      <c r="E3039" s="46" t="s">
        <v>15</v>
      </c>
      <c r="F3039" s="48">
        <v>88.1</v>
      </c>
    </row>
    <row r="3040">
      <c r="A3040" s="46" t="s">
        <v>930</v>
      </c>
      <c r="B3040" s="46" t="s">
        <v>6117</v>
      </c>
      <c r="C3040" s="46" t="s">
        <v>1007</v>
      </c>
      <c r="D3040" s="46" t="s">
        <v>18</v>
      </c>
      <c r="E3040" s="46" t="s">
        <v>14</v>
      </c>
      <c r="F3040" s="48">
        <v>67.7</v>
      </c>
    </row>
    <row r="3041">
      <c r="A3041" s="46" t="s">
        <v>930</v>
      </c>
      <c r="B3041" s="46" t="s">
        <v>6121</v>
      </c>
      <c r="C3041" s="46" t="s">
        <v>2895</v>
      </c>
      <c r="D3041" s="46" t="s">
        <v>18</v>
      </c>
      <c r="E3041" s="46" t="s">
        <v>14</v>
      </c>
      <c r="F3041" s="48">
        <v>98.9</v>
      </c>
    </row>
    <row r="3042">
      <c r="A3042" s="46" t="s">
        <v>930</v>
      </c>
      <c r="B3042" s="46" t="s">
        <v>6124</v>
      </c>
      <c r="C3042" s="46" t="s">
        <v>995</v>
      </c>
      <c r="D3042" s="46" t="s">
        <v>18</v>
      </c>
      <c r="E3042" s="46" t="s">
        <v>14</v>
      </c>
      <c r="F3042" s="48">
        <v>90.6</v>
      </c>
    </row>
    <row r="3043">
      <c r="A3043" s="46" t="s">
        <v>930</v>
      </c>
      <c r="B3043" s="46" t="s">
        <v>6131</v>
      </c>
      <c r="C3043" s="46" t="s">
        <v>6132</v>
      </c>
      <c r="D3043" s="46" t="s">
        <v>17</v>
      </c>
      <c r="E3043" s="46" t="s">
        <v>13</v>
      </c>
      <c r="F3043" s="48">
        <v>70.5</v>
      </c>
    </row>
    <row r="3044">
      <c r="A3044" s="46" t="s">
        <v>930</v>
      </c>
      <c r="B3044" s="46" t="s">
        <v>6134</v>
      </c>
      <c r="C3044" s="46" t="s">
        <v>6135</v>
      </c>
      <c r="D3044" s="46" t="s">
        <v>18</v>
      </c>
      <c r="E3044" s="46" t="s">
        <v>13</v>
      </c>
      <c r="F3044" s="48">
        <v>75.0</v>
      </c>
    </row>
    <row r="3045">
      <c r="A3045" s="46" t="s">
        <v>930</v>
      </c>
      <c r="B3045" s="46" t="s">
        <v>6137</v>
      </c>
      <c r="C3045" s="46" t="s">
        <v>989</v>
      </c>
      <c r="D3045" s="46" t="s">
        <v>18</v>
      </c>
      <c r="E3045" s="46" t="s">
        <v>14</v>
      </c>
      <c r="F3045" s="48">
        <v>97.4</v>
      </c>
    </row>
    <row r="3046">
      <c r="A3046" s="46" t="s">
        <v>930</v>
      </c>
      <c r="B3046" s="46" t="s">
        <v>6142</v>
      </c>
      <c r="C3046" s="46" t="s">
        <v>986</v>
      </c>
      <c r="D3046" s="46" t="s">
        <v>18</v>
      </c>
      <c r="E3046" s="46" t="s">
        <v>13</v>
      </c>
      <c r="F3046" s="48">
        <v>69.2</v>
      </c>
    </row>
    <row r="3047">
      <c r="A3047" s="46" t="s">
        <v>930</v>
      </c>
      <c r="B3047" s="46" t="s">
        <v>6144</v>
      </c>
      <c r="C3047" s="46" t="s">
        <v>989</v>
      </c>
      <c r="D3047" s="46" t="s">
        <v>17</v>
      </c>
      <c r="E3047" s="46" t="s">
        <v>15</v>
      </c>
      <c r="F3047" s="48">
        <v>79.0</v>
      </c>
    </row>
    <row r="3048">
      <c r="A3048" s="46" t="s">
        <v>333</v>
      </c>
      <c r="B3048" s="46" t="s">
        <v>6148</v>
      </c>
      <c r="C3048" s="46" t="s">
        <v>6149</v>
      </c>
      <c r="D3048" s="46" t="s">
        <v>18</v>
      </c>
      <c r="E3048" s="46" t="s">
        <v>13</v>
      </c>
      <c r="F3048" s="48">
        <v>91.4</v>
      </c>
    </row>
    <row r="3049">
      <c r="A3049" s="46" t="s">
        <v>46</v>
      </c>
      <c r="B3049" s="46" t="s">
        <v>6153</v>
      </c>
      <c r="C3049" s="46" t="s">
        <v>6154</v>
      </c>
      <c r="D3049" s="46" t="s">
        <v>18</v>
      </c>
      <c r="E3049" s="46" t="s">
        <v>14</v>
      </c>
      <c r="F3049" s="48">
        <v>80.7</v>
      </c>
    </row>
    <row r="3050">
      <c r="A3050" s="46" t="s">
        <v>46</v>
      </c>
      <c r="B3050" s="46" t="s">
        <v>6164</v>
      </c>
      <c r="C3050" s="46" t="s">
        <v>46</v>
      </c>
      <c r="D3050" s="46" t="s">
        <v>18</v>
      </c>
      <c r="E3050" s="46" t="s">
        <v>14</v>
      </c>
      <c r="F3050" s="48">
        <v>91.2</v>
      </c>
    </row>
    <row r="3051">
      <c r="A3051" s="46" t="s">
        <v>46</v>
      </c>
      <c r="B3051" s="46" t="s">
        <v>6168</v>
      </c>
      <c r="C3051" s="46" t="s">
        <v>1059</v>
      </c>
      <c r="D3051" s="46" t="s">
        <v>18</v>
      </c>
      <c r="E3051" s="46" t="s">
        <v>15</v>
      </c>
      <c r="F3051" s="48">
        <v>74.9</v>
      </c>
    </row>
    <row r="3052">
      <c r="A3052" s="46" t="s">
        <v>46</v>
      </c>
      <c r="B3052" s="46" t="s">
        <v>6170</v>
      </c>
      <c r="C3052" s="46" t="s">
        <v>1067</v>
      </c>
      <c r="D3052" s="46" t="s">
        <v>18</v>
      </c>
      <c r="E3052" s="46" t="s">
        <v>13</v>
      </c>
      <c r="F3052" s="48">
        <v>78.8</v>
      </c>
    </row>
    <row r="3053">
      <c r="A3053" s="46" t="s">
        <v>46</v>
      </c>
      <c r="B3053" s="46" t="s">
        <v>6172</v>
      </c>
      <c r="C3053" s="46" t="s">
        <v>2972</v>
      </c>
      <c r="D3053" s="46" t="s">
        <v>18</v>
      </c>
      <c r="E3053" s="46" t="s">
        <v>14</v>
      </c>
      <c r="F3053" s="48">
        <v>79.5</v>
      </c>
    </row>
    <row r="3054">
      <c r="A3054" s="46" t="s">
        <v>46</v>
      </c>
      <c r="B3054" s="46" t="s">
        <v>6174</v>
      </c>
      <c r="C3054" s="46" t="s">
        <v>1030</v>
      </c>
      <c r="D3054" s="46" t="s">
        <v>18</v>
      </c>
      <c r="E3054" s="46" t="s">
        <v>13</v>
      </c>
      <c r="F3054" s="48">
        <v>76.7</v>
      </c>
    </row>
    <row r="3055">
      <c r="A3055" s="46" t="s">
        <v>46</v>
      </c>
      <c r="B3055" s="46" t="s">
        <v>6176</v>
      </c>
      <c r="C3055" s="46" t="s">
        <v>46</v>
      </c>
      <c r="D3055" s="46" t="s">
        <v>18</v>
      </c>
      <c r="E3055" s="46" t="s">
        <v>13</v>
      </c>
      <c r="F3055" s="48">
        <v>77.9</v>
      </c>
    </row>
    <row r="3056">
      <c r="A3056" s="46" t="s">
        <v>46</v>
      </c>
      <c r="B3056" s="46" t="s">
        <v>5232</v>
      </c>
      <c r="C3056" s="46" t="s">
        <v>1059</v>
      </c>
      <c r="D3056" s="46" t="s">
        <v>17</v>
      </c>
      <c r="E3056" s="46" t="s">
        <v>14</v>
      </c>
      <c r="F3056" s="48">
        <v>76.8</v>
      </c>
    </row>
    <row r="3057">
      <c r="A3057" s="46" t="s">
        <v>46</v>
      </c>
      <c r="B3057" s="46" t="s">
        <v>6184</v>
      </c>
      <c r="C3057" s="46" t="s">
        <v>1039</v>
      </c>
      <c r="D3057" s="46" t="s">
        <v>17</v>
      </c>
      <c r="E3057" s="46" t="s">
        <v>14</v>
      </c>
      <c r="F3057" s="48">
        <v>92.4</v>
      </c>
    </row>
    <row r="3058">
      <c r="A3058" s="46" t="s">
        <v>46</v>
      </c>
      <c r="B3058" s="46" t="s">
        <v>918</v>
      </c>
      <c r="C3058" s="46" t="s">
        <v>6188</v>
      </c>
      <c r="D3058" s="46" t="s">
        <v>17</v>
      </c>
      <c r="E3058" s="46" t="s">
        <v>13</v>
      </c>
      <c r="F3058" s="48">
        <v>93.4</v>
      </c>
    </row>
    <row r="3059">
      <c r="A3059" s="46" t="s">
        <v>46</v>
      </c>
      <c r="B3059" s="46" t="s">
        <v>6190</v>
      </c>
      <c r="C3059" s="46" t="s">
        <v>6191</v>
      </c>
      <c r="D3059" s="46" t="s">
        <v>17</v>
      </c>
      <c r="E3059" s="46" t="s">
        <v>13</v>
      </c>
      <c r="F3059" s="48">
        <v>76.5</v>
      </c>
    </row>
    <row r="3060">
      <c r="A3060" s="46" t="s">
        <v>46</v>
      </c>
      <c r="B3060" s="46" t="s">
        <v>6196</v>
      </c>
      <c r="C3060" s="46" t="s">
        <v>1113</v>
      </c>
      <c r="D3060" s="46" t="s">
        <v>18</v>
      </c>
      <c r="E3060" s="46" t="s">
        <v>13</v>
      </c>
      <c r="F3060" s="48">
        <v>73.3</v>
      </c>
    </row>
    <row r="3061">
      <c r="A3061" s="46" t="s">
        <v>46</v>
      </c>
      <c r="B3061" s="46" t="s">
        <v>2889</v>
      </c>
      <c r="C3061" s="46" t="s">
        <v>6198</v>
      </c>
      <c r="D3061" s="46" t="s">
        <v>18</v>
      </c>
      <c r="E3061" s="46" t="s">
        <v>13</v>
      </c>
      <c r="F3061" s="48">
        <v>67.6</v>
      </c>
    </row>
    <row r="3062">
      <c r="A3062" s="46" t="s">
        <v>46</v>
      </c>
      <c r="B3062" s="46" t="s">
        <v>6200</v>
      </c>
      <c r="C3062" s="46" t="s">
        <v>1078</v>
      </c>
      <c r="D3062" s="46" t="s">
        <v>18</v>
      </c>
      <c r="E3062" s="46" t="s">
        <v>13</v>
      </c>
      <c r="F3062" s="48">
        <v>68.5</v>
      </c>
    </row>
    <row r="3063">
      <c r="A3063" s="46" t="s">
        <v>46</v>
      </c>
      <c r="B3063" s="46" t="s">
        <v>2263</v>
      </c>
      <c r="C3063" s="46" t="s">
        <v>6202</v>
      </c>
      <c r="D3063" s="46" t="s">
        <v>18</v>
      </c>
      <c r="E3063" s="46" t="s">
        <v>15</v>
      </c>
      <c r="F3063" s="48">
        <v>103.4</v>
      </c>
    </row>
    <row r="3064">
      <c r="A3064" s="46" t="s">
        <v>46</v>
      </c>
      <c r="B3064" s="46" t="s">
        <v>6204</v>
      </c>
      <c r="C3064" s="46" t="s">
        <v>1039</v>
      </c>
      <c r="D3064" s="46" t="s">
        <v>17</v>
      </c>
      <c r="E3064" s="46" t="s">
        <v>13</v>
      </c>
      <c r="F3064" s="48">
        <v>99.5</v>
      </c>
    </row>
    <row r="3065">
      <c r="A3065" s="46" t="s">
        <v>88</v>
      </c>
      <c r="B3065" s="46" t="s">
        <v>6209</v>
      </c>
      <c r="C3065" s="46" t="s">
        <v>1130</v>
      </c>
      <c r="D3065" s="46" t="s">
        <v>18</v>
      </c>
      <c r="E3065" s="46" t="s">
        <v>13</v>
      </c>
      <c r="F3065" s="48">
        <v>83.2</v>
      </c>
    </row>
    <row r="3066">
      <c r="A3066" s="46" t="s">
        <v>88</v>
      </c>
      <c r="B3066" s="46" t="s">
        <v>6211</v>
      </c>
      <c r="C3066" s="46" t="s">
        <v>1136</v>
      </c>
      <c r="D3066" s="46" t="s">
        <v>18</v>
      </c>
      <c r="E3066" s="46" t="s">
        <v>13</v>
      </c>
      <c r="F3066" s="48">
        <v>89.7</v>
      </c>
    </row>
    <row r="3067">
      <c r="A3067" s="46" t="s">
        <v>88</v>
      </c>
      <c r="B3067" s="46" t="s">
        <v>6213</v>
      </c>
      <c r="C3067" s="46" t="s">
        <v>6214</v>
      </c>
      <c r="D3067" s="46" t="s">
        <v>18</v>
      </c>
      <c r="E3067" s="46" t="s">
        <v>13</v>
      </c>
      <c r="F3067" s="48">
        <v>86.3</v>
      </c>
    </row>
    <row r="3068">
      <c r="A3068" s="46" t="s">
        <v>88</v>
      </c>
      <c r="B3068" s="46" t="s">
        <v>6216</v>
      </c>
      <c r="C3068" s="46" t="s">
        <v>6217</v>
      </c>
      <c r="D3068" s="46" t="s">
        <v>18</v>
      </c>
      <c r="E3068" s="46" t="s">
        <v>13</v>
      </c>
      <c r="F3068" s="48">
        <v>84.8</v>
      </c>
    </row>
    <row r="3069">
      <c r="A3069" s="46" t="s">
        <v>88</v>
      </c>
      <c r="B3069" s="46" t="s">
        <v>3672</v>
      </c>
      <c r="C3069" s="46" t="s">
        <v>6217</v>
      </c>
      <c r="D3069" s="46" t="s">
        <v>18</v>
      </c>
      <c r="E3069" s="46" t="s">
        <v>15</v>
      </c>
      <c r="F3069" s="48">
        <v>103.5</v>
      </c>
    </row>
    <row r="3070">
      <c r="A3070" s="46" t="s">
        <v>88</v>
      </c>
      <c r="B3070" s="46" t="s">
        <v>6220</v>
      </c>
      <c r="C3070" s="46" t="s">
        <v>1136</v>
      </c>
      <c r="D3070" s="46" t="s">
        <v>17</v>
      </c>
      <c r="E3070" s="46" t="s">
        <v>13</v>
      </c>
      <c r="F3070" s="48">
        <v>98.0</v>
      </c>
    </row>
    <row r="3071">
      <c r="A3071" s="46" t="s">
        <v>269</v>
      </c>
      <c r="B3071" s="46" t="s">
        <v>6225</v>
      </c>
      <c r="C3071" s="46" t="s">
        <v>6223</v>
      </c>
      <c r="D3071" s="46" t="s">
        <v>18</v>
      </c>
      <c r="E3071" s="46" t="s">
        <v>13</v>
      </c>
      <c r="F3071" s="48">
        <v>82.6</v>
      </c>
    </row>
    <row r="3072">
      <c r="A3072" s="46" t="s">
        <v>269</v>
      </c>
      <c r="B3072" s="46" t="s">
        <v>6227</v>
      </c>
      <c r="C3072" s="46" t="s">
        <v>6228</v>
      </c>
      <c r="D3072" s="46" t="s">
        <v>18</v>
      </c>
      <c r="E3072" s="46" t="s">
        <v>14</v>
      </c>
      <c r="F3072" s="48">
        <v>99.9</v>
      </c>
    </row>
    <row r="3073">
      <c r="A3073" s="46" t="s">
        <v>269</v>
      </c>
      <c r="B3073" s="46" t="s">
        <v>6233</v>
      </c>
      <c r="C3073" s="46" t="s">
        <v>6234</v>
      </c>
      <c r="D3073" s="46" t="s">
        <v>17</v>
      </c>
      <c r="E3073" s="46" t="s">
        <v>15</v>
      </c>
      <c r="F3073" s="48">
        <v>103.0</v>
      </c>
    </row>
    <row r="3074">
      <c r="A3074" s="46" t="s">
        <v>46</v>
      </c>
      <c r="B3074" s="46" t="s">
        <v>6237</v>
      </c>
      <c r="C3074" s="46" t="s">
        <v>3022</v>
      </c>
      <c r="D3074" s="46" t="s">
        <v>18</v>
      </c>
      <c r="E3074" s="46" t="s">
        <v>13</v>
      </c>
      <c r="F3074" s="48">
        <v>75.3</v>
      </c>
    </row>
    <row r="3075">
      <c r="A3075" s="46" t="s">
        <v>46</v>
      </c>
      <c r="B3075" s="46" t="s">
        <v>6239</v>
      </c>
      <c r="C3075" s="46" t="s">
        <v>1171</v>
      </c>
      <c r="D3075" s="46" t="s">
        <v>18</v>
      </c>
      <c r="E3075" s="46" t="s">
        <v>15</v>
      </c>
      <c r="F3075" s="48">
        <v>97.2</v>
      </c>
    </row>
    <row r="3076">
      <c r="A3076" s="46" t="s">
        <v>46</v>
      </c>
      <c r="B3076" s="46" t="s">
        <v>6241</v>
      </c>
      <c r="C3076" s="46" t="s">
        <v>1188</v>
      </c>
      <c r="D3076" s="46" t="s">
        <v>18</v>
      </c>
      <c r="E3076" s="46" t="s">
        <v>15</v>
      </c>
      <c r="F3076" s="48">
        <v>82.4</v>
      </c>
    </row>
    <row r="3077">
      <c r="A3077" s="46" t="s">
        <v>46</v>
      </c>
      <c r="B3077" s="46" t="s">
        <v>6243</v>
      </c>
      <c r="C3077" s="46" t="s">
        <v>6244</v>
      </c>
      <c r="D3077" s="46" t="s">
        <v>18</v>
      </c>
      <c r="E3077" s="46" t="s">
        <v>13</v>
      </c>
      <c r="F3077" s="48">
        <v>74.0</v>
      </c>
    </row>
    <row r="3078">
      <c r="A3078" s="46" t="s">
        <v>46</v>
      </c>
      <c r="B3078" s="46" t="s">
        <v>6248</v>
      </c>
      <c r="C3078" s="46" t="s">
        <v>6249</v>
      </c>
      <c r="D3078" s="46" t="s">
        <v>18</v>
      </c>
      <c r="E3078" s="46" t="s">
        <v>13</v>
      </c>
      <c r="F3078" s="48">
        <v>71.0</v>
      </c>
    </row>
    <row r="3079">
      <c r="A3079" s="46" t="s">
        <v>46</v>
      </c>
      <c r="B3079" s="46" t="s">
        <v>6251</v>
      </c>
      <c r="C3079" s="46" t="s">
        <v>1177</v>
      </c>
      <c r="D3079" s="46" t="s">
        <v>18</v>
      </c>
      <c r="E3079" s="46" t="s">
        <v>13</v>
      </c>
      <c r="F3079" s="48">
        <v>76.1</v>
      </c>
    </row>
    <row r="3080">
      <c r="A3080" s="46" t="s">
        <v>46</v>
      </c>
      <c r="B3080" s="46" t="s">
        <v>6254</v>
      </c>
      <c r="C3080" s="46" t="s">
        <v>6255</v>
      </c>
      <c r="D3080" s="46" t="s">
        <v>17</v>
      </c>
      <c r="E3080" s="46" t="s">
        <v>14</v>
      </c>
      <c r="F3080" s="48">
        <v>80.8</v>
      </c>
    </row>
    <row r="3081">
      <c r="A3081" s="46" t="s">
        <v>46</v>
      </c>
      <c r="B3081" s="46" t="s">
        <v>6257</v>
      </c>
      <c r="C3081" s="46" t="s">
        <v>3036</v>
      </c>
      <c r="D3081" s="46" t="s">
        <v>17</v>
      </c>
      <c r="E3081" s="46" t="s">
        <v>13</v>
      </c>
      <c r="F3081" s="48">
        <v>87.8</v>
      </c>
    </row>
    <row r="3082">
      <c r="A3082" s="46" t="s">
        <v>46</v>
      </c>
      <c r="B3082" s="46" t="s">
        <v>918</v>
      </c>
      <c r="C3082" s="46" t="s">
        <v>6259</v>
      </c>
      <c r="D3082" s="46" t="s">
        <v>17</v>
      </c>
      <c r="E3082" s="46" t="s">
        <v>13</v>
      </c>
      <c r="F3082" s="48">
        <v>92.3</v>
      </c>
    </row>
    <row r="3083">
      <c r="A3083" s="46" t="s">
        <v>46</v>
      </c>
      <c r="B3083" s="46" t="s">
        <v>6266</v>
      </c>
      <c r="C3083" s="46" t="s">
        <v>3055</v>
      </c>
      <c r="D3083" s="46" t="s">
        <v>18</v>
      </c>
      <c r="E3083" s="46" t="s">
        <v>15</v>
      </c>
      <c r="F3083" s="48">
        <v>103.0</v>
      </c>
    </row>
    <row r="3084">
      <c r="A3084" s="46" t="s">
        <v>46</v>
      </c>
      <c r="B3084" s="46" t="s">
        <v>6268</v>
      </c>
      <c r="C3084" s="46" t="s">
        <v>6269</v>
      </c>
      <c r="D3084" s="46" t="s">
        <v>18</v>
      </c>
      <c r="E3084" s="46" t="s">
        <v>14</v>
      </c>
      <c r="F3084" s="48">
        <v>91.7</v>
      </c>
    </row>
    <row r="3085">
      <c r="A3085" s="46" t="s">
        <v>116</v>
      </c>
      <c r="B3085" s="46" t="s">
        <v>6278</v>
      </c>
      <c r="C3085" s="46" t="s">
        <v>6279</v>
      </c>
      <c r="D3085" s="46" t="s">
        <v>18</v>
      </c>
      <c r="E3085" s="46" t="s">
        <v>13</v>
      </c>
      <c r="F3085" s="48">
        <v>85.9</v>
      </c>
    </row>
    <row r="3086">
      <c r="A3086" s="46" t="s">
        <v>377</v>
      </c>
      <c r="B3086" s="46" t="s">
        <v>6281</v>
      </c>
      <c r="C3086" s="46" t="s">
        <v>1235</v>
      </c>
      <c r="D3086" s="46" t="s">
        <v>18</v>
      </c>
      <c r="E3086" s="46" t="s">
        <v>13</v>
      </c>
      <c r="F3086" s="48">
        <v>91.4</v>
      </c>
    </row>
    <row r="3087">
      <c r="A3087" s="46" t="s">
        <v>377</v>
      </c>
      <c r="B3087" s="46" t="s">
        <v>6283</v>
      </c>
      <c r="C3087" s="46" t="s">
        <v>6284</v>
      </c>
      <c r="D3087" s="46" t="s">
        <v>18</v>
      </c>
      <c r="E3087" s="46" t="s">
        <v>13</v>
      </c>
      <c r="F3087" s="48">
        <v>84.1</v>
      </c>
    </row>
    <row r="3088">
      <c r="A3088" s="46" t="s">
        <v>377</v>
      </c>
      <c r="B3088" s="46" t="s">
        <v>6290</v>
      </c>
      <c r="C3088" s="46" t="s">
        <v>1225</v>
      </c>
      <c r="D3088" s="46" t="s">
        <v>18</v>
      </c>
      <c r="E3088" s="46" t="s">
        <v>13</v>
      </c>
      <c r="F3088" s="48">
        <v>88.4</v>
      </c>
    </row>
    <row r="3089">
      <c r="A3089" s="46" t="s">
        <v>377</v>
      </c>
      <c r="B3089" s="46" t="s">
        <v>6292</v>
      </c>
      <c r="C3089" s="46" t="s">
        <v>1225</v>
      </c>
      <c r="D3089" s="46" t="s">
        <v>17</v>
      </c>
      <c r="E3089" s="46" t="s">
        <v>13</v>
      </c>
      <c r="F3089" s="48">
        <v>92.1</v>
      </c>
    </row>
    <row r="3090">
      <c r="A3090" s="46" t="s">
        <v>377</v>
      </c>
      <c r="B3090" s="46" t="s">
        <v>6294</v>
      </c>
      <c r="C3090" s="46" t="s">
        <v>3117</v>
      </c>
      <c r="D3090" s="46" t="s">
        <v>17</v>
      </c>
      <c r="E3090" s="46" t="s">
        <v>13</v>
      </c>
      <c r="F3090" s="48">
        <v>89.0</v>
      </c>
    </row>
    <row r="3091">
      <c r="A3091" s="46" t="s">
        <v>182</v>
      </c>
      <c r="B3091" s="46" t="s">
        <v>1179</v>
      </c>
      <c r="C3091" s="46" t="s">
        <v>6303</v>
      </c>
      <c r="D3091" s="46" t="s">
        <v>18</v>
      </c>
      <c r="E3091" s="46" t="s">
        <v>13</v>
      </c>
      <c r="F3091" s="48">
        <v>92.3</v>
      </c>
    </row>
    <row r="3092">
      <c r="A3092" s="46" t="s">
        <v>483</v>
      </c>
      <c r="B3092" s="46" t="s">
        <v>3352</v>
      </c>
      <c r="C3092" s="46" t="s">
        <v>1258</v>
      </c>
      <c r="D3092" s="46" t="s">
        <v>18</v>
      </c>
      <c r="E3092" s="46" t="s">
        <v>14</v>
      </c>
      <c r="F3092" s="48">
        <v>93.4</v>
      </c>
    </row>
    <row r="3093">
      <c r="A3093" s="46" t="s">
        <v>483</v>
      </c>
      <c r="B3093" s="46" t="s">
        <v>3018</v>
      </c>
      <c r="C3093" s="46" t="s">
        <v>1258</v>
      </c>
      <c r="D3093" s="46" t="s">
        <v>18</v>
      </c>
      <c r="E3093" s="46" t="s">
        <v>14</v>
      </c>
      <c r="F3093" s="48">
        <v>100.0</v>
      </c>
    </row>
    <row r="3094">
      <c r="A3094" s="46" t="s">
        <v>483</v>
      </c>
      <c r="B3094" s="46" t="s">
        <v>6312</v>
      </c>
      <c r="C3094" s="46" t="s">
        <v>6313</v>
      </c>
      <c r="D3094" s="46" t="s">
        <v>18</v>
      </c>
      <c r="E3094" s="46" t="s">
        <v>13</v>
      </c>
      <c r="F3094" s="48">
        <v>83.8</v>
      </c>
    </row>
    <row r="3095">
      <c r="A3095" s="46" t="s">
        <v>1259</v>
      </c>
      <c r="B3095" s="46" t="s">
        <v>6320</v>
      </c>
      <c r="C3095" s="46" t="s">
        <v>3148</v>
      </c>
      <c r="D3095" s="46" t="s">
        <v>18</v>
      </c>
      <c r="E3095" s="46" t="s">
        <v>13</v>
      </c>
      <c r="F3095" s="48">
        <v>86.3</v>
      </c>
    </row>
    <row r="3096">
      <c r="A3096" s="46" t="s">
        <v>1259</v>
      </c>
      <c r="B3096" s="46" t="s">
        <v>6324</v>
      </c>
      <c r="C3096" s="46" t="s">
        <v>3157</v>
      </c>
      <c r="D3096" s="46" t="s">
        <v>18</v>
      </c>
      <c r="E3096" s="46" t="s">
        <v>13</v>
      </c>
      <c r="F3096" s="48">
        <v>85.3</v>
      </c>
    </row>
    <row r="3097">
      <c r="A3097" s="46" t="s">
        <v>1259</v>
      </c>
      <c r="B3097" s="46" t="s">
        <v>5711</v>
      </c>
      <c r="C3097" s="46" t="s">
        <v>3160</v>
      </c>
      <c r="D3097" s="46" t="s">
        <v>18</v>
      </c>
      <c r="E3097" s="46" t="s">
        <v>13</v>
      </c>
      <c r="F3097" s="48">
        <v>74.9</v>
      </c>
    </row>
    <row r="3098">
      <c r="A3098" s="46" t="s">
        <v>1259</v>
      </c>
      <c r="B3098" s="46" t="s">
        <v>6327</v>
      </c>
      <c r="C3098" s="46" t="s">
        <v>6328</v>
      </c>
      <c r="D3098" s="46" t="s">
        <v>18</v>
      </c>
      <c r="E3098" s="46" t="s">
        <v>13</v>
      </c>
      <c r="F3098" s="48">
        <v>80.3</v>
      </c>
    </row>
    <row r="3099">
      <c r="A3099" s="46" t="s">
        <v>1259</v>
      </c>
      <c r="B3099" s="46" t="s">
        <v>4395</v>
      </c>
      <c r="C3099" s="46" t="s">
        <v>1259</v>
      </c>
      <c r="D3099" s="46" t="s">
        <v>18</v>
      </c>
      <c r="E3099" s="46" t="s">
        <v>15</v>
      </c>
      <c r="F3099" s="48">
        <v>100.3</v>
      </c>
    </row>
    <row r="3100">
      <c r="A3100" s="46" t="s">
        <v>1259</v>
      </c>
      <c r="B3100" s="46" t="s">
        <v>6160</v>
      </c>
      <c r="C3100" s="46" t="s">
        <v>1259</v>
      </c>
      <c r="D3100" s="46" t="s">
        <v>18</v>
      </c>
      <c r="E3100" s="46" t="s">
        <v>15</v>
      </c>
      <c r="F3100" s="48">
        <v>100.8</v>
      </c>
    </row>
    <row r="3101">
      <c r="A3101" s="46" t="s">
        <v>1259</v>
      </c>
      <c r="B3101" s="46" t="s">
        <v>3689</v>
      </c>
      <c r="C3101" s="46" t="s">
        <v>1259</v>
      </c>
      <c r="D3101" s="46" t="s">
        <v>18</v>
      </c>
      <c r="E3101" s="46" t="s">
        <v>14</v>
      </c>
      <c r="F3101" s="48">
        <v>100.5</v>
      </c>
    </row>
    <row r="3102">
      <c r="A3102" s="46" t="s">
        <v>1259</v>
      </c>
      <c r="B3102" s="46" t="s">
        <v>6341</v>
      </c>
      <c r="C3102" s="46" t="s">
        <v>1259</v>
      </c>
      <c r="D3102" s="46" t="s">
        <v>18</v>
      </c>
      <c r="E3102" s="46" t="s">
        <v>14</v>
      </c>
      <c r="F3102" s="48">
        <v>94.5</v>
      </c>
    </row>
    <row r="3103">
      <c r="A3103" s="46" t="s">
        <v>1259</v>
      </c>
      <c r="B3103" s="46" t="s">
        <v>6343</v>
      </c>
      <c r="C3103" s="46" t="s">
        <v>3160</v>
      </c>
      <c r="D3103" s="46" t="s">
        <v>18</v>
      </c>
      <c r="E3103" s="46" t="s">
        <v>13</v>
      </c>
      <c r="F3103" s="48">
        <v>78.6</v>
      </c>
    </row>
    <row r="3104">
      <c r="A3104" s="46" t="s">
        <v>1259</v>
      </c>
      <c r="B3104" s="46" t="s">
        <v>6352</v>
      </c>
      <c r="C3104" s="46" t="s">
        <v>6353</v>
      </c>
      <c r="D3104" s="46" t="s">
        <v>18</v>
      </c>
      <c r="E3104" s="46" t="s">
        <v>14</v>
      </c>
      <c r="F3104" s="48">
        <v>99.3</v>
      </c>
    </row>
    <row r="3105">
      <c r="A3105" s="46" t="s">
        <v>1259</v>
      </c>
      <c r="B3105" s="46" t="s">
        <v>6355</v>
      </c>
      <c r="C3105" s="46" t="s">
        <v>1275</v>
      </c>
      <c r="D3105" s="46" t="s">
        <v>18</v>
      </c>
      <c r="E3105" s="46" t="s">
        <v>13</v>
      </c>
      <c r="F3105" s="48">
        <v>103.1</v>
      </c>
    </row>
    <row r="3106">
      <c r="A3106" s="46" t="s">
        <v>1259</v>
      </c>
      <c r="B3106" s="46" t="s">
        <v>6361</v>
      </c>
      <c r="C3106" s="46" t="s">
        <v>1292</v>
      </c>
      <c r="D3106" s="46" t="s">
        <v>18</v>
      </c>
      <c r="E3106" s="46" t="s">
        <v>15</v>
      </c>
      <c r="F3106" s="48">
        <v>103.0</v>
      </c>
    </row>
    <row r="3107">
      <c r="A3107" s="46" t="s">
        <v>1259</v>
      </c>
      <c r="B3107" s="46" t="s">
        <v>6363</v>
      </c>
      <c r="C3107" s="46" t="s">
        <v>1292</v>
      </c>
      <c r="D3107" s="46" t="s">
        <v>18</v>
      </c>
      <c r="E3107" s="46" t="s">
        <v>14</v>
      </c>
      <c r="F3107" s="48">
        <v>98.8</v>
      </c>
    </row>
    <row r="3108">
      <c r="A3108" s="46" t="s">
        <v>1259</v>
      </c>
      <c r="B3108" s="46" t="s">
        <v>3797</v>
      </c>
      <c r="C3108" s="46" t="s">
        <v>1292</v>
      </c>
      <c r="D3108" s="46" t="s">
        <v>17</v>
      </c>
      <c r="E3108" s="46" t="s">
        <v>13</v>
      </c>
      <c r="F3108" s="48">
        <v>88.8</v>
      </c>
    </row>
    <row r="3109">
      <c r="A3109" s="46" t="s">
        <v>1259</v>
      </c>
      <c r="B3109" s="46" t="s">
        <v>6366</v>
      </c>
      <c r="C3109" s="46" t="s">
        <v>4855</v>
      </c>
      <c r="D3109" s="46" t="s">
        <v>17</v>
      </c>
      <c r="E3109" s="46" t="s">
        <v>13</v>
      </c>
      <c r="F3109" s="48">
        <v>87.1</v>
      </c>
    </row>
    <row r="3110">
      <c r="A3110" s="46" t="s">
        <v>1259</v>
      </c>
      <c r="B3110" s="46" t="s">
        <v>6368</v>
      </c>
      <c r="C3110" s="46" t="s">
        <v>6369</v>
      </c>
      <c r="D3110" s="46" t="s">
        <v>18</v>
      </c>
      <c r="E3110" s="46" t="s">
        <v>13</v>
      </c>
      <c r="F3110" s="48">
        <v>91.3</v>
      </c>
    </row>
    <row r="3111">
      <c r="A3111" s="46" t="s">
        <v>1259</v>
      </c>
      <c r="B3111" s="46" t="s">
        <v>6371</v>
      </c>
      <c r="C3111" s="46" t="s">
        <v>6372</v>
      </c>
      <c r="D3111" s="46" t="s">
        <v>18</v>
      </c>
      <c r="E3111" s="46" t="s">
        <v>14</v>
      </c>
      <c r="F3111" s="48">
        <v>88.6</v>
      </c>
    </row>
    <row r="3112">
      <c r="A3112" s="46" t="s">
        <v>1259</v>
      </c>
      <c r="B3112" s="46" t="s">
        <v>6374</v>
      </c>
      <c r="C3112" s="46" t="s">
        <v>1287</v>
      </c>
      <c r="D3112" s="46" t="s">
        <v>18</v>
      </c>
      <c r="E3112" s="46" t="s">
        <v>14</v>
      </c>
      <c r="F3112" s="48">
        <v>81.4</v>
      </c>
    </row>
    <row r="3113">
      <c r="A3113" s="46" t="s">
        <v>71</v>
      </c>
      <c r="B3113" s="46" t="s">
        <v>6376</v>
      </c>
      <c r="C3113" s="46" t="s">
        <v>1337</v>
      </c>
      <c r="D3113" s="46" t="s">
        <v>18</v>
      </c>
      <c r="E3113" s="46" t="s">
        <v>13</v>
      </c>
      <c r="F3113" s="48">
        <v>73.3</v>
      </c>
    </row>
    <row r="3114">
      <c r="A3114" s="46" t="s">
        <v>71</v>
      </c>
      <c r="B3114" s="46" t="s">
        <v>6378</v>
      </c>
      <c r="C3114" s="46" t="s">
        <v>1328</v>
      </c>
      <c r="D3114" s="46" t="s">
        <v>18</v>
      </c>
      <c r="E3114" s="46" t="s">
        <v>13</v>
      </c>
      <c r="F3114" s="48">
        <v>93.4</v>
      </c>
    </row>
    <row r="3115">
      <c r="A3115" s="46" t="s">
        <v>71</v>
      </c>
      <c r="B3115" s="46" t="s">
        <v>3392</v>
      </c>
      <c r="C3115" s="46" t="s">
        <v>3194</v>
      </c>
      <c r="D3115" s="46" t="s">
        <v>18</v>
      </c>
      <c r="E3115" s="46" t="s">
        <v>15</v>
      </c>
      <c r="F3115" s="48">
        <v>89.2</v>
      </c>
    </row>
    <row r="3116">
      <c r="A3116" s="46" t="s">
        <v>71</v>
      </c>
      <c r="B3116" s="46" t="s">
        <v>6402</v>
      </c>
      <c r="C3116" s="46" t="s">
        <v>3194</v>
      </c>
      <c r="D3116" s="46" t="s">
        <v>18</v>
      </c>
      <c r="E3116" s="46" t="s">
        <v>13</v>
      </c>
      <c r="F3116" s="48">
        <v>74.3</v>
      </c>
    </row>
    <row r="3117">
      <c r="A3117" s="46" t="s">
        <v>71</v>
      </c>
      <c r="B3117" s="46" t="s">
        <v>6404</v>
      </c>
      <c r="C3117" s="46" t="s">
        <v>1383</v>
      </c>
      <c r="D3117" s="46" t="s">
        <v>18</v>
      </c>
      <c r="E3117" s="46" t="s">
        <v>13</v>
      </c>
      <c r="F3117" s="48">
        <v>70.3</v>
      </c>
    </row>
    <row r="3118">
      <c r="A3118" s="46" t="s">
        <v>71</v>
      </c>
      <c r="B3118" s="46" t="s">
        <v>6406</v>
      </c>
      <c r="C3118" s="46" t="s">
        <v>6407</v>
      </c>
      <c r="D3118" s="46" t="s">
        <v>18</v>
      </c>
      <c r="E3118" s="46" t="s">
        <v>13</v>
      </c>
      <c r="F3118" s="48">
        <v>76.9</v>
      </c>
    </row>
    <row r="3119">
      <c r="A3119" s="46" t="s">
        <v>71</v>
      </c>
      <c r="B3119" s="46" t="s">
        <v>6409</v>
      </c>
      <c r="C3119" s="46" t="s">
        <v>1353</v>
      </c>
      <c r="D3119" s="46" t="s">
        <v>17</v>
      </c>
      <c r="E3119" s="46" t="s">
        <v>13</v>
      </c>
      <c r="F3119" s="48">
        <v>93.0</v>
      </c>
    </row>
    <row r="3120">
      <c r="A3120" s="46" t="s">
        <v>71</v>
      </c>
      <c r="B3120" s="46" t="s">
        <v>1526</v>
      </c>
      <c r="C3120" s="46" t="s">
        <v>1356</v>
      </c>
      <c r="D3120" s="46" t="s">
        <v>17</v>
      </c>
      <c r="E3120" s="46" t="s">
        <v>13</v>
      </c>
      <c r="F3120" s="48">
        <v>97.5</v>
      </c>
    </row>
    <row r="3121">
      <c r="A3121" s="46" t="s">
        <v>71</v>
      </c>
      <c r="B3121" s="46" t="s">
        <v>3672</v>
      </c>
      <c r="C3121" s="46" t="s">
        <v>3217</v>
      </c>
      <c r="D3121" s="46" t="s">
        <v>18</v>
      </c>
      <c r="E3121" s="46" t="s">
        <v>15</v>
      </c>
      <c r="F3121" s="48">
        <v>102.8</v>
      </c>
    </row>
    <row r="3122">
      <c r="A3122" s="46" t="s">
        <v>393</v>
      </c>
      <c r="B3122" s="46" t="s">
        <v>6413</v>
      </c>
      <c r="C3122" s="46" t="s">
        <v>1389</v>
      </c>
      <c r="D3122" s="46" t="s">
        <v>18</v>
      </c>
      <c r="E3122" s="46" t="s">
        <v>13</v>
      </c>
      <c r="F3122" s="48">
        <v>86.2</v>
      </c>
    </row>
    <row r="3123">
      <c r="A3123" s="46" t="s">
        <v>393</v>
      </c>
      <c r="B3123" s="46" t="s">
        <v>6415</v>
      </c>
      <c r="C3123" s="46" t="s">
        <v>6416</v>
      </c>
      <c r="D3123" s="46" t="s">
        <v>18</v>
      </c>
      <c r="E3123" s="46" t="s">
        <v>14</v>
      </c>
      <c r="F3123" s="48">
        <v>96.2</v>
      </c>
    </row>
    <row r="3124">
      <c r="A3124" s="46" t="s">
        <v>333</v>
      </c>
      <c r="B3124" s="46" t="s">
        <v>6425</v>
      </c>
      <c r="C3124" s="46" t="s">
        <v>3251</v>
      </c>
      <c r="D3124" s="46" t="s">
        <v>18</v>
      </c>
      <c r="E3124" s="46" t="s">
        <v>13</v>
      </c>
      <c r="F3124" s="48">
        <v>80.7</v>
      </c>
    </row>
    <row r="3125">
      <c r="A3125" s="46" t="s">
        <v>333</v>
      </c>
      <c r="B3125" s="46" t="s">
        <v>6427</v>
      </c>
      <c r="C3125" s="46" t="s">
        <v>6428</v>
      </c>
      <c r="D3125" s="46" t="s">
        <v>18</v>
      </c>
      <c r="E3125" s="46" t="s">
        <v>13</v>
      </c>
      <c r="F3125" s="48">
        <v>80.1</v>
      </c>
    </row>
    <row r="3126">
      <c r="A3126" s="46" t="s">
        <v>333</v>
      </c>
      <c r="B3126" s="46" t="s">
        <v>6432</v>
      </c>
      <c r="C3126" s="46" t="s">
        <v>3254</v>
      </c>
      <c r="D3126" s="46" t="s">
        <v>17</v>
      </c>
      <c r="E3126" s="46" t="s">
        <v>14</v>
      </c>
      <c r="F3126" s="48">
        <v>102.3</v>
      </c>
    </row>
    <row r="3127">
      <c r="A3127" s="46" t="s">
        <v>779</v>
      </c>
      <c r="B3127" s="46" t="s">
        <v>6436</v>
      </c>
      <c r="C3127" s="46" t="s">
        <v>1403</v>
      </c>
      <c r="D3127" s="46" t="s">
        <v>17</v>
      </c>
      <c r="E3127" s="46" t="s">
        <v>14</v>
      </c>
      <c r="F3127" s="48">
        <v>98.4</v>
      </c>
    </row>
    <row r="3128">
      <c r="A3128" s="46" t="s">
        <v>161</v>
      </c>
      <c r="B3128" s="46" t="s">
        <v>595</v>
      </c>
      <c r="C3128" s="46" t="s">
        <v>3285</v>
      </c>
      <c r="D3128" s="46" t="s">
        <v>17</v>
      </c>
      <c r="E3128" s="46" t="s">
        <v>13</v>
      </c>
      <c r="F3128" s="48">
        <v>86.3</v>
      </c>
    </row>
    <row r="3129">
      <c r="A3129" s="46" t="s">
        <v>161</v>
      </c>
      <c r="B3129" s="46" t="s">
        <v>6454</v>
      </c>
      <c r="C3129" s="46" t="s">
        <v>6455</v>
      </c>
      <c r="D3129" s="46" t="s">
        <v>18</v>
      </c>
      <c r="E3129" s="46" t="s">
        <v>14</v>
      </c>
      <c r="F3129" s="48">
        <v>99.5</v>
      </c>
    </row>
    <row r="3130">
      <c r="A3130" s="46" t="s">
        <v>161</v>
      </c>
      <c r="B3130" s="46" t="s">
        <v>6464</v>
      </c>
      <c r="C3130" s="46" t="s">
        <v>6455</v>
      </c>
      <c r="D3130" s="46" t="s">
        <v>17</v>
      </c>
      <c r="E3130" s="46" t="s">
        <v>14</v>
      </c>
      <c r="F3130" s="48">
        <v>101.2</v>
      </c>
    </row>
    <row r="3131">
      <c r="A3131" s="46" t="s">
        <v>161</v>
      </c>
      <c r="B3131" s="46" t="s">
        <v>6466</v>
      </c>
      <c r="C3131" s="46" t="s">
        <v>6462</v>
      </c>
      <c r="D3131" s="46" t="s">
        <v>17</v>
      </c>
      <c r="E3131" s="46" t="s">
        <v>13</v>
      </c>
      <c r="F3131" s="48">
        <v>97.2</v>
      </c>
    </row>
    <row r="3132">
      <c r="A3132" s="46" t="s">
        <v>161</v>
      </c>
      <c r="B3132" s="46" t="s">
        <v>595</v>
      </c>
      <c r="C3132" s="46" t="s">
        <v>1428</v>
      </c>
      <c r="D3132" s="46" t="s">
        <v>17</v>
      </c>
      <c r="E3132" s="46" t="s">
        <v>13</v>
      </c>
      <c r="F3132" s="48">
        <v>92.2</v>
      </c>
    </row>
    <row r="3133">
      <c r="A3133" s="46" t="s">
        <v>1441</v>
      </c>
      <c r="B3133" s="46" t="s">
        <v>6471</v>
      </c>
      <c r="C3133" s="46" t="s">
        <v>3362</v>
      </c>
      <c r="D3133" s="46" t="s">
        <v>18</v>
      </c>
      <c r="E3133" s="46" t="s">
        <v>14</v>
      </c>
      <c r="F3133" s="48">
        <v>93.9</v>
      </c>
    </row>
    <row r="3134">
      <c r="A3134" s="46" t="s">
        <v>1441</v>
      </c>
      <c r="B3134" s="46" t="s">
        <v>6473</v>
      </c>
      <c r="C3134" s="46" t="s">
        <v>1466</v>
      </c>
      <c r="D3134" s="46" t="s">
        <v>18</v>
      </c>
      <c r="E3134" s="46" t="s">
        <v>13</v>
      </c>
      <c r="F3134" s="48">
        <v>82.7</v>
      </c>
    </row>
    <row r="3135">
      <c r="A3135" s="46" t="s">
        <v>1441</v>
      </c>
      <c r="B3135" s="46" t="s">
        <v>6483</v>
      </c>
      <c r="C3135" s="46" t="s">
        <v>3331</v>
      </c>
      <c r="D3135" s="46" t="s">
        <v>18</v>
      </c>
      <c r="E3135" s="46" t="s">
        <v>14</v>
      </c>
      <c r="F3135" s="48">
        <v>87.5</v>
      </c>
    </row>
    <row r="3136">
      <c r="A3136" s="46" t="s">
        <v>1441</v>
      </c>
      <c r="B3136" s="46" t="s">
        <v>6491</v>
      </c>
      <c r="C3136" s="46" t="s">
        <v>1460</v>
      </c>
      <c r="D3136" s="46" t="s">
        <v>18</v>
      </c>
      <c r="E3136" s="46" t="s">
        <v>13</v>
      </c>
      <c r="F3136" s="48">
        <v>88.0</v>
      </c>
    </row>
    <row r="3137">
      <c r="A3137" s="46" t="s">
        <v>1441</v>
      </c>
      <c r="B3137" s="46" t="s">
        <v>6493</v>
      </c>
      <c r="C3137" s="46" t="s">
        <v>1477</v>
      </c>
      <c r="D3137" s="46" t="s">
        <v>18</v>
      </c>
      <c r="E3137" s="46" t="s">
        <v>13</v>
      </c>
      <c r="F3137" s="48">
        <v>86.8</v>
      </c>
    </row>
    <row r="3138">
      <c r="A3138" s="46" t="s">
        <v>1441</v>
      </c>
      <c r="B3138" s="46" t="s">
        <v>6495</v>
      </c>
      <c r="C3138" s="46" t="s">
        <v>1501</v>
      </c>
      <c r="D3138" s="46" t="s">
        <v>18</v>
      </c>
      <c r="E3138" s="46" t="s">
        <v>13</v>
      </c>
      <c r="F3138" s="48">
        <v>78.6</v>
      </c>
    </row>
    <row r="3139">
      <c r="A3139" s="46" t="s">
        <v>1441</v>
      </c>
      <c r="B3139" s="46" t="s">
        <v>6497</v>
      </c>
      <c r="C3139" s="46" t="s">
        <v>1488</v>
      </c>
      <c r="D3139" s="46" t="s">
        <v>18</v>
      </c>
      <c r="E3139" s="46" t="s">
        <v>13</v>
      </c>
      <c r="F3139" s="48">
        <v>81.6</v>
      </c>
    </row>
    <row r="3140">
      <c r="A3140" s="46" t="s">
        <v>1441</v>
      </c>
      <c r="B3140" s="46" t="s">
        <v>6499</v>
      </c>
      <c r="C3140" s="46" t="s">
        <v>1463</v>
      </c>
      <c r="D3140" s="46" t="s">
        <v>18</v>
      </c>
      <c r="E3140" s="46" t="s">
        <v>13</v>
      </c>
      <c r="F3140" s="48">
        <v>81.0</v>
      </c>
    </row>
    <row r="3141">
      <c r="A3141" s="46" t="s">
        <v>1441</v>
      </c>
      <c r="B3141" s="46" t="s">
        <v>6501</v>
      </c>
      <c r="C3141" s="46" t="s">
        <v>1471</v>
      </c>
      <c r="D3141" s="46" t="s">
        <v>18</v>
      </c>
      <c r="E3141" s="46" t="s">
        <v>13</v>
      </c>
      <c r="F3141" s="48">
        <v>74.4</v>
      </c>
    </row>
    <row r="3142">
      <c r="A3142" s="46" t="s">
        <v>1441</v>
      </c>
      <c r="B3142" s="46" t="s">
        <v>6503</v>
      </c>
      <c r="C3142" s="46" t="s">
        <v>3331</v>
      </c>
      <c r="D3142" s="46" t="s">
        <v>18</v>
      </c>
      <c r="E3142" s="46" t="s">
        <v>13</v>
      </c>
      <c r="F3142" s="48">
        <v>78.1</v>
      </c>
    </row>
    <row r="3143">
      <c r="A3143" s="46" t="s">
        <v>1441</v>
      </c>
      <c r="B3143" s="46" t="s">
        <v>6505</v>
      </c>
      <c r="C3143" s="46" t="s">
        <v>1469</v>
      </c>
      <c r="D3143" s="46" t="s">
        <v>18</v>
      </c>
      <c r="E3143" s="46" t="s">
        <v>13</v>
      </c>
      <c r="F3143" s="48">
        <v>77.3</v>
      </c>
    </row>
    <row r="3144">
      <c r="A3144" s="46" t="s">
        <v>1441</v>
      </c>
      <c r="B3144" s="46" t="s">
        <v>6519</v>
      </c>
      <c r="C3144" s="46" t="s">
        <v>1501</v>
      </c>
      <c r="D3144" s="46" t="s">
        <v>18</v>
      </c>
      <c r="E3144" s="46" t="s">
        <v>14</v>
      </c>
      <c r="F3144" s="48">
        <v>96.4</v>
      </c>
    </row>
    <row r="3145">
      <c r="A3145" s="46" t="s">
        <v>269</v>
      </c>
      <c r="B3145" s="46" t="s">
        <v>6532</v>
      </c>
      <c r="C3145" s="46" t="s">
        <v>6533</v>
      </c>
      <c r="D3145" s="46" t="s">
        <v>18</v>
      </c>
      <c r="E3145" s="46" t="s">
        <v>13</v>
      </c>
      <c r="F3145" s="48">
        <v>79.7</v>
      </c>
    </row>
    <row r="3146">
      <c r="A3146" s="46" t="s">
        <v>269</v>
      </c>
      <c r="B3146" s="46" t="s">
        <v>6540</v>
      </c>
      <c r="C3146" s="46" t="s">
        <v>1512</v>
      </c>
      <c r="D3146" s="46" t="s">
        <v>18</v>
      </c>
      <c r="E3146" s="46" t="s">
        <v>13</v>
      </c>
      <c r="F3146" s="48">
        <v>84.3</v>
      </c>
    </row>
    <row r="3147">
      <c r="A3147" s="46" t="s">
        <v>269</v>
      </c>
      <c r="B3147" s="46" t="s">
        <v>6547</v>
      </c>
      <c r="C3147" s="46" t="s">
        <v>1534</v>
      </c>
      <c r="D3147" s="46" t="s">
        <v>17</v>
      </c>
      <c r="E3147" s="46" t="s">
        <v>14</v>
      </c>
      <c r="F3147" s="48">
        <v>93.5</v>
      </c>
    </row>
    <row r="3148">
      <c r="A3148" s="46" t="s">
        <v>269</v>
      </c>
      <c r="B3148" s="46" t="s">
        <v>6554</v>
      </c>
      <c r="C3148" s="46" t="s">
        <v>6555</v>
      </c>
      <c r="D3148" s="46" t="s">
        <v>18</v>
      </c>
      <c r="E3148" s="46" t="s">
        <v>14</v>
      </c>
      <c r="F3148" s="48">
        <v>95.4</v>
      </c>
    </row>
    <row r="3149">
      <c r="A3149" s="46" t="s">
        <v>269</v>
      </c>
      <c r="B3149" s="46" t="s">
        <v>6557</v>
      </c>
      <c r="C3149" s="46" t="s">
        <v>1515</v>
      </c>
      <c r="D3149" s="46" t="s">
        <v>18</v>
      </c>
      <c r="E3149" s="46" t="s">
        <v>14</v>
      </c>
      <c r="F3149" s="48">
        <v>77.1</v>
      </c>
    </row>
    <row r="3150">
      <c r="A3150" s="46" t="s">
        <v>269</v>
      </c>
      <c r="B3150" s="46" t="s">
        <v>6559</v>
      </c>
      <c r="C3150" s="46" t="s">
        <v>6560</v>
      </c>
      <c r="D3150" s="46" t="s">
        <v>18</v>
      </c>
      <c r="E3150" s="46" t="s">
        <v>14</v>
      </c>
      <c r="F3150" s="48">
        <v>97.8</v>
      </c>
    </row>
    <row r="3151">
      <c r="A3151" s="46" t="s">
        <v>1545</v>
      </c>
      <c r="B3151" s="46" t="s">
        <v>6565</v>
      </c>
      <c r="C3151" s="46" t="s">
        <v>5045</v>
      </c>
      <c r="D3151" s="46" t="s">
        <v>18</v>
      </c>
      <c r="E3151" s="46" t="s">
        <v>14</v>
      </c>
      <c r="F3151" s="48">
        <v>97.0</v>
      </c>
    </row>
    <row r="3152">
      <c r="A3152" s="46" t="s">
        <v>1545</v>
      </c>
      <c r="B3152" s="46" t="s">
        <v>6567</v>
      </c>
      <c r="C3152" s="46" t="s">
        <v>6568</v>
      </c>
      <c r="D3152" s="46" t="s">
        <v>18</v>
      </c>
      <c r="E3152" s="46" t="s">
        <v>14</v>
      </c>
      <c r="F3152" s="48">
        <v>86.5</v>
      </c>
    </row>
    <row r="3153">
      <c r="A3153" s="46" t="s">
        <v>1545</v>
      </c>
      <c r="B3153" s="46" t="s">
        <v>6570</v>
      </c>
      <c r="C3153" s="46" t="s">
        <v>6571</v>
      </c>
      <c r="D3153" s="46" t="s">
        <v>18</v>
      </c>
      <c r="E3153" s="46" t="s">
        <v>14</v>
      </c>
      <c r="F3153" s="48">
        <v>100.5</v>
      </c>
    </row>
    <row r="3154">
      <c r="A3154" s="46" t="s">
        <v>1545</v>
      </c>
      <c r="B3154" s="46" t="s">
        <v>6583</v>
      </c>
      <c r="C3154" s="46" t="s">
        <v>6584</v>
      </c>
      <c r="D3154" s="46" t="s">
        <v>18</v>
      </c>
      <c r="E3154" s="46" t="s">
        <v>15</v>
      </c>
      <c r="F3154" s="48">
        <v>88.3</v>
      </c>
    </row>
    <row r="3155">
      <c r="A3155" s="46" t="s">
        <v>1545</v>
      </c>
      <c r="B3155" s="46" t="s">
        <v>6586</v>
      </c>
      <c r="C3155" s="46" t="s">
        <v>6587</v>
      </c>
      <c r="D3155" s="46" t="s">
        <v>18</v>
      </c>
      <c r="E3155" s="46" t="s">
        <v>13</v>
      </c>
      <c r="F3155" s="48">
        <v>95.8</v>
      </c>
    </row>
    <row r="3156">
      <c r="A3156" s="46" t="s">
        <v>1545</v>
      </c>
      <c r="B3156" s="46" t="s">
        <v>5146</v>
      </c>
      <c r="C3156" s="46" t="s">
        <v>3437</v>
      </c>
      <c r="D3156" s="46" t="s">
        <v>18</v>
      </c>
      <c r="E3156" s="46" t="s">
        <v>15</v>
      </c>
      <c r="F3156" s="48">
        <v>101.7</v>
      </c>
    </row>
    <row r="3157">
      <c r="A3157" s="46" t="s">
        <v>1545</v>
      </c>
      <c r="B3157" s="46" t="s">
        <v>6590</v>
      </c>
      <c r="C3157" s="46" t="s">
        <v>5055</v>
      </c>
      <c r="D3157" s="46" t="s">
        <v>18</v>
      </c>
      <c r="E3157" s="46" t="s">
        <v>14</v>
      </c>
      <c r="F3157" s="48">
        <v>92.6</v>
      </c>
    </row>
    <row r="3158">
      <c r="A3158" s="46" t="s">
        <v>1545</v>
      </c>
      <c r="B3158" s="46" t="s">
        <v>6594</v>
      </c>
      <c r="C3158" s="46" t="s">
        <v>6595</v>
      </c>
      <c r="D3158" s="46" t="s">
        <v>18</v>
      </c>
      <c r="E3158" s="46" t="s">
        <v>14</v>
      </c>
      <c r="F3158" s="48">
        <v>103.0</v>
      </c>
    </row>
    <row r="3159">
      <c r="A3159" s="46" t="s">
        <v>1579</v>
      </c>
      <c r="B3159" s="46" t="s">
        <v>5305</v>
      </c>
      <c r="C3159" s="46" t="s">
        <v>6609</v>
      </c>
      <c r="D3159" s="46" t="s">
        <v>18</v>
      </c>
      <c r="E3159" s="46" t="s">
        <v>14</v>
      </c>
      <c r="F3159" s="48">
        <v>103.7</v>
      </c>
    </row>
    <row r="3160">
      <c r="A3160" s="46" t="s">
        <v>1579</v>
      </c>
      <c r="B3160" s="46" t="s">
        <v>6611</v>
      </c>
      <c r="C3160" s="46" t="s">
        <v>3452</v>
      </c>
      <c r="D3160" s="46" t="s">
        <v>18</v>
      </c>
      <c r="E3160" s="46" t="s">
        <v>13</v>
      </c>
      <c r="F3160" s="48">
        <v>78.6</v>
      </c>
    </row>
    <row r="3161">
      <c r="A3161" s="46" t="s">
        <v>1579</v>
      </c>
      <c r="B3161" s="46" t="s">
        <v>6615</v>
      </c>
      <c r="C3161" s="46" t="s">
        <v>1592</v>
      </c>
      <c r="D3161" s="46" t="s">
        <v>18</v>
      </c>
      <c r="E3161" s="46" t="s">
        <v>14</v>
      </c>
      <c r="F3161" s="48">
        <v>101.0</v>
      </c>
    </row>
    <row r="3162">
      <c r="A3162" s="46" t="s">
        <v>1579</v>
      </c>
      <c r="B3162" s="46" t="s">
        <v>6619</v>
      </c>
      <c r="C3162" s="46" t="s">
        <v>1612</v>
      </c>
      <c r="D3162" s="46" t="s">
        <v>18</v>
      </c>
      <c r="E3162" s="46" t="s">
        <v>13</v>
      </c>
      <c r="F3162" s="48">
        <v>93.8</v>
      </c>
    </row>
    <row r="3163">
      <c r="A3163" s="46" t="s">
        <v>88</v>
      </c>
      <c r="B3163" s="46" t="s">
        <v>6637</v>
      </c>
      <c r="C3163" s="46" t="s">
        <v>6638</v>
      </c>
      <c r="D3163" s="46" t="s">
        <v>18</v>
      </c>
      <c r="E3163" s="46" t="s">
        <v>14</v>
      </c>
      <c r="F3163" s="48">
        <v>90.5</v>
      </c>
    </row>
    <row r="3164">
      <c r="A3164" s="46" t="s">
        <v>88</v>
      </c>
      <c r="B3164" s="46" t="s">
        <v>6640</v>
      </c>
      <c r="C3164" s="46" t="s">
        <v>88</v>
      </c>
      <c r="D3164" s="46" t="s">
        <v>18</v>
      </c>
      <c r="E3164" s="46" t="s">
        <v>14</v>
      </c>
      <c r="F3164" s="48">
        <v>86.9</v>
      </c>
    </row>
    <row r="3165">
      <c r="A3165" s="46" t="s">
        <v>88</v>
      </c>
      <c r="B3165" s="46" t="s">
        <v>6642</v>
      </c>
      <c r="C3165" s="46" t="s">
        <v>3488</v>
      </c>
      <c r="D3165" s="46" t="s">
        <v>17</v>
      </c>
      <c r="E3165" s="46" t="s">
        <v>13</v>
      </c>
      <c r="F3165" s="48">
        <v>95.8</v>
      </c>
    </row>
    <row r="3166">
      <c r="A3166" s="46" t="s">
        <v>88</v>
      </c>
      <c r="B3166" s="46" t="s">
        <v>6644</v>
      </c>
      <c r="C3166" s="46" t="s">
        <v>88</v>
      </c>
      <c r="D3166" s="46" t="s">
        <v>17</v>
      </c>
      <c r="E3166" s="46" t="s">
        <v>13</v>
      </c>
      <c r="F3166" s="48">
        <v>79.4</v>
      </c>
    </row>
    <row r="3167">
      <c r="A3167" s="46" t="s">
        <v>88</v>
      </c>
      <c r="B3167" s="46" t="s">
        <v>5111</v>
      </c>
      <c r="C3167" s="46" t="s">
        <v>1640</v>
      </c>
      <c r="D3167" s="46" t="s">
        <v>17</v>
      </c>
      <c r="E3167" s="46" t="s">
        <v>13</v>
      </c>
      <c r="F3167" s="48">
        <v>78.7</v>
      </c>
    </row>
    <row r="3168">
      <c r="A3168" s="46" t="s">
        <v>182</v>
      </c>
      <c r="B3168" s="46" t="s">
        <v>6648</v>
      </c>
      <c r="C3168" s="46" t="s">
        <v>6649</v>
      </c>
      <c r="D3168" s="46" t="s">
        <v>18</v>
      </c>
      <c r="E3168" s="46" t="s">
        <v>14</v>
      </c>
      <c r="F3168" s="48">
        <v>98.9</v>
      </c>
    </row>
    <row r="3169">
      <c r="A3169" s="46" t="s">
        <v>182</v>
      </c>
      <c r="B3169" s="46" t="s">
        <v>6657</v>
      </c>
      <c r="C3169" s="46" t="s">
        <v>1653</v>
      </c>
      <c r="D3169" s="46" t="s">
        <v>17</v>
      </c>
      <c r="E3169" s="46" t="s">
        <v>13</v>
      </c>
      <c r="F3169" s="48">
        <v>93.4</v>
      </c>
    </row>
    <row r="3170">
      <c r="A3170" s="46" t="s">
        <v>182</v>
      </c>
      <c r="B3170" s="46" t="s">
        <v>6659</v>
      </c>
      <c r="C3170" s="46" t="s">
        <v>1659</v>
      </c>
      <c r="D3170" s="46" t="s">
        <v>17</v>
      </c>
      <c r="E3170" s="46" t="s">
        <v>13</v>
      </c>
      <c r="F3170" s="48">
        <v>94.7</v>
      </c>
    </row>
    <row r="3171">
      <c r="A3171" s="46" t="s">
        <v>182</v>
      </c>
      <c r="B3171" s="46" t="s">
        <v>6661</v>
      </c>
      <c r="C3171" s="46" t="s">
        <v>1659</v>
      </c>
      <c r="D3171" s="46" t="s">
        <v>17</v>
      </c>
      <c r="E3171" s="46" t="s">
        <v>13</v>
      </c>
      <c r="F3171" s="48">
        <v>90.8</v>
      </c>
    </row>
    <row r="3172">
      <c r="A3172" s="46" t="s">
        <v>134</v>
      </c>
      <c r="B3172" s="46" t="s">
        <v>3135</v>
      </c>
      <c r="C3172" s="46" t="s">
        <v>1680</v>
      </c>
      <c r="D3172" s="46" t="s">
        <v>18</v>
      </c>
      <c r="E3172" s="46" t="s">
        <v>13</v>
      </c>
      <c r="F3172" s="48">
        <v>86.2</v>
      </c>
    </row>
    <row r="3173">
      <c r="A3173" s="46" t="s">
        <v>129</v>
      </c>
      <c r="B3173" s="46" t="s">
        <v>167</v>
      </c>
      <c r="C3173" s="46" t="s">
        <v>6674</v>
      </c>
      <c r="D3173" s="46" t="s">
        <v>18</v>
      </c>
      <c r="E3173" s="46" t="s">
        <v>14</v>
      </c>
      <c r="F3173" s="48">
        <v>103.2</v>
      </c>
    </row>
    <row r="3174">
      <c r="A3174" s="46" t="s">
        <v>129</v>
      </c>
      <c r="B3174" s="46" t="s">
        <v>6678</v>
      </c>
      <c r="C3174" s="46" t="s">
        <v>1707</v>
      </c>
      <c r="D3174" s="46" t="s">
        <v>18</v>
      </c>
      <c r="E3174" s="46" t="s">
        <v>15</v>
      </c>
      <c r="F3174" s="48">
        <v>81.0</v>
      </c>
    </row>
    <row r="3175">
      <c r="A3175" s="46" t="s">
        <v>129</v>
      </c>
      <c r="B3175" s="46" t="s">
        <v>6680</v>
      </c>
      <c r="C3175" s="46" t="s">
        <v>3546</v>
      </c>
      <c r="D3175" s="46" t="s">
        <v>18</v>
      </c>
      <c r="E3175" s="46" t="s">
        <v>13</v>
      </c>
      <c r="F3175" s="48">
        <v>77.2</v>
      </c>
    </row>
    <row r="3176">
      <c r="A3176" s="46" t="s">
        <v>129</v>
      </c>
      <c r="B3176" s="46" t="s">
        <v>6685</v>
      </c>
      <c r="C3176" s="46" t="s">
        <v>3546</v>
      </c>
      <c r="D3176" s="46" t="s">
        <v>18</v>
      </c>
      <c r="E3176" s="46" t="s">
        <v>13</v>
      </c>
      <c r="F3176" s="48">
        <v>88.1</v>
      </c>
    </row>
    <row r="3177">
      <c r="A3177" s="46" t="s">
        <v>129</v>
      </c>
      <c r="B3177" s="46" t="s">
        <v>6687</v>
      </c>
      <c r="C3177" s="46" t="s">
        <v>6688</v>
      </c>
      <c r="D3177" s="46" t="s">
        <v>18</v>
      </c>
      <c r="E3177" s="46" t="s">
        <v>13</v>
      </c>
      <c r="F3177" s="48">
        <v>79.5</v>
      </c>
    </row>
    <row r="3178">
      <c r="A3178" s="46" t="s">
        <v>129</v>
      </c>
      <c r="B3178" s="46" t="s">
        <v>6693</v>
      </c>
      <c r="C3178" s="46" t="s">
        <v>6694</v>
      </c>
      <c r="D3178" s="46" t="s">
        <v>17</v>
      </c>
      <c r="E3178" s="46" t="s">
        <v>15</v>
      </c>
      <c r="F3178" s="48">
        <v>101.8</v>
      </c>
    </row>
    <row r="3179">
      <c r="A3179" s="46" t="s">
        <v>779</v>
      </c>
      <c r="B3179" s="46" t="s">
        <v>6696</v>
      </c>
      <c r="C3179" s="46" t="s">
        <v>1725</v>
      </c>
      <c r="D3179" s="46" t="s">
        <v>18</v>
      </c>
      <c r="E3179" s="46" t="s">
        <v>14</v>
      </c>
      <c r="F3179" s="48">
        <v>103.4</v>
      </c>
    </row>
    <row r="3180">
      <c r="A3180" s="46" t="s">
        <v>779</v>
      </c>
      <c r="B3180" s="46" t="s">
        <v>1379</v>
      </c>
      <c r="C3180" s="46" t="s">
        <v>3567</v>
      </c>
      <c r="D3180" s="46" t="s">
        <v>18</v>
      </c>
      <c r="E3180" s="46" t="s">
        <v>14</v>
      </c>
      <c r="F3180" s="48">
        <v>102.0</v>
      </c>
    </row>
    <row r="3181">
      <c r="A3181" s="46" t="s">
        <v>284</v>
      </c>
      <c r="B3181" s="46" t="s">
        <v>6702</v>
      </c>
      <c r="C3181" s="46" t="s">
        <v>3575</v>
      </c>
      <c r="D3181" s="46" t="s">
        <v>18</v>
      </c>
      <c r="E3181" s="46" t="s">
        <v>13</v>
      </c>
      <c r="F3181" s="48">
        <v>83.2</v>
      </c>
    </row>
    <row r="3182">
      <c r="A3182" s="46" t="s">
        <v>322</v>
      </c>
      <c r="B3182" s="46" t="s">
        <v>6706</v>
      </c>
      <c r="C3182" s="46" t="s">
        <v>6707</v>
      </c>
      <c r="D3182" s="46" t="s">
        <v>18</v>
      </c>
      <c r="E3182" s="46" t="s">
        <v>15</v>
      </c>
      <c r="F3182" s="48">
        <v>103.9</v>
      </c>
    </row>
    <row r="3183">
      <c r="A3183" s="46" t="s">
        <v>322</v>
      </c>
      <c r="B3183" s="46" t="s">
        <v>6716</v>
      </c>
      <c r="C3183" s="46" t="s">
        <v>5179</v>
      </c>
      <c r="D3183" s="46" t="s">
        <v>18</v>
      </c>
      <c r="E3183" s="46" t="s">
        <v>13</v>
      </c>
      <c r="F3183" s="48">
        <v>72.0</v>
      </c>
    </row>
    <row r="3184">
      <c r="A3184" s="46" t="s">
        <v>322</v>
      </c>
      <c r="B3184" s="46" t="s">
        <v>6718</v>
      </c>
      <c r="C3184" s="46" t="s">
        <v>322</v>
      </c>
      <c r="D3184" s="46" t="s">
        <v>18</v>
      </c>
      <c r="E3184" s="46" t="s">
        <v>13</v>
      </c>
      <c r="F3184" s="48">
        <v>75.1</v>
      </c>
    </row>
    <row r="3185">
      <c r="A3185" s="46" t="s">
        <v>322</v>
      </c>
      <c r="B3185" s="46" t="s">
        <v>6722</v>
      </c>
      <c r="C3185" s="46" t="s">
        <v>322</v>
      </c>
      <c r="D3185" s="46" t="s">
        <v>18</v>
      </c>
      <c r="E3185" s="46" t="s">
        <v>13</v>
      </c>
      <c r="F3185" s="48">
        <v>85.1</v>
      </c>
    </row>
    <row r="3186">
      <c r="A3186" s="46" t="s">
        <v>930</v>
      </c>
      <c r="B3186" s="46" t="s">
        <v>6726</v>
      </c>
      <c r="C3186" s="46" t="s">
        <v>6727</v>
      </c>
      <c r="D3186" s="46" t="s">
        <v>18</v>
      </c>
      <c r="E3186" s="46" t="s">
        <v>13</v>
      </c>
      <c r="F3186" s="48">
        <v>92.4</v>
      </c>
    </row>
    <row r="3187">
      <c r="A3187" s="46" t="s">
        <v>930</v>
      </c>
      <c r="B3187" s="46" t="s">
        <v>6731</v>
      </c>
      <c r="C3187" s="46" t="s">
        <v>1748</v>
      </c>
      <c r="D3187" s="46" t="s">
        <v>18</v>
      </c>
      <c r="E3187" s="46" t="s">
        <v>15</v>
      </c>
      <c r="F3187" s="48">
        <v>102.6</v>
      </c>
    </row>
    <row r="3188">
      <c r="A3188" s="46" t="s">
        <v>930</v>
      </c>
      <c r="B3188" s="46" t="s">
        <v>6733</v>
      </c>
      <c r="C3188" s="46" t="s">
        <v>1748</v>
      </c>
      <c r="D3188" s="46" t="s">
        <v>18</v>
      </c>
      <c r="E3188" s="46" t="s">
        <v>13</v>
      </c>
      <c r="F3188" s="48">
        <v>76.7</v>
      </c>
    </row>
    <row r="3189">
      <c r="A3189" s="46" t="s">
        <v>930</v>
      </c>
      <c r="B3189" s="46" t="s">
        <v>6737</v>
      </c>
      <c r="C3189" s="46" t="s">
        <v>1762</v>
      </c>
      <c r="D3189" s="46" t="s">
        <v>18</v>
      </c>
      <c r="E3189" s="46" t="s">
        <v>13</v>
      </c>
      <c r="F3189" s="48">
        <v>87.0</v>
      </c>
    </row>
    <row r="3190">
      <c r="A3190" s="46" t="s">
        <v>930</v>
      </c>
      <c r="B3190" s="46" t="s">
        <v>6739</v>
      </c>
      <c r="C3190" s="46" t="s">
        <v>3594</v>
      </c>
      <c r="D3190" s="46" t="s">
        <v>17</v>
      </c>
      <c r="E3190" s="46" t="s">
        <v>13</v>
      </c>
      <c r="F3190" s="48">
        <v>99.5</v>
      </c>
    </row>
    <row r="3191">
      <c r="A3191" s="46" t="s">
        <v>1579</v>
      </c>
      <c r="B3191" s="46" t="s">
        <v>6747</v>
      </c>
      <c r="C3191" s="46" t="s">
        <v>6748</v>
      </c>
      <c r="D3191" s="46" t="s">
        <v>18</v>
      </c>
      <c r="E3191" s="46" t="s">
        <v>13</v>
      </c>
      <c r="F3191" s="48">
        <v>85.4</v>
      </c>
    </row>
    <row r="3192">
      <c r="A3192" s="46" t="s">
        <v>1579</v>
      </c>
      <c r="B3192" s="46" t="s">
        <v>6750</v>
      </c>
      <c r="C3192" s="46" t="s">
        <v>1804</v>
      </c>
      <c r="D3192" s="46" t="s">
        <v>18</v>
      </c>
      <c r="E3192" s="46" t="s">
        <v>13</v>
      </c>
      <c r="F3192" s="48">
        <v>79.7</v>
      </c>
    </row>
    <row r="3193">
      <c r="A3193" s="46" t="s">
        <v>1579</v>
      </c>
      <c r="B3193" s="46" t="s">
        <v>6755</v>
      </c>
      <c r="C3193" s="46" t="s">
        <v>3615</v>
      </c>
      <c r="D3193" s="46" t="s">
        <v>18</v>
      </c>
      <c r="E3193" s="46" t="s">
        <v>13</v>
      </c>
      <c r="F3193" s="48">
        <v>88.8</v>
      </c>
    </row>
    <row r="3194">
      <c r="A3194" s="46" t="s">
        <v>1579</v>
      </c>
      <c r="B3194" s="46" t="s">
        <v>1279</v>
      </c>
      <c r="C3194" s="46" t="s">
        <v>6759</v>
      </c>
      <c r="D3194" s="46" t="s">
        <v>18</v>
      </c>
      <c r="E3194" s="46" t="s">
        <v>14</v>
      </c>
      <c r="F3194" s="48">
        <v>100.0</v>
      </c>
    </row>
    <row r="3195">
      <c r="A3195" s="46" t="s">
        <v>1579</v>
      </c>
      <c r="B3195" s="46" t="s">
        <v>6767</v>
      </c>
      <c r="C3195" s="46" t="s">
        <v>1845</v>
      </c>
      <c r="D3195" s="46" t="s">
        <v>18</v>
      </c>
      <c r="E3195" s="46" t="s">
        <v>14</v>
      </c>
      <c r="F3195" s="48">
        <v>91.0</v>
      </c>
    </row>
    <row r="3196">
      <c r="A3196" s="46" t="s">
        <v>1579</v>
      </c>
      <c r="B3196" s="46" t="s">
        <v>6773</v>
      </c>
      <c r="C3196" s="46" t="s">
        <v>1821</v>
      </c>
      <c r="D3196" s="46" t="s">
        <v>18</v>
      </c>
      <c r="E3196" s="46" t="s">
        <v>13</v>
      </c>
      <c r="F3196" s="48">
        <v>87.3</v>
      </c>
    </row>
    <row r="3197">
      <c r="A3197" s="46" t="s">
        <v>1579</v>
      </c>
      <c r="B3197" s="46" t="s">
        <v>1631</v>
      </c>
      <c r="C3197" s="46" t="s">
        <v>3648</v>
      </c>
      <c r="D3197" s="46" t="s">
        <v>18</v>
      </c>
      <c r="E3197" s="46" t="s">
        <v>13</v>
      </c>
      <c r="F3197" s="48">
        <v>90.0</v>
      </c>
    </row>
    <row r="3198">
      <c r="A3198" s="46" t="s">
        <v>1579</v>
      </c>
      <c r="B3198" s="46" t="s">
        <v>6787</v>
      </c>
      <c r="C3198" s="46" t="s">
        <v>1832</v>
      </c>
      <c r="D3198" s="46" t="s">
        <v>17</v>
      </c>
      <c r="E3198" s="46" t="s">
        <v>13</v>
      </c>
      <c r="F3198" s="48">
        <v>93.4</v>
      </c>
    </row>
    <row r="3199">
      <c r="A3199" s="46" t="s">
        <v>1579</v>
      </c>
      <c r="B3199" s="46" t="s">
        <v>6789</v>
      </c>
      <c r="C3199" s="46" t="s">
        <v>1839</v>
      </c>
      <c r="D3199" s="46" t="s">
        <v>18</v>
      </c>
      <c r="E3199" s="46" t="s">
        <v>13</v>
      </c>
      <c r="F3199" s="48">
        <v>77.4</v>
      </c>
    </row>
    <row r="3200">
      <c r="A3200" s="46" t="s">
        <v>1579</v>
      </c>
      <c r="B3200" s="46" t="s">
        <v>6791</v>
      </c>
      <c r="C3200" s="46" t="s">
        <v>1848</v>
      </c>
      <c r="D3200" s="46" t="s">
        <v>18</v>
      </c>
      <c r="E3200" s="46" t="s">
        <v>13</v>
      </c>
      <c r="F3200" s="48">
        <v>79.6</v>
      </c>
    </row>
    <row r="3201">
      <c r="A3201" s="46" t="s">
        <v>1579</v>
      </c>
      <c r="B3201" s="46" t="s">
        <v>6793</v>
      </c>
      <c r="C3201" s="46" t="s">
        <v>3651</v>
      </c>
      <c r="D3201" s="46" t="s">
        <v>18</v>
      </c>
      <c r="E3201" s="46" t="s">
        <v>14</v>
      </c>
      <c r="F3201" s="48">
        <v>94.8</v>
      </c>
    </row>
    <row r="3202">
      <c r="A3202" s="46" t="s">
        <v>1545</v>
      </c>
      <c r="B3202" s="46" t="s">
        <v>6795</v>
      </c>
      <c r="C3202" s="46" t="s">
        <v>1891</v>
      </c>
      <c r="D3202" s="46" t="s">
        <v>18</v>
      </c>
      <c r="E3202" s="46" t="s">
        <v>14</v>
      </c>
      <c r="F3202" s="48">
        <v>82.3</v>
      </c>
    </row>
    <row r="3203">
      <c r="A3203" s="46" t="s">
        <v>1545</v>
      </c>
      <c r="B3203" s="46" t="s">
        <v>6797</v>
      </c>
      <c r="C3203" s="46" t="s">
        <v>6798</v>
      </c>
      <c r="D3203" s="46" t="s">
        <v>18</v>
      </c>
      <c r="E3203" s="46" t="s">
        <v>15</v>
      </c>
      <c r="F3203" s="48">
        <v>82.6</v>
      </c>
    </row>
    <row r="3204">
      <c r="A3204" s="46" t="s">
        <v>1545</v>
      </c>
      <c r="B3204" s="46" t="s">
        <v>6800</v>
      </c>
      <c r="C3204" s="46" t="s">
        <v>6801</v>
      </c>
      <c r="D3204" s="46" t="s">
        <v>18</v>
      </c>
      <c r="E3204" s="46" t="s">
        <v>15</v>
      </c>
      <c r="F3204" s="48">
        <v>92.2</v>
      </c>
    </row>
    <row r="3205">
      <c r="A3205" s="46" t="s">
        <v>1545</v>
      </c>
      <c r="B3205" s="46" t="s">
        <v>6803</v>
      </c>
      <c r="C3205" s="46" t="s">
        <v>6804</v>
      </c>
      <c r="D3205" s="46" t="s">
        <v>18</v>
      </c>
      <c r="E3205" s="46" t="s">
        <v>14</v>
      </c>
      <c r="F3205" s="48">
        <v>91.5</v>
      </c>
    </row>
    <row r="3206">
      <c r="A3206" s="46" t="s">
        <v>1545</v>
      </c>
      <c r="B3206" s="46" t="s">
        <v>6808</v>
      </c>
      <c r="C3206" s="46" t="s">
        <v>3670</v>
      </c>
      <c r="D3206" s="46" t="s">
        <v>18</v>
      </c>
      <c r="E3206" s="46" t="s">
        <v>13</v>
      </c>
      <c r="F3206" s="48">
        <v>77.8</v>
      </c>
    </row>
    <row r="3207">
      <c r="A3207" s="46" t="s">
        <v>1545</v>
      </c>
      <c r="B3207" s="46" t="s">
        <v>6810</v>
      </c>
      <c r="C3207" s="46" t="s">
        <v>6801</v>
      </c>
      <c r="D3207" s="46" t="s">
        <v>18</v>
      </c>
      <c r="E3207" s="46" t="s">
        <v>14</v>
      </c>
      <c r="F3207" s="48">
        <v>74.6</v>
      </c>
    </row>
    <row r="3208">
      <c r="A3208" s="46" t="s">
        <v>1545</v>
      </c>
      <c r="B3208" s="46" t="s">
        <v>6812</v>
      </c>
      <c r="C3208" s="46" t="s">
        <v>6813</v>
      </c>
      <c r="D3208" s="46" t="s">
        <v>18</v>
      </c>
      <c r="E3208" s="46" t="s">
        <v>14</v>
      </c>
      <c r="F3208" s="48">
        <v>83.4</v>
      </c>
    </row>
    <row r="3209">
      <c r="A3209" s="46" t="s">
        <v>1545</v>
      </c>
      <c r="B3209" s="46" t="s">
        <v>6817</v>
      </c>
      <c r="C3209" s="46" t="s">
        <v>6818</v>
      </c>
      <c r="D3209" s="46" t="s">
        <v>18</v>
      </c>
      <c r="E3209" s="46" t="s">
        <v>13</v>
      </c>
      <c r="F3209" s="48">
        <v>78.8</v>
      </c>
    </row>
    <row r="3210">
      <c r="A3210" s="46" t="s">
        <v>1545</v>
      </c>
      <c r="B3210" s="46" t="s">
        <v>6820</v>
      </c>
      <c r="C3210" s="46" t="s">
        <v>1866</v>
      </c>
      <c r="D3210" s="46" t="s">
        <v>18</v>
      </c>
      <c r="E3210" s="46" t="s">
        <v>13</v>
      </c>
      <c r="F3210" s="48">
        <v>83.4</v>
      </c>
    </row>
    <row r="3211">
      <c r="A3211" s="46" t="s">
        <v>1545</v>
      </c>
      <c r="B3211" s="46" t="s">
        <v>6828</v>
      </c>
      <c r="C3211" s="46" t="s">
        <v>6829</v>
      </c>
      <c r="D3211" s="46" t="s">
        <v>18</v>
      </c>
      <c r="E3211" s="46" t="s">
        <v>14</v>
      </c>
      <c r="F3211" s="48">
        <v>76.1</v>
      </c>
    </row>
    <row r="3212">
      <c r="A3212" s="46" t="s">
        <v>1545</v>
      </c>
      <c r="B3212" s="46" t="s">
        <v>6831</v>
      </c>
      <c r="C3212" s="46" t="s">
        <v>5271</v>
      </c>
      <c r="D3212" s="46" t="s">
        <v>18</v>
      </c>
      <c r="E3212" s="46" t="s">
        <v>15</v>
      </c>
      <c r="F3212" s="48">
        <v>85.0</v>
      </c>
    </row>
    <row r="3213">
      <c r="A3213" s="46" t="s">
        <v>1545</v>
      </c>
      <c r="B3213" s="46" t="s">
        <v>6833</v>
      </c>
      <c r="C3213" s="46" t="s">
        <v>6834</v>
      </c>
      <c r="D3213" s="46" t="s">
        <v>18</v>
      </c>
      <c r="E3213" s="46" t="s">
        <v>14</v>
      </c>
      <c r="F3213" s="48">
        <v>96.1</v>
      </c>
    </row>
    <row r="3214">
      <c r="A3214" s="46" t="s">
        <v>1545</v>
      </c>
      <c r="B3214" s="46" t="s">
        <v>6836</v>
      </c>
      <c r="C3214" s="46" t="s">
        <v>6804</v>
      </c>
      <c r="D3214" s="46" t="s">
        <v>18</v>
      </c>
      <c r="E3214" s="46" t="s">
        <v>14</v>
      </c>
      <c r="F3214" s="48">
        <v>77.0</v>
      </c>
    </row>
    <row r="3215">
      <c r="A3215" s="46" t="s">
        <v>1545</v>
      </c>
      <c r="B3215" s="46" t="s">
        <v>6838</v>
      </c>
      <c r="C3215" s="46" t="s">
        <v>1866</v>
      </c>
      <c r="D3215" s="46" t="s">
        <v>18</v>
      </c>
      <c r="E3215" s="46" t="s">
        <v>14</v>
      </c>
      <c r="F3215" s="48">
        <v>77.3</v>
      </c>
    </row>
    <row r="3216">
      <c r="A3216" s="46" t="s">
        <v>1545</v>
      </c>
      <c r="B3216" s="46" t="s">
        <v>6840</v>
      </c>
      <c r="C3216" s="46" t="s">
        <v>1891</v>
      </c>
      <c r="D3216" s="46" t="s">
        <v>18</v>
      </c>
      <c r="E3216" s="46" t="s">
        <v>14</v>
      </c>
      <c r="F3216" s="48">
        <v>81.2</v>
      </c>
    </row>
    <row r="3217">
      <c r="A3217" s="46" t="s">
        <v>1545</v>
      </c>
      <c r="B3217" s="46" t="s">
        <v>6842</v>
      </c>
      <c r="C3217" s="46" t="s">
        <v>3670</v>
      </c>
      <c r="D3217" s="46" t="s">
        <v>18</v>
      </c>
      <c r="E3217" s="46" t="s">
        <v>14</v>
      </c>
      <c r="F3217" s="48">
        <v>79.0</v>
      </c>
    </row>
    <row r="3218">
      <c r="A3218" s="46" t="s">
        <v>1545</v>
      </c>
      <c r="B3218" s="46" t="s">
        <v>391</v>
      </c>
      <c r="C3218" s="46" t="s">
        <v>1545</v>
      </c>
      <c r="D3218" s="46" t="s">
        <v>18</v>
      </c>
      <c r="E3218" s="46" t="s">
        <v>14</v>
      </c>
      <c r="F3218" s="48">
        <v>91.6</v>
      </c>
    </row>
    <row r="3219">
      <c r="A3219" s="46" t="s">
        <v>1545</v>
      </c>
      <c r="B3219" s="46" t="s">
        <v>6857</v>
      </c>
      <c r="C3219" s="46" t="s">
        <v>1545</v>
      </c>
      <c r="D3219" s="46" t="s">
        <v>18</v>
      </c>
      <c r="E3219" s="46" t="s">
        <v>14</v>
      </c>
      <c r="F3219" s="48">
        <v>91.1</v>
      </c>
    </row>
    <row r="3220">
      <c r="A3220" s="46" t="s">
        <v>1545</v>
      </c>
      <c r="B3220" s="46" t="s">
        <v>1003</v>
      </c>
      <c r="C3220" s="46" t="s">
        <v>1918</v>
      </c>
      <c r="D3220" s="46" t="s">
        <v>18</v>
      </c>
      <c r="E3220" s="46" t="s">
        <v>13</v>
      </c>
      <c r="F3220" s="48">
        <v>77.5</v>
      </c>
    </row>
    <row r="3221">
      <c r="A3221" s="46" t="s">
        <v>1545</v>
      </c>
      <c r="B3221" s="46" t="s">
        <v>6860</v>
      </c>
      <c r="C3221" s="46" t="s">
        <v>6861</v>
      </c>
      <c r="D3221" s="46" t="s">
        <v>18</v>
      </c>
      <c r="E3221" s="46" t="s">
        <v>13</v>
      </c>
      <c r="F3221" s="48">
        <v>79.5</v>
      </c>
    </row>
    <row r="3222">
      <c r="A3222" s="46" t="s">
        <v>1579</v>
      </c>
      <c r="B3222" s="46" t="s">
        <v>6648</v>
      </c>
      <c r="C3222" s="46" t="s">
        <v>1930</v>
      </c>
      <c r="D3222" s="46" t="s">
        <v>18</v>
      </c>
      <c r="E3222" s="46" t="s">
        <v>14</v>
      </c>
      <c r="F3222" s="48">
        <v>87.0</v>
      </c>
    </row>
    <row r="3223">
      <c r="A3223" s="46" t="s">
        <v>1579</v>
      </c>
      <c r="B3223" s="46" t="s">
        <v>4380</v>
      </c>
      <c r="C3223" s="46" t="s">
        <v>6867</v>
      </c>
      <c r="D3223" s="46" t="s">
        <v>18</v>
      </c>
      <c r="E3223" s="46" t="s">
        <v>15</v>
      </c>
      <c r="F3223" s="48">
        <v>91.8</v>
      </c>
    </row>
    <row r="3224">
      <c r="A3224" s="46" t="s">
        <v>1579</v>
      </c>
      <c r="B3224" s="46" t="s">
        <v>6871</v>
      </c>
      <c r="C3224" s="46" t="s">
        <v>6872</v>
      </c>
      <c r="D3224" s="46" t="s">
        <v>18</v>
      </c>
      <c r="E3224" s="46" t="s">
        <v>13</v>
      </c>
      <c r="F3224" s="48">
        <v>89.7</v>
      </c>
    </row>
    <row r="3225">
      <c r="A3225" s="46" t="s">
        <v>1579</v>
      </c>
      <c r="B3225" s="46" t="s">
        <v>6883</v>
      </c>
      <c r="C3225" s="46" t="s">
        <v>1936</v>
      </c>
      <c r="D3225" s="46" t="s">
        <v>18</v>
      </c>
      <c r="E3225" s="46" t="s">
        <v>14</v>
      </c>
      <c r="F3225" s="48">
        <v>100.4</v>
      </c>
    </row>
    <row r="3226">
      <c r="A3226" s="46" t="s">
        <v>1579</v>
      </c>
      <c r="B3226" s="46" t="s">
        <v>6887</v>
      </c>
      <c r="C3226" s="46" t="s">
        <v>1930</v>
      </c>
      <c r="D3226" s="46" t="s">
        <v>18</v>
      </c>
      <c r="E3226" s="46" t="s">
        <v>14</v>
      </c>
      <c r="F3226" s="48">
        <v>82.5</v>
      </c>
    </row>
    <row r="3227">
      <c r="A3227" s="46" t="s">
        <v>1964</v>
      </c>
      <c r="B3227" s="46" t="s">
        <v>6889</v>
      </c>
      <c r="C3227" s="46" t="s">
        <v>1970</v>
      </c>
      <c r="D3227" s="46" t="s">
        <v>18</v>
      </c>
      <c r="E3227" s="46" t="s">
        <v>13</v>
      </c>
      <c r="F3227" s="48">
        <v>90.1</v>
      </c>
    </row>
    <row r="3228">
      <c r="A3228" s="46" t="s">
        <v>1964</v>
      </c>
      <c r="B3228" s="46" t="s">
        <v>6891</v>
      </c>
      <c r="C3228" s="46" t="s">
        <v>1980</v>
      </c>
      <c r="D3228" s="46" t="s">
        <v>18</v>
      </c>
      <c r="E3228" s="46" t="s">
        <v>15</v>
      </c>
      <c r="F3228" s="48">
        <v>98.8</v>
      </c>
    </row>
    <row r="3229">
      <c r="A3229" s="46" t="s">
        <v>1989</v>
      </c>
      <c r="B3229" s="46" t="s">
        <v>6893</v>
      </c>
      <c r="C3229" s="46" t="s">
        <v>6894</v>
      </c>
      <c r="D3229" s="46" t="s">
        <v>18</v>
      </c>
      <c r="E3229" s="46" t="s">
        <v>13</v>
      </c>
      <c r="F3229" s="48">
        <v>71.8</v>
      </c>
    </row>
    <row r="3230">
      <c r="A3230" s="46" t="s">
        <v>1989</v>
      </c>
      <c r="B3230" s="46" t="s">
        <v>6896</v>
      </c>
      <c r="C3230" s="46" t="s">
        <v>3801</v>
      </c>
      <c r="D3230" s="46" t="s">
        <v>18</v>
      </c>
      <c r="E3230" s="46" t="s">
        <v>13</v>
      </c>
      <c r="F3230" s="48">
        <v>73.4</v>
      </c>
    </row>
    <row r="3231">
      <c r="A3231" s="46" t="s">
        <v>1989</v>
      </c>
      <c r="B3231" s="46" t="s">
        <v>6898</v>
      </c>
      <c r="C3231" s="46" t="s">
        <v>2007</v>
      </c>
      <c r="D3231" s="46" t="s">
        <v>18</v>
      </c>
      <c r="E3231" s="46" t="s">
        <v>15</v>
      </c>
      <c r="F3231" s="48">
        <v>91.4</v>
      </c>
    </row>
    <row r="3232">
      <c r="A3232" s="46" t="s">
        <v>2013</v>
      </c>
      <c r="B3232" s="46" t="s">
        <v>6900</v>
      </c>
      <c r="C3232" s="46" t="s">
        <v>6901</v>
      </c>
      <c r="D3232" s="46" t="s">
        <v>18</v>
      </c>
      <c r="E3232" s="46" t="s">
        <v>13</v>
      </c>
      <c r="F3232" s="48">
        <v>72.0</v>
      </c>
    </row>
    <row r="3233">
      <c r="A3233" s="46" t="s">
        <v>2013</v>
      </c>
      <c r="B3233" s="46" t="s">
        <v>6903</v>
      </c>
      <c r="C3233" s="46" t="s">
        <v>2016</v>
      </c>
      <c r="D3233" s="46" t="s">
        <v>18</v>
      </c>
      <c r="E3233" s="46" t="s">
        <v>13</v>
      </c>
      <c r="F3233" s="48">
        <v>75.6</v>
      </c>
    </row>
    <row r="3234">
      <c r="A3234" s="46" t="s">
        <v>2013</v>
      </c>
      <c r="B3234" s="46" t="s">
        <v>6905</v>
      </c>
      <c r="C3234" s="46" t="s">
        <v>2016</v>
      </c>
      <c r="D3234" s="46" t="s">
        <v>18</v>
      </c>
      <c r="E3234" s="46" t="s">
        <v>13</v>
      </c>
      <c r="F3234" s="48">
        <v>75.5</v>
      </c>
    </row>
    <row r="3235">
      <c r="A3235" s="46" t="s">
        <v>2035</v>
      </c>
      <c r="B3235" s="46" t="s">
        <v>6909</v>
      </c>
      <c r="C3235" s="46" t="s">
        <v>6910</v>
      </c>
      <c r="D3235" s="46" t="s">
        <v>18</v>
      </c>
      <c r="E3235" s="46" t="s">
        <v>14</v>
      </c>
      <c r="F3235" s="48">
        <v>63.5</v>
      </c>
    </row>
    <row r="3236">
      <c r="A3236" s="46" t="s">
        <v>2035</v>
      </c>
      <c r="B3236" s="46" t="s">
        <v>6912</v>
      </c>
      <c r="C3236" s="46" t="s">
        <v>6913</v>
      </c>
      <c r="D3236" s="46" t="s">
        <v>18</v>
      </c>
      <c r="E3236" s="46" t="s">
        <v>14</v>
      </c>
      <c r="F3236" s="48">
        <v>67.9</v>
      </c>
    </row>
    <row r="3237">
      <c r="A3237" s="46" t="s">
        <v>2054</v>
      </c>
      <c r="B3237" s="46" t="s">
        <v>6915</v>
      </c>
      <c r="C3237" s="46" t="s">
        <v>2060</v>
      </c>
      <c r="D3237" s="46" t="s">
        <v>18</v>
      </c>
      <c r="E3237" s="46" t="s">
        <v>13</v>
      </c>
      <c r="F3237" s="48">
        <v>62.8</v>
      </c>
    </row>
    <row r="3238">
      <c r="A3238" s="46" t="s">
        <v>2054</v>
      </c>
      <c r="B3238" s="46" t="s">
        <v>6917</v>
      </c>
      <c r="C3238" s="46" t="s">
        <v>1858</v>
      </c>
      <c r="D3238" s="46" t="s">
        <v>18</v>
      </c>
      <c r="E3238" s="46" t="s">
        <v>14</v>
      </c>
      <c r="F3238" s="48">
        <v>85.3</v>
      </c>
    </row>
    <row r="3239">
      <c r="A3239" s="46" t="s">
        <v>2054</v>
      </c>
      <c r="B3239" s="46" t="s">
        <v>6919</v>
      </c>
      <c r="C3239" s="46" t="s">
        <v>2067</v>
      </c>
      <c r="D3239" s="46" t="s">
        <v>18</v>
      </c>
      <c r="E3239" s="46" t="s">
        <v>13</v>
      </c>
      <c r="F3239" s="48">
        <v>62.2</v>
      </c>
    </row>
    <row r="3240">
      <c r="A3240" s="46" t="s">
        <v>2054</v>
      </c>
      <c r="B3240" s="46" t="s">
        <v>6921</v>
      </c>
      <c r="C3240" s="46" t="s">
        <v>2074</v>
      </c>
      <c r="D3240" s="46" t="s">
        <v>18</v>
      </c>
      <c r="E3240" s="46" t="s">
        <v>13</v>
      </c>
      <c r="F3240" s="48">
        <v>65.4</v>
      </c>
    </row>
    <row r="3241">
      <c r="A3241" s="46" t="s">
        <v>2054</v>
      </c>
      <c r="B3241" s="46" t="s">
        <v>6923</v>
      </c>
      <c r="C3241" s="46" t="s">
        <v>3848</v>
      </c>
      <c r="D3241" s="46" t="s">
        <v>18</v>
      </c>
      <c r="E3241" s="46" t="s">
        <v>15</v>
      </c>
      <c r="F3241" s="48">
        <v>91.5</v>
      </c>
    </row>
    <row r="3242">
      <c r="A3242" s="46" t="s">
        <v>2054</v>
      </c>
      <c r="B3242" s="46" t="s">
        <v>6925</v>
      </c>
      <c r="C3242" s="46" t="s">
        <v>2057</v>
      </c>
      <c r="D3242" s="46" t="s">
        <v>18</v>
      </c>
      <c r="E3242" s="46" t="s">
        <v>14</v>
      </c>
      <c r="F3242" s="48">
        <v>75.3</v>
      </c>
    </row>
    <row r="3243">
      <c r="A3243" s="46" t="s">
        <v>2054</v>
      </c>
      <c r="B3243" s="46" t="s">
        <v>6927</v>
      </c>
      <c r="C3243" s="46" t="s">
        <v>2060</v>
      </c>
      <c r="D3243" s="46" t="s">
        <v>18</v>
      </c>
      <c r="E3243" s="46" t="s">
        <v>14</v>
      </c>
      <c r="F3243" s="48">
        <v>94.2</v>
      </c>
    </row>
    <row r="3244">
      <c r="A3244" s="46" t="s">
        <v>2054</v>
      </c>
      <c r="B3244" s="46" t="s">
        <v>6929</v>
      </c>
      <c r="C3244" s="46" t="s">
        <v>6930</v>
      </c>
      <c r="D3244" s="46" t="s">
        <v>18</v>
      </c>
      <c r="E3244" s="46" t="s">
        <v>14</v>
      </c>
      <c r="F3244" s="48">
        <v>86.4</v>
      </c>
    </row>
    <row r="3245">
      <c r="A3245" s="46" t="s">
        <v>2054</v>
      </c>
      <c r="B3245" s="46" t="s">
        <v>6932</v>
      </c>
      <c r="C3245" s="46" t="s">
        <v>3848</v>
      </c>
      <c r="D3245" s="46" t="s">
        <v>18</v>
      </c>
      <c r="E3245" s="46" t="s">
        <v>14</v>
      </c>
      <c r="F3245" s="48">
        <v>86.2</v>
      </c>
    </row>
    <row r="3246">
      <c r="A3246" s="46" t="s">
        <v>2054</v>
      </c>
      <c r="B3246" s="46" t="s">
        <v>6934</v>
      </c>
      <c r="C3246" s="46" t="s">
        <v>2067</v>
      </c>
      <c r="D3246" s="46" t="s">
        <v>18</v>
      </c>
      <c r="E3246" s="46" t="s">
        <v>14</v>
      </c>
      <c r="F3246" s="48">
        <v>61.5</v>
      </c>
    </row>
    <row r="3247">
      <c r="A3247" s="46" t="s">
        <v>71</v>
      </c>
      <c r="B3247" s="46" t="s">
        <v>6938</v>
      </c>
      <c r="C3247" s="46" t="s">
        <v>6939</v>
      </c>
      <c r="D3247" s="46" t="s">
        <v>18</v>
      </c>
      <c r="E3247" s="46" t="s">
        <v>14</v>
      </c>
      <c r="F3247" s="48">
        <v>94.6</v>
      </c>
    </row>
    <row r="3248">
      <c r="A3248" s="46" t="s">
        <v>71</v>
      </c>
      <c r="B3248" s="46" t="s">
        <v>6944</v>
      </c>
      <c r="C3248" s="46" t="s">
        <v>3870</v>
      </c>
      <c r="D3248" s="46" t="s">
        <v>17</v>
      </c>
      <c r="E3248" s="46" t="s">
        <v>13</v>
      </c>
      <c r="F3248" s="48">
        <v>98.6</v>
      </c>
    </row>
    <row r="3249">
      <c r="A3249" s="46" t="s">
        <v>88</v>
      </c>
      <c r="B3249" s="46" t="s">
        <v>6946</v>
      </c>
      <c r="C3249" s="46" t="s">
        <v>3894</v>
      </c>
      <c r="D3249" s="46" t="s">
        <v>18</v>
      </c>
      <c r="E3249" s="46" t="s">
        <v>15</v>
      </c>
      <c r="F3249" s="48">
        <v>102.0</v>
      </c>
    </row>
    <row r="3250">
      <c r="A3250" s="46" t="s">
        <v>88</v>
      </c>
      <c r="B3250" s="46" t="s">
        <v>6948</v>
      </c>
      <c r="C3250" s="46" t="s">
        <v>95</v>
      </c>
      <c r="D3250" s="46" t="s">
        <v>18</v>
      </c>
      <c r="E3250" s="46" t="s">
        <v>13</v>
      </c>
      <c r="F3250" s="48">
        <v>75.7</v>
      </c>
    </row>
    <row r="3251">
      <c r="A3251" s="46" t="s">
        <v>88</v>
      </c>
      <c r="B3251" s="46" t="s">
        <v>6952</v>
      </c>
      <c r="C3251" s="46" t="s">
        <v>108</v>
      </c>
      <c r="D3251" s="46" t="s">
        <v>17</v>
      </c>
      <c r="E3251" s="46" t="s">
        <v>13</v>
      </c>
      <c r="F3251" s="48">
        <v>91.7</v>
      </c>
    </row>
    <row r="3252">
      <c r="A3252" s="46" t="s">
        <v>116</v>
      </c>
      <c r="B3252" s="46" t="s">
        <v>6960</v>
      </c>
      <c r="C3252" s="46" t="s">
        <v>3912</v>
      </c>
      <c r="D3252" s="46" t="s">
        <v>17</v>
      </c>
      <c r="E3252" s="46" t="s">
        <v>15</v>
      </c>
      <c r="F3252" s="48">
        <v>99.0</v>
      </c>
    </row>
    <row r="3253">
      <c r="A3253" s="46" t="s">
        <v>116</v>
      </c>
      <c r="B3253" s="46" t="s">
        <v>6962</v>
      </c>
      <c r="C3253" s="46" t="s">
        <v>123</v>
      </c>
      <c r="D3253" s="46" t="s">
        <v>18</v>
      </c>
      <c r="E3253" s="46" t="s">
        <v>14</v>
      </c>
      <c r="F3253" s="48">
        <v>90.4</v>
      </c>
    </row>
    <row r="3254">
      <c r="A3254" s="46" t="s">
        <v>129</v>
      </c>
      <c r="B3254" s="46" t="s">
        <v>6964</v>
      </c>
      <c r="C3254" s="46" t="s">
        <v>6965</v>
      </c>
      <c r="D3254" s="46" t="s">
        <v>18</v>
      </c>
      <c r="E3254" s="46" t="s">
        <v>14</v>
      </c>
      <c r="F3254" s="48">
        <v>99.6</v>
      </c>
    </row>
    <row r="3255">
      <c r="A3255" s="46" t="s">
        <v>129</v>
      </c>
      <c r="B3255" s="46" t="s">
        <v>6967</v>
      </c>
      <c r="C3255" s="46" t="s">
        <v>133</v>
      </c>
      <c r="D3255" s="46" t="s">
        <v>18</v>
      </c>
      <c r="E3255" s="46" t="s">
        <v>13</v>
      </c>
      <c r="F3255" s="48">
        <v>85.1</v>
      </c>
    </row>
    <row r="3256">
      <c r="A3256" s="46" t="s">
        <v>129</v>
      </c>
      <c r="B3256" s="46" t="s">
        <v>6970</v>
      </c>
      <c r="C3256" s="46" t="s">
        <v>2130</v>
      </c>
      <c r="D3256" s="46" t="s">
        <v>18</v>
      </c>
      <c r="E3256" s="46" t="s">
        <v>13</v>
      </c>
      <c r="F3256" s="48">
        <v>101.1</v>
      </c>
    </row>
    <row r="3257">
      <c r="A3257" s="46" t="s">
        <v>129</v>
      </c>
      <c r="B3257" s="46" t="s">
        <v>6975</v>
      </c>
      <c r="C3257" s="46" t="s">
        <v>6976</v>
      </c>
      <c r="D3257" s="46" t="s">
        <v>17</v>
      </c>
      <c r="E3257" s="46" t="s">
        <v>13</v>
      </c>
      <c r="F3257" s="48">
        <v>102.2</v>
      </c>
    </row>
    <row r="3258">
      <c r="A3258" s="46" t="s">
        <v>134</v>
      </c>
      <c r="B3258" s="46" t="s">
        <v>6980</v>
      </c>
      <c r="C3258" s="46" t="s">
        <v>144</v>
      </c>
      <c r="D3258" s="46" t="s">
        <v>18</v>
      </c>
      <c r="E3258" s="46" t="s">
        <v>13</v>
      </c>
      <c r="F3258" s="48">
        <v>88.6</v>
      </c>
    </row>
    <row r="3259">
      <c r="A3259" s="46" t="s">
        <v>134</v>
      </c>
      <c r="B3259" s="46" t="s">
        <v>6982</v>
      </c>
      <c r="C3259" s="46" t="s">
        <v>147</v>
      </c>
      <c r="D3259" s="46" t="s">
        <v>18</v>
      </c>
      <c r="E3259" s="46" t="s">
        <v>13</v>
      </c>
      <c r="F3259" s="48">
        <v>88.0</v>
      </c>
    </row>
    <row r="3260">
      <c r="A3260" s="46" t="s">
        <v>134</v>
      </c>
      <c r="B3260" s="46" t="s">
        <v>6986</v>
      </c>
      <c r="C3260" s="46" t="s">
        <v>134</v>
      </c>
      <c r="D3260" s="46" t="s">
        <v>18</v>
      </c>
      <c r="E3260" s="46" t="s">
        <v>13</v>
      </c>
      <c r="F3260" s="48">
        <v>77.5</v>
      </c>
    </row>
    <row r="3261">
      <c r="A3261" s="46" t="s">
        <v>134</v>
      </c>
      <c r="B3261" s="46" t="s">
        <v>6988</v>
      </c>
      <c r="C3261" s="46" t="s">
        <v>134</v>
      </c>
      <c r="D3261" s="46" t="s">
        <v>18</v>
      </c>
      <c r="E3261" s="46" t="s">
        <v>14</v>
      </c>
      <c r="F3261" s="48">
        <v>87.9</v>
      </c>
    </row>
    <row r="3262">
      <c r="A3262" s="46" t="s">
        <v>134</v>
      </c>
      <c r="B3262" s="46" t="s">
        <v>6991</v>
      </c>
      <c r="C3262" s="46" t="s">
        <v>158</v>
      </c>
      <c r="D3262" s="46" t="s">
        <v>17</v>
      </c>
      <c r="E3262" s="46" t="s">
        <v>15</v>
      </c>
      <c r="F3262" s="48">
        <v>92.3</v>
      </c>
    </row>
    <row r="3263">
      <c r="A3263" s="46" t="s">
        <v>134</v>
      </c>
      <c r="B3263" s="46" t="s">
        <v>5307</v>
      </c>
      <c r="C3263" s="46" t="s">
        <v>134</v>
      </c>
      <c r="D3263" s="46" t="s">
        <v>18</v>
      </c>
      <c r="E3263" s="46" t="s">
        <v>15</v>
      </c>
      <c r="F3263" s="48">
        <v>90.8</v>
      </c>
    </row>
    <row r="3264">
      <c r="A3264" s="46" t="s">
        <v>134</v>
      </c>
      <c r="B3264" s="46" t="s">
        <v>6995</v>
      </c>
      <c r="C3264" s="46" t="s">
        <v>134</v>
      </c>
      <c r="D3264" s="46" t="s">
        <v>17</v>
      </c>
      <c r="E3264" s="46" t="s">
        <v>15</v>
      </c>
      <c r="F3264" s="48">
        <v>102.9</v>
      </c>
    </row>
    <row r="3265">
      <c r="A3265" s="46" t="s">
        <v>161</v>
      </c>
      <c r="B3265" s="46" t="s">
        <v>6997</v>
      </c>
      <c r="C3265" s="46" t="s">
        <v>2170</v>
      </c>
      <c r="D3265" s="46" t="s">
        <v>18</v>
      </c>
      <c r="E3265" s="46" t="s">
        <v>13</v>
      </c>
      <c r="F3265" s="48">
        <v>87.9</v>
      </c>
    </row>
    <row r="3266">
      <c r="A3266" s="46" t="s">
        <v>161</v>
      </c>
      <c r="B3266" s="46" t="s">
        <v>7001</v>
      </c>
      <c r="C3266" s="46" t="s">
        <v>2173</v>
      </c>
      <c r="D3266" s="46" t="s">
        <v>17</v>
      </c>
      <c r="E3266" s="46" t="s">
        <v>13</v>
      </c>
      <c r="F3266" s="48">
        <v>95.5</v>
      </c>
    </row>
    <row r="3267">
      <c r="A3267" s="46" t="s">
        <v>169</v>
      </c>
      <c r="B3267" s="46" t="s">
        <v>2446</v>
      </c>
      <c r="C3267" s="46" t="s">
        <v>7007</v>
      </c>
      <c r="D3267" s="46" t="s">
        <v>18</v>
      </c>
      <c r="E3267" s="46" t="s">
        <v>14</v>
      </c>
      <c r="F3267" s="48">
        <v>82.3</v>
      </c>
    </row>
    <row r="3268">
      <c r="A3268" s="46" t="s">
        <v>182</v>
      </c>
      <c r="B3268" s="46" t="s">
        <v>7009</v>
      </c>
      <c r="C3268" s="46" t="s">
        <v>2192</v>
      </c>
      <c r="D3268" s="46" t="s">
        <v>18</v>
      </c>
      <c r="E3268" s="46" t="s">
        <v>13</v>
      </c>
      <c r="F3268" s="48">
        <v>88.4</v>
      </c>
    </row>
    <row r="3269">
      <c r="A3269" s="46" t="s">
        <v>182</v>
      </c>
      <c r="B3269" s="46" t="s">
        <v>7011</v>
      </c>
      <c r="C3269" s="46" t="s">
        <v>186</v>
      </c>
      <c r="D3269" s="46" t="s">
        <v>17</v>
      </c>
      <c r="E3269" s="46" t="s">
        <v>14</v>
      </c>
      <c r="F3269" s="48">
        <v>95.0</v>
      </c>
    </row>
    <row r="3270">
      <c r="A3270" s="46" t="s">
        <v>169</v>
      </c>
      <c r="B3270" s="46" t="s">
        <v>7013</v>
      </c>
      <c r="C3270" s="46" t="s">
        <v>7014</v>
      </c>
      <c r="D3270" s="46" t="s">
        <v>18</v>
      </c>
      <c r="E3270" s="46" t="s">
        <v>13</v>
      </c>
      <c r="F3270" s="48">
        <v>93.5</v>
      </c>
    </row>
    <row r="3271">
      <c r="A3271" s="46" t="s">
        <v>483</v>
      </c>
      <c r="B3271" s="46" t="s">
        <v>2429</v>
      </c>
      <c r="C3271" s="46" t="s">
        <v>3974</v>
      </c>
      <c r="D3271" s="46" t="s">
        <v>18</v>
      </c>
      <c r="E3271" s="46" t="s">
        <v>14</v>
      </c>
      <c r="F3271" s="48">
        <v>99.3</v>
      </c>
    </row>
    <row r="3272">
      <c r="A3272" s="46" t="s">
        <v>182</v>
      </c>
      <c r="B3272" s="46" t="s">
        <v>7020</v>
      </c>
      <c r="C3272" s="46" t="s">
        <v>203</v>
      </c>
      <c r="D3272" s="46" t="s">
        <v>18</v>
      </c>
      <c r="E3272" s="46" t="s">
        <v>13</v>
      </c>
      <c r="F3272" s="48">
        <v>91.3</v>
      </c>
    </row>
    <row r="3273">
      <c r="A3273" s="46" t="s">
        <v>129</v>
      </c>
      <c r="B3273" s="46" t="s">
        <v>7025</v>
      </c>
      <c r="C3273" s="46" t="s">
        <v>242</v>
      </c>
      <c r="D3273" s="46" t="s">
        <v>18</v>
      </c>
      <c r="E3273" s="46" t="s">
        <v>13</v>
      </c>
      <c r="F3273" s="48">
        <v>87.9</v>
      </c>
    </row>
    <row r="3274">
      <c r="A3274" s="46" t="s">
        <v>129</v>
      </c>
      <c r="B3274" s="46" t="s">
        <v>1321</v>
      </c>
      <c r="C3274" s="46" t="s">
        <v>4020</v>
      </c>
      <c r="D3274" s="46" t="s">
        <v>18</v>
      </c>
      <c r="E3274" s="46" t="s">
        <v>13</v>
      </c>
      <c r="F3274" s="48">
        <v>82.5</v>
      </c>
    </row>
    <row r="3275">
      <c r="A3275" s="46" t="s">
        <v>129</v>
      </c>
      <c r="B3275" s="46" t="s">
        <v>7028</v>
      </c>
      <c r="C3275" s="46" t="s">
        <v>2261</v>
      </c>
      <c r="D3275" s="46" t="s">
        <v>18</v>
      </c>
      <c r="E3275" s="46" t="s">
        <v>13</v>
      </c>
      <c r="F3275" s="48">
        <v>82.3</v>
      </c>
    </row>
    <row r="3276">
      <c r="A3276" s="46" t="s">
        <v>129</v>
      </c>
      <c r="B3276" s="46" t="s">
        <v>1733</v>
      </c>
      <c r="C3276" s="46" t="s">
        <v>2221</v>
      </c>
      <c r="D3276" s="46" t="s">
        <v>18</v>
      </c>
      <c r="E3276" s="46" t="s">
        <v>15</v>
      </c>
      <c r="F3276" s="48">
        <v>68.3</v>
      </c>
    </row>
    <row r="3277">
      <c r="A3277" s="46" t="s">
        <v>129</v>
      </c>
      <c r="B3277" s="46" t="s">
        <v>7033</v>
      </c>
      <c r="C3277" s="46" t="s">
        <v>259</v>
      </c>
      <c r="D3277" s="46" t="s">
        <v>18</v>
      </c>
      <c r="E3277" s="46" t="s">
        <v>13</v>
      </c>
      <c r="F3277" s="48">
        <v>75.7</v>
      </c>
    </row>
    <row r="3278">
      <c r="A3278" s="46" t="s">
        <v>129</v>
      </c>
      <c r="B3278" s="46" t="s">
        <v>7035</v>
      </c>
      <c r="C3278" s="46" t="s">
        <v>2239</v>
      </c>
      <c r="D3278" s="46" t="s">
        <v>18</v>
      </c>
      <c r="E3278" s="46" t="s">
        <v>13</v>
      </c>
      <c r="F3278" s="48">
        <v>78.6</v>
      </c>
    </row>
    <row r="3279">
      <c r="A3279" s="46" t="s">
        <v>129</v>
      </c>
      <c r="B3279" s="46" t="s">
        <v>7039</v>
      </c>
      <c r="C3279" s="46" t="s">
        <v>3987</v>
      </c>
      <c r="D3279" s="46" t="s">
        <v>18</v>
      </c>
      <c r="E3279" s="46" t="s">
        <v>13</v>
      </c>
      <c r="F3279" s="48">
        <v>75.2</v>
      </c>
    </row>
    <row r="3280">
      <c r="A3280" s="46" t="s">
        <v>129</v>
      </c>
      <c r="B3280" s="46" t="s">
        <v>7043</v>
      </c>
      <c r="C3280" s="46" t="s">
        <v>3998</v>
      </c>
      <c r="D3280" s="46" t="s">
        <v>17</v>
      </c>
      <c r="E3280" s="46" t="s">
        <v>15</v>
      </c>
      <c r="F3280" s="48">
        <v>88.2</v>
      </c>
    </row>
    <row r="3281">
      <c r="A3281" s="46" t="s">
        <v>129</v>
      </c>
      <c r="B3281" s="46" t="s">
        <v>7048</v>
      </c>
      <c r="C3281" s="46" t="s">
        <v>2224</v>
      </c>
      <c r="D3281" s="46" t="s">
        <v>17</v>
      </c>
      <c r="E3281" s="46" t="s">
        <v>13</v>
      </c>
      <c r="F3281" s="48">
        <v>71.2</v>
      </c>
    </row>
    <row r="3282">
      <c r="A3282" s="46" t="s">
        <v>129</v>
      </c>
      <c r="B3282" s="46" t="s">
        <v>7050</v>
      </c>
      <c r="C3282" s="46" t="s">
        <v>236</v>
      </c>
      <c r="D3282" s="46" t="s">
        <v>17</v>
      </c>
      <c r="E3282" s="46" t="s">
        <v>13</v>
      </c>
      <c r="F3282" s="48">
        <v>91.0</v>
      </c>
    </row>
    <row r="3283">
      <c r="A3283" s="46" t="s">
        <v>129</v>
      </c>
      <c r="B3283" s="46" t="s">
        <v>7052</v>
      </c>
      <c r="C3283" s="46" t="s">
        <v>2272</v>
      </c>
      <c r="D3283" s="46" t="s">
        <v>18</v>
      </c>
      <c r="E3283" s="46" t="s">
        <v>13</v>
      </c>
      <c r="F3283" s="48">
        <v>61.2</v>
      </c>
    </row>
    <row r="3284">
      <c r="A3284" s="46" t="s">
        <v>129</v>
      </c>
      <c r="B3284" s="46" t="s">
        <v>7054</v>
      </c>
      <c r="C3284" s="46" t="s">
        <v>2264</v>
      </c>
      <c r="D3284" s="46" t="s">
        <v>18</v>
      </c>
      <c r="E3284" s="46" t="s">
        <v>13</v>
      </c>
      <c r="F3284" s="48">
        <v>86.0</v>
      </c>
    </row>
    <row r="3285">
      <c r="A3285" s="46" t="s">
        <v>129</v>
      </c>
      <c r="B3285" s="46" t="s">
        <v>7058</v>
      </c>
      <c r="C3285" s="46" t="s">
        <v>225</v>
      </c>
      <c r="D3285" s="46" t="s">
        <v>17</v>
      </c>
      <c r="E3285" s="46" t="s">
        <v>13</v>
      </c>
      <c r="F3285" s="48">
        <v>73.8</v>
      </c>
    </row>
    <row r="3286">
      <c r="A3286" s="46" t="s">
        <v>129</v>
      </c>
      <c r="B3286" s="46" t="s">
        <v>595</v>
      </c>
      <c r="C3286" s="46" t="s">
        <v>3987</v>
      </c>
      <c r="D3286" s="46" t="s">
        <v>17</v>
      </c>
      <c r="E3286" s="46" t="s">
        <v>13</v>
      </c>
      <c r="F3286" s="48">
        <v>85.2</v>
      </c>
    </row>
    <row r="3287">
      <c r="A3287" s="46" t="s">
        <v>269</v>
      </c>
      <c r="B3287" s="46" t="s">
        <v>7068</v>
      </c>
      <c r="C3287" s="46" t="s">
        <v>273</v>
      </c>
      <c r="D3287" s="46" t="s">
        <v>18</v>
      </c>
      <c r="E3287" s="46" t="s">
        <v>13</v>
      </c>
      <c r="F3287" s="48">
        <v>84.2</v>
      </c>
    </row>
    <row r="3288">
      <c r="A3288" s="46" t="s">
        <v>269</v>
      </c>
      <c r="B3288" s="46" t="s">
        <v>7070</v>
      </c>
      <c r="C3288" s="46" t="s">
        <v>273</v>
      </c>
      <c r="D3288" s="46" t="s">
        <v>18</v>
      </c>
      <c r="E3288" s="46" t="s">
        <v>13</v>
      </c>
      <c r="F3288" s="48">
        <v>79.8</v>
      </c>
    </row>
    <row r="3289">
      <c r="A3289" s="46" t="s">
        <v>269</v>
      </c>
      <c r="B3289" s="46" t="s">
        <v>218</v>
      </c>
      <c r="C3289" s="46" t="s">
        <v>4042</v>
      </c>
      <c r="D3289" s="46" t="s">
        <v>17</v>
      </c>
      <c r="E3289" s="46" t="s">
        <v>13</v>
      </c>
      <c r="F3289" s="48">
        <v>78.3</v>
      </c>
    </row>
    <row r="3290">
      <c r="A3290" s="46" t="s">
        <v>269</v>
      </c>
      <c r="B3290" s="46" t="s">
        <v>7077</v>
      </c>
      <c r="C3290" s="46" t="s">
        <v>4060</v>
      </c>
      <c r="D3290" s="46" t="s">
        <v>17</v>
      </c>
      <c r="E3290" s="46" t="s">
        <v>13</v>
      </c>
      <c r="F3290" s="48">
        <v>101.0</v>
      </c>
    </row>
    <row r="3291">
      <c r="A3291" s="46" t="s">
        <v>269</v>
      </c>
      <c r="B3291" s="46" t="s">
        <v>7079</v>
      </c>
      <c r="C3291" s="46" t="s">
        <v>2301</v>
      </c>
      <c r="D3291" s="46" t="s">
        <v>17</v>
      </c>
      <c r="E3291" s="46" t="s">
        <v>13</v>
      </c>
      <c r="F3291" s="48">
        <v>69.7</v>
      </c>
    </row>
    <row r="3292">
      <c r="A3292" s="46" t="s">
        <v>269</v>
      </c>
      <c r="B3292" s="46" t="s">
        <v>7081</v>
      </c>
      <c r="C3292" s="46" t="s">
        <v>7082</v>
      </c>
      <c r="D3292" s="46" t="s">
        <v>18</v>
      </c>
      <c r="E3292" s="46" t="s">
        <v>13</v>
      </c>
      <c r="F3292" s="48">
        <v>83.7</v>
      </c>
    </row>
    <row r="3293">
      <c r="A3293" s="46" t="s">
        <v>269</v>
      </c>
      <c r="B3293" s="46" t="s">
        <v>7085</v>
      </c>
      <c r="C3293" s="46" t="s">
        <v>7086</v>
      </c>
      <c r="D3293" s="46" t="s">
        <v>18</v>
      </c>
      <c r="E3293" s="46" t="s">
        <v>14</v>
      </c>
      <c r="F3293" s="48">
        <v>99.2</v>
      </c>
    </row>
    <row r="3294">
      <c r="A3294" s="46" t="s">
        <v>284</v>
      </c>
      <c r="B3294" s="46" t="s">
        <v>7094</v>
      </c>
      <c r="C3294" s="46" t="s">
        <v>7095</v>
      </c>
      <c r="D3294" s="46" t="s">
        <v>18</v>
      </c>
      <c r="E3294" s="46" t="s">
        <v>13</v>
      </c>
      <c r="F3294" s="48">
        <v>82.3</v>
      </c>
    </row>
    <row r="3295">
      <c r="A3295" s="46" t="s">
        <v>284</v>
      </c>
      <c r="B3295" s="46" t="s">
        <v>7097</v>
      </c>
      <c r="C3295" s="46" t="s">
        <v>2317</v>
      </c>
      <c r="D3295" s="46" t="s">
        <v>18</v>
      </c>
      <c r="E3295" s="46" t="s">
        <v>13</v>
      </c>
      <c r="F3295" s="48">
        <v>83.6</v>
      </c>
    </row>
    <row r="3296">
      <c r="A3296" s="46" t="s">
        <v>284</v>
      </c>
      <c r="B3296" s="46" t="s">
        <v>7099</v>
      </c>
      <c r="C3296" s="46" t="s">
        <v>288</v>
      </c>
      <c r="D3296" s="46" t="s">
        <v>18</v>
      </c>
      <c r="E3296" s="46" t="s">
        <v>13</v>
      </c>
      <c r="F3296" s="48">
        <v>90.9</v>
      </c>
    </row>
    <row r="3297">
      <c r="A3297" s="46" t="s">
        <v>284</v>
      </c>
      <c r="B3297" s="46" t="s">
        <v>7101</v>
      </c>
      <c r="C3297" s="46" t="s">
        <v>7102</v>
      </c>
      <c r="D3297" s="46" t="s">
        <v>18</v>
      </c>
      <c r="E3297" s="46" t="s">
        <v>13</v>
      </c>
      <c r="F3297" s="48">
        <v>87.8</v>
      </c>
    </row>
    <row r="3298">
      <c r="A3298" s="46" t="s">
        <v>284</v>
      </c>
      <c r="B3298" s="46" t="s">
        <v>7104</v>
      </c>
      <c r="C3298" s="46" t="s">
        <v>288</v>
      </c>
      <c r="D3298" s="46" t="s">
        <v>17</v>
      </c>
      <c r="E3298" s="46" t="s">
        <v>13</v>
      </c>
      <c r="F3298" s="48">
        <v>103.7</v>
      </c>
    </row>
    <row r="3299">
      <c r="A3299" s="46" t="s">
        <v>313</v>
      </c>
      <c r="B3299" s="46" t="s">
        <v>7115</v>
      </c>
      <c r="C3299" s="46" t="s">
        <v>4105</v>
      </c>
      <c r="D3299" s="46" t="s">
        <v>18</v>
      </c>
      <c r="E3299" s="46" t="s">
        <v>13</v>
      </c>
      <c r="F3299" s="48">
        <v>76.6</v>
      </c>
    </row>
    <row r="3300">
      <c r="A3300" s="46" t="s">
        <v>313</v>
      </c>
      <c r="B3300" s="46" t="s">
        <v>7117</v>
      </c>
      <c r="C3300" s="46" t="s">
        <v>320</v>
      </c>
      <c r="D3300" s="46" t="s">
        <v>18</v>
      </c>
      <c r="E3300" s="46" t="s">
        <v>14</v>
      </c>
      <c r="F3300" s="48">
        <v>95.0</v>
      </c>
    </row>
    <row r="3301">
      <c r="A3301" s="46" t="s">
        <v>313</v>
      </c>
      <c r="B3301" s="46" t="s">
        <v>7119</v>
      </c>
      <c r="C3301" s="46" t="s">
        <v>4105</v>
      </c>
      <c r="D3301" s="46" t="s">
        <v>18</v>
      </c>
      <c r="E3301" s="46" t="s">
        <v>13</v>
      </c>
      <c r="F3301" s="48">
        <v>92.6</v>
      </c>
    </row>
    <row r="3302">
      <c r="A3302" s="46" t="s">
        <v>313</v>
      </c>
      <c r="B3302" s="46" t="s">
        <v>7121</v>
      </c>
      <c r="C3302" s="46" t="s">
        <v>4105</v>
      </c>
      <c r="D3302" s="46" t="s">
        <v>17</v>
      </c>
      <c r="E3302" s="46" t="s">
        <v>13</v>
      </c>
      <c r="F3302" s="48">
        <v>98.1</v>
      </c>
    </row>
    <row r="3303">
      <c r="A3303" s="46" t="s">
        <v>333</v>
      </c>
      <c r="B3303" s="46" t="s">
        <v>7128</v>
      </c>
      <c r="C3303" s="46" t="s">
        <v>333</v>
      </c>
      <c r="D3303" s="46" t="s">
        <v>18</v>
      </c>
      <c r="E3303" s="46" t="s">
        <v>14</v>
      </c>
      <c r="F3303" s="48">
        <v>95.7</v>
      </c>
    </row>
    <row r="3304">
      <c r="A3304" s="46" t="s">
        <v>333</v>
      </c>
      <c r="B3304" s="46" t="s">
        <v>7130</v>
      </c>
      <c r="C3304" s="46" t="s">
        <v>333</v>
      </c>
      <c r="D3304" s="46" t="s">
        <v>17</v>
      </c>
      <c r="E3304" s="46" t="s">
        <v>14</v>
      </c>
      <c r="F3304" s="48">
        <v>103.5</v>
      </c>
    </row>
    <row r="3305">
      <c r="A3305" s="46" t="s">
        <v>333</v>
      </c>
      <c r="B3305" s="46" t="s">
        <v>7132</v>
      </c>
      <c r="C3305" s="46" t="s">
        <v>333</v>
      </c>
      <c r="D3305" s="46" t="s">
        <v>17</v>
      </c>
      <c r="E3305" s="46" t="s">
        <v>14</v>
      </c>
      <c r="F3305" s="48">
        <v>101.4</v>
      </c>
    </row>
    <row r="3306">
      <c r="A3306" s="46" t="s">
        <v>333</v>
      </c>
      <c r="B3306" s="46" t="s">
        <v>7134</v>
      </c>
      <c r="C3306" s="46" t="s">
        <v>7135</v>
      </c>
      <c r="D3306" s="46" t="s">
        <v>18</v>
      </c>
      <c r="E3306" s="46" t="s">
        <v>13</v>
      </c>
      <c r="F3306" s="48">
        <v>82.9</v>
      </c>
    </row>
    <row r="3307">
      <c r="A3307" s="46" t="s">
        <v>354</v>
      </c>
      <c r="B3307" s="46" t="s">
        <v>7139</v>
      </c>
      <c r="C3307" s="46" t="s">
        <v>367</v>
      </c>
      <c r="D3307" s="46" t="s">
        <v>18</v>
      </c>
      <c r="E3307" s="46" t="s">
        <v>14</v>
      </c>
      <c r="F3307" s="48">
        <v>97.6</v>
      </c>
    </row>
    <row r="3308">
      <c r="A3308" s="46" t="s">
        <v>354</v>
      </c>
      <c r="B3308" s="46" t="s">
        <v>7141</v>
      </c>
      <c r="C3308" s="46" t="s">
        <v>358</v>
      </c>
      <c r="D3308" s="46" t="s">
        <v>17</v>
      </c>
      <c r="E3308" s="46" t="s">
        <v>13</v>
      </c>
      <c r="F3308" s="48">
        <v>98.4</v>
      </c>
    </row>
    <row r="3309">
      <c r="A3309" s="46" t="s">
        <v>377</v>
      </c>
      <c r="B3309" s="46" t="s">
        <v>7145</v>
      </c>
      <c r="C3309" s="46" t="s">
        <v>7146</v>
      </c>
      <c r="D3309" s="46" t="s">
        <v>18</v>
      </c>
      <c r="E3309" s="46" t="s">
        <v>13</v>
      </c>
      <c r="F3309" s="48">
        <v>97.0</v>
      </c>
    </row>
    <row r="3310">
      <c r="A3310" s="46" t="s">
        <v>393</v>
      </c>
      <c r="B3310" s="46" t="s">
        <v>7149</v>
      </c>
      <c r="C3310" s="46" t="s">
        <v>7150</v>
      </c>
      <c r="D3310" s="46" t="s">
        <v>18</v>
      </c>
      <c r="E3310" s="46" t="s">
        <v>13</v>
      </c>
      <c r="F3310" s="48">
        <v>75.6</v>
      </c>
    </row>
    <row r="3311">
      <c r="A3311" s="46" t="s">
        <v>393</v>
      </c>
      <c r="B3311" s="46" t="s">
        <v>7157</v>
      </c>
      <c r="C3311" s="46" t="s">
        <v>393</v>
      </c>
      <c r="D3311" s="46" t="s">
        <v>17</v>
      </c>
      <c r="E3311" s="46" t="s">
        <v>13</v>
      </c>
      <c r="F3311" s="48">
        <v>84.7</v>
      </c>
    </row>
    <row r="3312">
      <c r="A3312" s="46" t="s">
        <v>393</v>
      </c>
      <c r="B3312" s="46" t="s">
        <v>7159</v>
      </c>
      <c r="C3312" s="46" t="s">
        <v>393</v>
      </c>
      <c r="D3312" s="46" t="s">
        <v>18</v>
      </c>
      <c r="E3312" s="46" t="s">
        <v>13</v>
      </c>
      <c r="F3312" s="48">
        <v>80.0</v>
      </c>
    </row>
    <row r="3313">
      <c r="A3313" s="46" t="s">
        <v>393</v>
      </c>
      <c r="B3313" s="46" t="s">
        <v>7161</v>
      </c>
      <c r="C3313" s="46" t="s">
        <v>399</v>
      </c>
      <c r="D3313" s="46" t="s">
        <v>17</v>
      </c>
      <c r="E3313" s="46" t="s">
        <v>13</v>
      </c>
      <c r="F3313" s="48">
        <v>98.6</v>
      </c>
    </row>
    <row r="3314">
      <c r="A3314" s="46" t="s">
        <v>393</v>
      </c>
      <c r="B3314" s="46" t="s">
        <v>7163</v>
      </c>
      <c r="C3314" s="46" t="s">
        <v>399</v>
      </c>
      <c r="D3314" s="46" t="s">
        <v>18</v>
      </c>
      <c r="E3314" s="46" t="s">
        <v>13</v>
      </c>
      <c r="F3314" s="48">
        <v>90.2</v>
      </c>
    </row>
    <row r="3315">
      <c r="A3315" s="46" t="s">
        <v>161</v>
      </c>
      <c r="B3315" s="46" t="s">
        <v>7169</v>
      </c>
      <c r="C3315" s="46" t="s">
        <v>411</v>
      </c>
      <c r="D3315" s="46" t="s">
        <v>18</v>
      </c>
      <c r="E3315" s="46" t="s">
        <v>13</v>
      </c>
      <c r="F3315" s="48">
        <v>77.0</v>
      </c>
    </row>
    <row r="3316">
      <c r="A3316" s="46" t="s">
        <v>269</v>
      </c>
      <c r="B3316" s="46" t="s">
        <v>7171</v>
      </c>
      <c r="C3316" s="46" t="s">
        <v>420</v>
      </c>
      <c r="D3316" s="46" t="s">
        <v>18</v>
      </c>
      <c r="E3316" s="46" t="s">
        <v>13</v>
      </c>
      <c r="F3316" s="48">
        <v>93.0</v>
      </c>
    </row>
    <row r="3317">
      <c r="A3317" s="46" t="s">
        <v>269</v>
      </c>
      <c r="B3317" s="46" t="s">
        <v>7173</v>
      </c>
      <c r="C3317" s="46" t="s">
        <v>426</v>
      </c>
      <c r="D3317" s="46" t="s">
        <v>17</v>
      </c>
      <c r="E3317" s="46" t="s">
        <v>13</v>
      </c>
      <c r="F3317" s="48">
        <v>92.1</v>
      </c>
    </row>
    <row r="3318">
      <c r="A3318" s="46" t="s">
        <v>313</v>
      </c>
      <c r="B3318" s="46" t="s">
        <v>7180</v>
      </c>
      <c r="C3318" s="46" t="s">
        <v>7181</v>
      </c>
      <c r="D3318" s="46" t="s">
        <v>18</v>
      </c>
      <c r="E3318" s="46" t="s">
        <v>13</v>
      </c>
      <c r="F3318" s="48">
        <v>86.4</v>
      </c>
    </row>
    <row r="3319">
      <c r="A3319" s="46" t="s">
        <v>313</v>
      </c>
      <c r="B3319" s="46" t="s">
        <v>7183</v>
      </c>
      <c r="C3319" s="46" t="s">
        <v>440</v>
      </c>
      <c r="D3319" s="46" t="s">
        <v>18</v>
      </c>
      <c r="E3319" s="46" t="s">
        <v>15</v>
      </c>
      <c r="F3319" s="48">
        <v>103.9</v>
      </c>
    </row>
    <row r="3320">
      <c r="A3320" s="46" t="s">
        <v>313</v>
      </c>
      <c r="B3320" s="46" t="s">
        <v>7187</v>
      </c>
      <c r="C3320" s="46" t="s">
        <v>7181</v>
      </c>
      <c r="D3320" s="46" t="s">
        <v>18</v>
      </c>
      <c r="E3320" s="46" t="s">
        <v>13</v>
      </c>
      <c r="F3320" s="48">
        <v>88.5</v>
      </c>
    </row>
    <row r="3321">
      <c r="A3321" s="46" t="s">
        <v>354</v>
      </c>
      <c r="B3321" s="46" t="s">
        <v>7191</v>
      </c>
      <c r="C3321" s="46" t="s">
        <v>7192</v>
      </c>
      <c r="D3321" s="46" t="s">
        <v>18</v>
      </c>
      <c r="E3321" s="46" t="s">
        <v>13</v>
      </c>
      <c r="F3321" s="48">
        <v>84.7</v>
      </c>
    </row>
    <row r="3322">
      <c r="A3322" s="46" t="s">
        <v>354</v>
      </c>
      <c r="B3322" s="46" t="s">
        <v>212</v>
      </c>
      <c r="C3322" s="46" t="s">
        <v>463</v>
      </c>
      <c r="D3322" s="46" t="s">
        <v>17</v>
      </c>
      <c r="E3322" s="46" t="s">
        <v>14</v>
      </c>
      <c r="F3322" s="48">
        <v>103.6</v>
      </c>
    </row>
    <row r="3323">
      <c r="A3323" s="46" t="s">
        <v>354</v>
      </c>
      <c r="B3323" s="46" t="s">
        <v>2257</v>
      </c>
      <c r="C3323" s="46" t="s">
        <v>480</v>
      </c>
      <c r="D3323" s="46" t="s">
        <v>17</v>
      </c>
      <c r="E3323" s="46" t="s">
        <v>13</v>
      </c>
      <c r="F3323" s="48">
        <v>67.2</v>
      </c>
    </row>
    <row r="3324">
      <c r="A3324" s="46" t="s">
        <v>483</v>
      </c>
      <c r="B3324" s="46" t="s">
        <v>7212</v>
      </c>
      <c r="C3324" s="46" t="s">
        <v>487</v>
      </c>
      <c r="D3324" s="46" t="s">
        <v>17</v>
      </c>
      <c r="E3324" s="46" t="s">
        <v>13</v>
      </c>
      <c r="F3324" s="48">
        <v>99.5</v>
      </c>
    </row>
    <row r="3325">
      <c r="A3325" s="46" t="s">
        <v>483</v>
      </c>
      <c r="B3325" s="46" t="s">
        <v>7214</v>
      </c>
      <c r="C3325" s="46" t="s">
        <v>490</v>
      </c>
      <c r="D3325" s="46" t="s">
        <v>18</v>
      </c>
      <c r="E3325" s="46" t="s">
        <v>15</v>
      </c>
      <c r="F3325" s="48">
        <v>101.7</v>
      </c>
    </row>
    <row r="3326">
      <c r="A3326" s="46" t="s">
        <v>182</v>
      </c>
      <c r="B3326" s="46" t="s">
        <v>7216</v>
      </c>
      <c r="C3326" s="46" t="s">
        <v>4238</v>
      </c>
      <c r="D3326" s="46" t="s">
        <v>18</v>
      </c>
      <c r="E3326" s="46" t="s">
        <v>13</v>
      </c>
      <c r="F3326" s="48">
        <v>87.6</v>
      </c>
    </row>
    <row r="3327">
      <c r="A3327" s="46" t="s">
        <v>182</v>
      </c>
      <c r="B3327" s="46" t="s">
        <v>7222</v>
      </c>
      <c r="C3327" s="46" t="s">
        <v>182</v>
      </c>
      <c r="D3327" s="46" t="s">
        <v>18</v>
      </c>
      <c r="E3327" s="46" t="s">
        <v>13</v>
      </c>
      <c r="F3327" s="48">
        <v>78.8</v>
      </c>
    </row>
    <row r="3328">
      <c r="A3328" s="46" t="s">
        <v>377</v>
      </c>
      <c r="B3328" s="46" t="s">
        <v>7240</v>
      </c>
      <c r="C3328" s="46" t="s">
        <v>2527</v>
      </c>
      <c r="D3328" s="46" t="s">
        <v>18</v>
      </c>
      <c r="E3328" s="46" t="s">
        <v>13</v>
      </c>
      <c r="F3328" s="48">
        <v>89.8</v>
      </c>
    </row>
    <row r="3329">
      <c r="A3329" s="46" t="s">
        <v>377</v>
      </c>
      <c r="B3329" s="46" t="s">
        <v>7244</v>
      </c>
      <c r="C3329" s="46" t="s">
        <v>608</v>
      </c>
      <c r="D3329" s="46" t="s">
        <v>18</v>
      </c>
      <c r="E3329" s="46" t="s">
        <v>13</v>
      </c>
      <c r="F3329" s="48">
        <v>83.3</v>
      </c>
    </row>
    <row r="3330">
      <c r="A3330" s="46" t="s">
        <v>377</v>
      </c>
      <c r="B3330" s="46" t="s">
        <v>7254</v>
      </c>
      <c r="C3330" s="46" t="s">
        <v>7255</v>
      </c>
      <c r="D3330" s="46" t="s">
        <v>18</v>
      </c>
      <c r="E3330" s="46" t="s">
        <v>13</v>
      </c>
      <c r="F3330" s="48">
        <v>85.2</v>
      </c>
    </row>
    <row r="3331">
      <c r="A3331" s="46" t="s">
        <v>377</v>
      </c>
      <c r="B3331" s="46" t="s">
        <v>7259</v>
      </c>
      <c r="C3331" s="46" t="s">
        <v>593</v>
      </c>
      <c r="D3331" s="46" t="s">
        <v>18</v>
      </c>
      <c r="E3331" s="46" t="s">
        <v>13</v>
      </c>
      <c r="F3331" s="48">
        <v>86.3</v>
      </c>
    </row>
    <row r="3332">
      <c r="A3332" s="46" t="s">
        <v>377</v>
      </c>
      <c r="B3332" s="46" t="s">
        <v>7261</v>
      </c>
      <c r="C3332" s="46" t="s">
        <v>5823</v>
      </c>
      <c r="D3332" s="46" t="s">
        <v>18</v>
      </c>
      <c r="E3332" s="46" t="s">
        <v>13</v>
      </c>
      <c r="F3332" s="48">
        <v>93.0</v>
      </c>
    </row>
    <row r="3333">
      <c r="A3333" s="46" t="s">
        <v>377</v>
      </c>
      <c r="B3333" s="46" t="s">
        <v>218</v>
      </c>
      <c r="C3333" s="46" t="s">
        <v>4278</v>
      </c>
      <c r="D3333" s="46" t="s">
        <v>17</v>
      </c>
      <c r="E3333" s="46" t="s">
        <v>13</v>
      </c>
      <c r="F3333" s="48">
        <v>78.7</v>
      </c>
    </row>
    <row r="3334">
      <c r="A3334" s="46" t="s">
        <v>483</v>
      </c>
      <c r="B3334" s="46" t="s">
        <v>7279</v>
      </c>
      <c r="C3334" s="46" t="s">
        <v>7280</v>
      </c>
      <c r="D3334" s="46" t="s">
        <v>18</v>
      </c>
      <c r="E3334" s="46" t="s">
        <v>14</v>
      </c>
      <c r="F3334" s="48">
        <v>98.9</v>
      </c>
    </row>
    <row r="3335">
      <c r="A3335" s="46" t="s">
        <v>483</v>
      </c>
      <c r="B3335" s="46" t="s">
        <v>7284</v>
      </c>
      <c r="C3335" s="46" t="s">
        <v>7285</v>
      </c>
      <c r="D3335" s="46" t="s">
        <v>18</v>
      </c>
      <c r="E3335" s="46" t="s">
        <v>13</v>
      </c>
      <c r="F3335" s="48">
        <v>90.3</v>
      </c>
    </row>
    <row r="3336">
      <c r="A3336" s="46" t="s">
        <v>483</v>
      </c>
      <c r="B3336" s="46" t="s">
        <v>7289</v>
      </c>
      <c r="C3336" s="46" t="s">
        <v>483</v>
      </c>
      <c r="D3336" s="46" t="s">
        <v>17</v>
      </c>
      <c r="E3336" s="46" t="s">
        <v>14</v>
      </c>
      <c r="F3336" s="48">
        <v>95.5</v>
      </c>
    </row>
    <row r="3337">
      <c r="A3337" s="46" t="s">
        <v>483</v>
      </c>
      <c r="B3337" s="46" t="s">
        <v>7293</v>
      </c>
      <c r="C3337" s="46" t="s">
        <v>7294</v>
      </c>
      <c r="D3337" s="46" t="s">
        <v>18</v>
      </c>
      <c r="E3337" s="46" t="s">
        <v>14</v>
      </c>
      <c r="F3337" s="48">
        <v>102.2</v>
      </c>
    </row>
    <row r="3338">
      <c r="A3338" s="46" t="s">
        <v>354</v>
      </c>
      <c r="B3338" s="46" t="s">
        <v>7305</v>
      </c>
      <c r="C3338" s="46" t="s">
        <v>4353</v>
      </c>
      <c r="D3338" s="46" t="s">
        <v>18</v>
      </c>
      <c r="E3338" s="46" t="s">
        <v>13</v>
      </c>
      <c r="F3338" s="48">
        <v>81.0</v>
      </c>
    </row>
    <row r="3339">
      <c r="A3339" s="46" t="s">
        <v>354</v>
      </c>
      <c r="B3339" s="46" t="s">
        <v>7316</v>
      </c>
      <c r="C3339" s="46" t="s">
        <v>7317</v>
      </c>
      <c r="D3339" s="46" t="s">
        <v>17</v>
      </c>
      <c r="E3339" s="46" t="s">
        <v>13</v>
      </c>
      <c r="F3339" s="48">
        <v>100.8</v>
      </c>
    </row>
    <row r="3340">
      <c r="A3340" s="46" t="s">
        <v>313</v>
      </c>
      <c r="B3340" s="46" t="s">
        <v>7324</v>
      </c>
      <c r="C3340" s="46" t="s">
        <v>7325</v>
      </c>
      <c r="D3340" s="46" t="s">
        <v>18</v>
      </c>
      <c r="E3340" s="46" t="s">
        <v>14</v>
      </c>
      <c r="F3340" s="48">
        <v>102.0</v>
      </c>
    </row>
    <row r="3341">
      <c r="A3341" s="46" t="s">
        <v>313</v>
      </c>
      <c r="B3341" s="46" t="s">
        <v>1566</v>
      </c>
      <c r="C3341" s="46" t="s">
        <v>634</v>
      </c>
      <c r="D3341" s="46" t="s">
        <v>18</v>
      </c>
      <c r="E3341" s="46" t="s">
        <v>14</v>
      </c>
      <c r="F3341" s="48">
        <v>95.1</v>
      </c>
    </row>
    <row r="3342">
      <c r="A3342" s="46" t="s">
        <v>161</v>
      </c>
      <c r="B3342" s="46" t="s">
        <v>7340</v>
      </c>
      <c r="C3342" s="46" t="s">
        <v>161</v>
      </c>
      <c r="D3342" s="46" t="s">
        <v>18</v>
      </c>
      <c r="E3342" s="46" t="s">
        <v>14</v>
      </c>
      <c r="F3342" s="48">
        <v>94.9</v>
      </c>
    </row>
    <row r="3343">
      <c r="A3343" s="46" t="s">
        <v>161</v>
      </c>
      <c r="B3343" s="46" t="s">
        <v>7349</v>
      </c>
      <c r="C3343" s="46" t="s">
        <v>2613</v>
      </c>
      <c r="D3343" s="46" t="s">
        <v>17</v>
      </c>
      <c r="E3343" s="46" t="s">
        <v>13</v>
      </c>
      <c r="F3343" s="48">
        <v>88.7</v>
      </c>
    </row>
    <row r="3344">
      <c r="A3344" s="46" t="s">
        <v>161</v>
      </c>
      <c r="B3344" s="46" t="s">
        <v>595</v>
      </c>
      <c r="C3344" s="46" t="s">
        <v>2613</v>
      </c>
      <c r="D3344" s="46" t="s">
        <v>17</v>
      </c>
      <c r="E3344" s="46" t="s">
        <v>13</v>
      </c>
      <c r="F3344" s="48">
        <v>96.2</v>
      </c>
    </row>
    <row r="3345">
      <c r="A3345" s="46" t="s">
        <v>161</v>
      </c>
      <c r="B3345" s="46" t="s">
        <v>7352</v>
      </c>
      <c r="C3345" s="46" t="s">
        <v>7353</v>
      </c>
      <c r="D3345" s="46" t="s">
        <v>18</v>
      </c>
      <c r="E3345" s="46" t="s">
        <v>13</v>
      </c>
      <c r="F3345" s="48">
        <v>81.1</v>
      </c>
    </row>
    <row r="3346">
      <c r="A3346" s="46" t="s">
        <v>161</v>
      </c>
      <c r="B3346" s="46" t="s">
        <v>7355</v>
      </c>
      <c r="C3346" s="46" t="s">
        <v>666</v>
      </c>
      <c r="D3346" s="46" t="s">
        <v>17</v>
      </c>
      <c r="E3346" s="46" t="s">
        <v>13</v>
      </c>
      <c r="F3346" s="48">
        <v>85.4</v>
      </c>
    </row>
    <row r="3347">
      <c r="A3347" s="46" t="s">
        <v>393</v>
      </c>
      <c r="B3347" s="46" t="s">
        <v>7360</v>
      </c>
      <c r="C3347" s="46" t="s">
        <v>2637</v>
      </c>
      <c r="D3347" s="46" t="s">
        <v>18</v>
      </c>
      <c r="E3347" s="46" t="s">
        <v>13</v>
      </c>
      <c r="F3347" s="48">
        <v>79.4</v>
      </c>
    </row>
    <row r="3348">
      <c r="A3348" s="46" t="s">
        <v>393</v>
      </c>
      <c r="B3348" s="46" t="s">
        <v>918</v>
      </c>
      <c r="C3348" s="46" t="s">
        <v>2637</v>
      </c>
      <c r="D3348" s="46" t="s">
        <v>17</v>
      </c>
      <c r="E3348" s="46" t="s">
        <v>13</v>
      </c>
      <c r="F3348" s="48">
        <v>89.8</v>
      </c>
    </row>
    <row r="3349">
      <c r="A3349" s="46" t="s">
        <v>393</v>
      </c>
      <c r="B3349" s="46" t="s">
        <v>595</v>
      </c>
      <c r="C3349" s="46" t="s">
        <v>710</v>
      </c>
      <c r="D3349" s="46" t="s">
        <v>17</v>
      </c>
      <c r="E3349" s="46" t="s">
        <v>13</v>
      </c>
      <c r="F3349" s="48">
        <v>81.2</v>
      </c>
    </row>
    <row r="3350">
      <c r="A3350" s="46" t="s">
        <v>377</v>
      </c>
      <c r="B3350" s="46" t="s">
        <v>4808</v>
      </c>
      <c r="C3350" s="46" t="s">
        <v>7371</v>
      </c>
      <c r="D3350" s="46" t="s">
        <v>17</v>
      </c>
      <c r="E3350" s="46" t="s">
        <v>13</v>
      </c>
      <c r="F3350" s="48">
        <v>87.4</v>
      </c>
    </row>
    <row r="3351">
      <c r="A3351" s="46" t="s">
        <v>313</v>
      </c>
      <c r="B3351" s="46" t="s">
        <v>7377</v>
      </c>
      <c r="C3351" s="46" t="s">
        <v>735</v>
      </c>
      <c r="D3351" s="46" t="s">
        <v>18</v>
      </c>
      <c r="E3351" s="46" t="s">
        <v>13</v>
      </c>
      <c r="F3351" s="48">
        <v>83.5</v>
      </c>
    </row>
    <row r="3352">
      <c r="A3352" s="46" t="s">
        <v>313</v>
      </c>
      <c r="B3352" s="46" t="s">
        <v>7379</v>
      </c>
      <c r="C3352" s="46" t="s">
        <v>741</v>
      </c>
      <c r="D3352" s="46" t="s">
        <v>17</v>
      </c>
      <c r="E3352" s="46" t="s">
        <v>14</v>
      </c>
      <c r="F3352" s="48">
        <v>96.0</v>
      </c>
    </row>
    <row r="3353">
      <c r="A3353" s="46" t="s">
        <v>313</v>
      </c>
      <c r="B3353" s="46" t="s">
        <v>7381</v>
      </c>
      <c r="C3353" s="46" t="s">
        <v>7382</v>
      </c>
      <c r="D3353" s="46" t="s">
        <v>18</v>
      </c>
      <c r="E3353" s="46" t="s">
        <v>13</v>
      </c>
      <c r="F3353" s="48">
        <v>86.5</v>
      </c>
    </row>
    <row r="3354">
      <c r="A3354" s="46" t="s">
        <v>71</v>
      </c>
      <c r="B3354" s="46" t="s">
        <v>489</v>
      </c>
      <c r="C3354" s="46" t="s">
        <v>2675</v>
      </c>
      <c r="D3354" s="46" t="s">
        <v>18</v>
      </c>
      <c r="E3354" s="46" t="s">
        <v>15</v>
      </c>
      <c r="F3354" s="48">
        <v>98.9</v>
      </c>
    </row>
    <row r="3355">
      <c r="A3355" s="46" t="s">
        <v>71</v>
      </c>
      <c r="B3355" s="46" t="s">
        <v>7390</v>
      </c>
      <c r="C3355" s="46" t="s">
        <v>748</v>
      </c>
      <c r="D3355" s="46" t="s">
        <v>18</v>
      </c>
      <c r="E3355" s="46" t="s">
        <v>15</v>
      </c>
      <c r="F3355" s="48">
        <v>100.1</v>
      </c>
    </row>
    <row r="3356">
      <c r="A3356" s="46" t="s">
        <v>71</v>
      </c>
      <c r="B3356" s="46" t="s">
        <v>7393</v>
      </c>
      <c r="C3356" s="46" t="s">
        <v>745</v>
      </c>
      <c r="D3356" s="46" t="s">
        <v>18</v>
      </c>
      <c r="E3356" s="46" t="s">
        <v>13</v>
      </c>
      <c r="F3356" s="48">
        <v>89.6</v>
      </c>
    </row>
    <row r="3357">
      <c r="A3357" s="46" t="s">
        <v>71</v>
      </c>
      <c r="B3357" s="46" t="s">
        <v>7395</v>
      </c>
      <c r="C3357" s="46" t="s">
        <v>748</v>
      </c>
      <c r="D3357" s="46" t="s">
        <v>18</v>
      </c>
      <c r="E3357" s="46" t="s">
        <v>13</v>
      </c>
      <c r="F3357" s="48">
        <v>83.4</v>
      </c>
    </row>
    <row r="3358">
      <c r="A3358" s="46" t="s">
        <v>71</v>
      </c>
      <c r="B3358" s="46" t="s">
        <v>7397</v>
      </c>
      <c r="C3358" s="46" t="s">
        <v>748</v>
      </c>
      <c r="D3358" s="46" t="s">
        <v>17</v>
      </c>
      <c r="E3358" s="46" t="s">
        <v>13</v>
      </c>
      <c r="F3358" s="48">
        <v>98.8</v>
      </c>
    </row>
    <row r="3359">
      <c r="A3359" s="46" t="s">
        <v>71</v>
      </c>
      <c r="B3359" s="46" t="s">
        <v>7399</v>
      </c>
      <c r="C3359" s="46" t="s">
        <v>2678</v>
      </c>
      <c r="D3359" s="46" t="s">
        <v>17</v>
      </c>
      <c r="E3359" s="46" t="s">
        <v>13</v>
      </c>
      <c r="F3359" s="48">
        <v>93.6</v>
      </c>
    </row>
    <row r="3360">
      <c r="A3360" s="46" t="s">
        <v>71</v>
      </c>
      <c r="B3360" s="46" t="s">
        <v>4730</v>
      </c>
      <c r="C3360" s="46" t="s">
        <v>748</v>
      </c>
      <c r="D3360" s="46" t="s">
        <v>17</v>
      </c>
      <c r="E3360" s="46" t="s">
        <v>15</v>
      </c>
      <c r="F3360" s="48">
        <v>103.1</v>
      </c>
    </row>
    <row r="3361">
      <c r="A3361" s="46" t="s">
        <v>71</v>
      </c>
      <c r="B3361" s="46" t="s">
        <v>4618</v>
      </c>
      <c r="C3361" s="46" t="s">
        <v>745</v>
      </c>
      <c r="D3361" s="46" t="s">
        <v>17</v>
      </c>
      <c r="E3361" s="46" t="s">
        <v>13</v>
      </c>
      <c r="F3361" s="48">
        <v>94.8</v>
      </c>
    </row>
    <row r="3362">
      <c r="A3362" s="46" t="s">
        <v>779</v>
      </c>
      <c r="B3362" s="46" t="s">
        <v>7420</v>
      </c>
      <c r="C3362" s="46" t="s">
        <v>779</v>
      </c>
      <c r="D3362" s="46" t="s">
        <v>18</v>
      </c>
      <c r="E3362" s="46" t="s">
        <v>13</v>
      </c>
      <c r="F3362" s="48">
        <v>83.9</v>
      </c>
    </row>
    <row r="3363">
      <c r="A3363" s="46" t="s">
        <v>779</v>
      </c>
      <c r="B3363" s="46" t="s">
        <v>6109</v>
      </c>
      <c r="C3363" s="46" t="s">
        <v>792</v>
      </c>
      <c r="D3363" s="46" t="s">
        <v>18</v>
      </c>
      <c r="E3363" s="46" t="s">
        <v>13</v>
      </c>
      <c r="F3363" s="48">
        <v>89.0</v>
      </c>
    </row>
    <row r="3364">
      <c r="A3364" s="46" t="s">
        <v>313</v>
      </c>
      <c r="B3364" s="46" t="s">
        <v>7444</v>
      </c>
      <c r="C3364" s="46" t="s">
        <v>824</v>
      </c>
      <c r="D3364" s="46" t="s">
        <v>18</v>
      </c>
      <c r="E3364" s="46" t="s">
        <v>13</v>
      </c>
      <c r="F3364" s="48">
        <v>82.4</v>
      </c>
    </row>
    <row r="3365">
      <c r="A3365" s="46" t="s">
        <v>313</v>
      </c>
      <c r="B3365" s="46" t="s">
        <v>7446</v>
      </c>
      <c r="C3365" s="46" t="s">
        <v>830</v>
      </c>
      <c r="D3365" s="46" t="s">
        <v>17</v>
      </c>
      <c r="E3365" s="46" t="s">
        <v>13</v>
      </c>
      <c r="F3365" s="48">
        <v>96.3</v>
      </c>
    </row>
    <row r="3366">
      <c r="A3366" s="46" t="s">
        <v>377</v>
      </c>
      <c r="B3366" s="46" t="s">
        <v>7452</v>
      </c>
      <c r="C3366" s="46" t="s">
        <v>7453</v>
      </c>
      <c r="D3366" s="46" t="s">
        <v>18</v>
      </c>
      <c r="E3366" s="46" t="s">
        <v>13</v>
      </c>
      <c r="F3366" s="48">
        <v>94.2</v>
      </c>
    </row>
    <row r="3367">
      <c r="A3367" s="46" t="s">
        <v>377</v>
      </c>
      <c r="B3367" s="46" t="s">
        <v>91</v>
      </c>
      <c r="C3367" s="46" t="s">
        <v>7455</v>
      </c>
      <c r="D3367" s="46" t="s">
        <v>18</v>
      </c>
      <c r="E3367" s="46" t="s">
        <v>13</v>
      </c>
      <c r="F3367" s="48">
        <v>88.5</v>
      </c>
    </row>
    <row r="3368">
      <c r="A3368" s="46" t="s">
        <v>483</v>
      </c>
      <c r="B3368" s="46" t="s">
        <v>7459</v>
      </c>
      <c r="C3368" s="46" t="s">
        <v>7460</v>
      </c>
      <c r="D3368" s="46" t="s">
        <v>17</v>
      </c>
      <c r="E3368" s="46" t="s">
        <v>14</v>
      </c>
      <c r="F3368" s="48">
        <v>103.4</v>
      </c>
    </row>
    <row r="3369">
      <c r="A3369" s="46" t="s">
        <v>779</v>
      </c>
      <c r="B3369" s="46" t="s">
        <v>7475</v>
      </c>
      <c r="C3369" s="46" t="s">
        <v>2771</v>
      </c>
      <c r="D3369" s="46" t="s">
        <v>18</v>
      </c>
      <c r="E3369" s="46" t="s">
        <v>14</v>
      </c>
      <c r="F3369" s="48">
        <v>87.0</v>
      </c>
    </row>
    <row r="3370">
      <c r="A3370" s="46" t="s">
        <v>779</v>
      </c>
      <c r="B3370" s="46" t="s">
        <v>7477</v>
      </c>
      <c r="C3370" s="46" t="s">
        <v>4551</v>
      </c>
      <c r="D3370" s="46" t="s">
        <v>18</v>
      </c>
      <c r="E3370" s="46" t="s">
        <v>14</v>
      </c>
      <c r="F3370" s="48">
        <v>103.8</v>
      </c>
    </row>
    <row r="3371">
      <c r="A3371" s="46" t="s">
        <v>269</v>
      </c>
      <c r="B3371" s="46" t="s">
        <v>7479</v>
      </c>
      <c r="C3371" s="46" t="s">
        <v>884</v>
      </c>
      <c r="D3371" s="46" t="s">
        <v>18</v>
      </c>
      <c r="E3371" s="46" t="s">
        <v>14</v>
      </c>
      <c r="F3371" s="48">
        <v>102.3</v>
      </c>
    </row>
    <row r="3372">
      <c r="A3372" s="46" t="s">
        <v>269</v>
      </c>
      <c r="B3372" s="46" t="s">
        <v>7484</v>
      </c>
      <c r="C3372" s="46" t="s">
        <v>893</v>
      </c>
      <c r="D3372" s="46" t="s">
        <v>18</v>
      </c>
      <c r="E3372" s="46" t="s">
        <v>14</v>
      </c>
      <c r="F3372" s="48">
        <v>95.5</v>
      </c>
    </row>
    <row r="3373">
      <c r="A3373" s="46" t="s">
        <v>269</v>
      </c>
      <c r="B3373" s="46" t="s">
        <v>7486</v>
      </c>
      <c r="C3373" s="46" t="s">
        <v>890</v>
      </c>
      <c r="D3373" s="46" t="s">
        <v>18</v>
      </c>
      <c r="E3373" s="46" t="s">
        <v>13</v>
      </c>
      <c r="F3373" s="48">
        <v>87.1</v>
      </c>
    </row>
    <row r="3374">
      <c r="A3374" s="46" t="s">
        <v>169</v>
      </c>
      <c r="B3374" s="46" t="s">
        <v>7488</v>
      </c>
      <c r="C3374" s="46" t="s">
        <v>2793</v>
      </c>
      <c r="D3374" s="46" t="s">
        <v>18</v>
      </c>
      <c r="E3374" s="46" t="s">
        <v>14</v>
      </c>
      <c r="F3374" s="48">
        <v>95.3</v>
      </c>
    </row>
    <row r="3375">
      <c r="A3375" s="46" t="s">
        <v>169</v>
      </c>
      <c r="B3375" s="46" t="s">
        <v>7498</v>
      </c>
      <c r="C3375" s="46" t="s">
        <v>169</v>
      </c>
      <c r="D3375" s="46" t="s">
        <v>18</v>
      </c>
      <c r="E3375" s="46" t="s">
        <v>14</v>
      </c>
      <c r="F3375" s="48">
        <v>98.4</v>
      </c>
    </row>
    <row r="3376">
      <c r="A3376" s="46" t="s">
        <v>169</v>
      </c>
      <c r="B3376" s="46" t="s">
        <v>7502</v>
      </c>
      <c r="C3376" s="46" t="s">
        <v>2793</v>
      </c>
      <c r="D3376" s="46" t="s">
        <v>18</v>
      </c>
      <c r="E3376" s="46" t="s">
        <v>14</v>
      </c>
      <c r="F3376" s="48">
        <v>90.3</v>
      </c>
    </row>
    <row r="3377">
      <c r="A3377" s="46" t="s">
        <v>169</v>
      </c>
      <c r="B3377" s="46" t="s">
        <v>7504</v>
      </c>
      <c r="C3377" s="46" t="s">
        <v>4580</v>
      </c>
      <c r="D3377" s="46" t="s">
        <v>18</v>
      </c>
      <c r="E3377" s="46" t="s">
        <v>15</v>
      </c>
      <c r="F3377" s="48">
        <v>92.9</v>
      </c>
    </row>
    <row r="3378">
      <c r="A3378" s="46" t="s">
        <v>169</v>
      </c>
      <c r="B3378" s="46" t="s">
        <v>7506</v>
      </c>
      <c r="C3378" s="46" t="s">
        <v>4580</v>
      </c>
      <c r="D3378" s="46" t="s">
        <v>17</v>
      </c>
      <c r="E3378" s="46" t="s">
        <v>13</v>
      </c>
      <c r="F3378" s="48">
        <v>90.4</v>
      </c>
    </row>
    <row r="3379">
      <c r="A3379" s="46" t="s">
        <v>779</v>
      </c>
      <c r="B3379" s="46" t="s">
        <v>7512</v>
      </c>
      <c r="C3379" s="46" t="s">
        <v>2808</v>
      </c>
      <c r="D3379" s="46" t="s">
        <v>17</v>
      </c>
      <c r="E3379" s="46" t="s">
        <v>14</v>
      </c>
      <c r="F3379" s="48">
        <v>102.9</v>
      </c>
    </row>
    <row r="3380">
      <c r="A3380" s="46" t="s">
        <v>930</v>
      </c>
      <c r="B3380" s="46" t="s">
        <v>7514</v>
      </c>
      <c r="C3380" s="46" t="s">
        <v>934</v>
      </c>
      <c r="D3380" s="46" t="s">
        <v>18</v>
      </c>
      <c r="E3380" s="46" t="s">
        <v>13</v>
      </c>
      <c r="F3380" s="48">
        <v>81.2</v>
      </c>
    </row>
    <row r="3381">
      <c r="A3381" s="46" t="s">
        <v>930</v>
      </c>
      <c r="B3381" s="46" t="s">
        <v>7523</v>
      </c>
      <c r="C3381" s="46" t="s">
        <v>937</v>
      </c>
      <c r="D3381" s="46" t="s">
        <v>17</v>
      </c>
      <c r="E3381" s="46" t="s">
        <v>13</v>
      </c>
      <c r="F3381" s="48">
        <v>93.2</v>
      </c>
    </row>
    <row r="3382">
      <c r="A3382" s="46" t="s">
        <v>930</v>
      </c>
      <c r="B3382" s="46" t="s">
        <v>7525</v>
      </c>
      <c r="C3382" s="46" t="s">
        <v>7526</v>
      </c>
      <c r="D3382" s="46" t="s">
        <v>18</v>
      </c>
      <c r="E3382" s="46" t="s">
        <v>13</v>
      </c>
      <c r="F3382" s="48">
        <v>73.3</v>
      </c>
    </row>
    <row r="3383">
      <c r="A3383" s="46" t="s">
        <v>930</v>
      </c>
      <c r="B3383" s="46" t="s">
        <v>7532</v>
      </c>
      <c r="C3383" s="46" t="s">
        <v>960</v>
      </c>
      <c r="D3383" s="46" t="s">
        <v>18</v>
      </c>
      <c r="E3383" s="46" t="s">
        <v>13</v>
      </c>
      <c r="F3383" s="48">
        <v>79.9</v>
      </c>
    </row>
    <row r="3384">
      <c r="A3384" s="46" t="s">
        <v>354</v>
      </c>
      <c r="B3384" s="46" t="s">
        <v>7534</v>
      </c>
      <c r="C3384" s="46" t="s">
        <v>2873</v>
      </c>
      <c r="D3384" s="46" t="s">
        <v>18</v>
      </c>
      <c r="E3384" s="46" t="s">
        <v>13</v>
      </c>
      <c r="F3384" s="48">
        <v>103.8</v>
      </c>
    </row>
    <row r="3385">
      <c r="A3385" s="46" t="s">
        <v>354</v>
      </c>
      <c r="B3385" s="46" t="s">
        <v>7536</v>
      </c>
      <c r="C3385" s="46" t="s">
        <v>7537</v>
      </c>
      <c r="D3385" s="46" t="s">
        <v>18</v>
      </c>
      <c r="E3385" s="46" t="s">
        <v>13</v>
      </c>
      <c r="F3385" s="48">
        <v>92.1</v>
      </c>
    </row>
    <row r="3386">
      <c r="A3386" s="46" t="s">
        <v>354</v>
      </c>
      <c r="B3386" s="46" t="s">
        <v>7540</v>
      </c>
      <c r="C3386" s="46" t="s">
        <v>7541</v>
      </c>
      <c r="D3386" s="46" t="s">
        <v>17</v>
      </c>
      <c r="E3386" s="46" t="s">
        <v>13</v>
      </c>
      <c r="F3386" s="48">
        <v>95.6</v>
      </c>
    </row>
    <row r="3387">
      <c r="A3387" s="46" t="s">
        <v>930</v>
      </c>
      <c r="B3387" s="46" t="s">
        <v>7545</v>
      </c>
      <c r="C3387" s="46" t="s">
        <v>2895</v>
      </c>
      <c r="D3387" s="46" t="s">
        <v>18</v>
      </c>
      <c r="E3387" s="46" t="s">
        <v>14</v>
      </c>
      <c r="F3387" s="48">
        <v>98.9</v>
      </c>
    </row>
    <row r="3388">
      <c r="A3388" s="46" t="s">
        <v>930</v>
      </c>
      <c r="B3388" s="46" t="s">
        <v>7547</v>
      </c>
      <c r="C3388" s="46" t="s">
        <v>2885</v>
      </c>
      <c r="D3388" s="46" t="s">
        <v>18</v>
      </c>
      <c r="E3388" s="46" t="s">
        <v>13</v>
      </c>
      <c r="F3388" s="48">
        <v>84.4</v>
      </c>
    </row>
    <row r="3389">
      <c r="A3389" s="46" t="s">
        <v>930</v>
      </c>
      <c r="B3389" s="46" t="s">
        <v>3119</v>
      </c>
      <c r="C3389" s="46" t="s">
        <v>1010</v>
      </c>
      <c r="D3389" s="46" t="s">
        <v>17</v>
      </c>
      <c r="E3389" s="46" t="s">
        <v>13</v>
      </c>
      <c r="F3389" s="48">
        <v>94.5</v>
      </c>
    </row>
    <row r="3390">
      <c r="A3390" s="46" t="s">
        <v>930</v>
      </c>
      <c r="B3390" s="46" t="s">
        <v>7554</v>
      </c>
      <c r="C3390" s="46" t="s">
        <v>2895</v>
      </c>
      <c r="D3390" s="46" t="s">
        <v>17</v>
      </c>
      <c r="E3390" s="46" t="s">
        <v>13</v>
      </c>
      <c r="F3390" s="48">
        <v>82.2</v>
      </c>
    </row>
    <row r="3391">
      <c r="A3391" s="46" t="s">
        <v>930</v>
      </c>
      <c r="B3391" s="46" t="s">
        <v>897</v>
      </c>
      <c r="C3391" s="46" t="s">
        <v>4629</v>
      </c>
      <c r="D3391" s="46" t="s">
        <v>17</v>
      </c>
      <c r="E3391" s="46" t="s">
        <v>13</v>
      </c>
      <c r="F3391" s="48">
        <v>86.7</v>
      </c>
    </row>
    <row r="3392">
      <c r="A3392" s="46" t="s">
        <v>930</v>
      </c>
      <c r="B3392" s="46" t="s">
        <v>7557</v>
      </c>
      <c r="C3392" s="46" t="s">
        <v>989</v>
      </c>
      <c r="D3392" s="46" t="s">
        <v>17</v>
      </c>
      <c r="E3392" s="46" t="s">
        <v>13</v>
      </c>
      <c r="F3392" s="48">
        <v>71.6</v>
      </c>
    </row>
    <row r="3393">
      <c r="A3393" s="46" t="s">
        <v>930</v>
      </c>
      <c r="B3393" s="46" t="s">
        <v>7559</v>
      </c>
      <c r="C3393" s="46" t="s">
        <v>995</v>
      </c>
      <c r="D3393" s="46" t="s">
        <v>18</v>
      </c>
      <c r="E3393" s="46" t="s">
        <v>14</v>
      </c>
      <c r="F3393" s="48">
        <v>95.4</v>
      </c>
    </row>
    <row r="3394">
      <c r="A3394" s="46" t="s">
        <v>930</v>
      </c>
      <c r="B3394" s="46" t="s">
        <v>4653</v>
      </c>
      <c r="C3394" s="46" t="s">
        <v>7561</v>
      </c>
      <c r="D3394" s="46" t="s">
        <v>18</v>
      </c>
      <c r="E3394" s="46" t="s">
        <v>14</v>
      </c>
      <c r="F3394" s="48">
        <v>87.4</v>
      </c>
    </row>
    <row r="3395">
      <c r="A3395" s="46" t="s">
        <v>930</v>
      </c>
      <c r="B3395" s="46" t="s">
        <v>7565</v>
      </c>
      <c r="C3395" s="46" t="s">
        <v>7566</v>
      </c>
      <c r="D3395" s="46" t="s">
        <v>18</v>
      </c>
      <c r="E3395" s="46" t="s">
        <v>14</v>
      </c>
      <c r="F3395" s="48">
        <v>91.7</v>
      </c>
    </row>
    <row r="3396">
      <c r="A3396" s="46" t="s">
        <v>333</v>
      </c>
      <c r="B3396" s="46" t="s">
        <v>4183</v>
      </c>
      <c r="C3396" s="46" t="s">
        <v>2900</v>
      </c>
      <c r="D3396" s="46" t="s">
        <v>17</v>
      </c>
      <c r="E3396" s="46" t="s">
        <v>14</v>
      </c>
      <c r="F3396" s="48">
        <v>99.5</v>
      </c>
    </row>
    <row r="3397">
      <c r="A3397" s="46" t="s">
        <v>46</v>
      </c>
      <c r="B3397" s="46" t="s">
        <v>7573</v>
      </c>
      <c r="C3397" s="46" t="s">
        <v>7574</v>
      </c>
      <c r="D3397" s="46" t="s">
        <v>18</v>
      </c>
      <c r="E3397" s="46" t="s">
        <v>14</v>
      </c>
      <c r="F3397" s="48">
        <v>82.6</v>
      </c>
    </row>
    <row r="3398">
      <c r="A3398" s="46" t="s">
        <v>46</v>
      </c>
      <c r="B3398" s="46" t="s">
        <v>6357</v>
      </c>
      <c r="C3398" s="46" t="s">
        <v>1078</v>
      </c>
      <c r="D3398" s="46" t="s">
        <v>18</v>
      </c>
      <c r="E3398" s="46" t="s">
        <v>15</v>
      </c>
      <c r="F3398" s="48">
        <v>86.8</v>
      </c>
    </row>
    <row r="3399">
      <c r="A3399" s="46" t="s">
        <v>46</v>
      </c>
      <c r="B3399" s="46" t="s">
        <v>7579</v>
      </c>
      <c r="C3399" s="46" t="s">
        <v>1059</v>
      </c>
      <c r="D3399" s="46" t="s">
        <v>18</v>
      </c>
      <c r="E3399" s="46" t="s">
        <v>15</v>
      </c>
      <c r="F3399" s="48">
        <v>88.2</v>
      </c>
    </row>
    <row r="3400">
      <c r="A3400" s="46" t="s">
        <v>46</v>
      </c>
      <c r="B3400" s="46" t="s">
        <v>6160</v>
      </c>
      <c r="C3400" s="46" t="s">
        <v>2944</v>
      </c>
      <c r="D3400" s="46" t="s">
        <v>18</v>
      </c>
      <c r="E3400" s="46" t="s">
        <v>15</v>
      </c>
      <c r="F3400" s="48">
        <v>101.4</v>
      </c>
    </row>
    <row r="3401">
      <c r="A3401" s="46" t="s">
        <v>46</v>
      </c>
      <c r="B3401" s="46" t="s">
        <v>7582</v>
      </c>
      <c r="C3401" s="46" t="s">
        <v>46</v>
      </c>
      <c r="D3401" s="46" t="s">
        <v>18</v>
      </c>
      <c r="E3401" s="46" t="s">
        <v>15</v>
      </c>
      <c r="F3401" s="48">
        <v>85.7</v>
      </c>
    </row>
    <row r="3402">
      <c r="A3402" s="46" t="s">
        <v>46</v>
      </c>
      <c r="B3402" s="46" t="s">
        <v>7584</v>
      </c>
      <c r="C3402" s="46" t="s">
        <v>7585</v>
      </c>
      <c r="D3402" s="46" t="s">
        <v>18</v>
      </c>
      <c r="E3402" s="46" t="s">
        <v>13</v>
      </c>
      <c r="F3402" s="48">
        <v>77.2</v>
      </c>
    </row>
    <row r="3403">
      <c r="A3403" s="46" t="s">
        <v>46</v>
      </c>
      <c r="B3403" s="46" t="s">
        <v>7587</v>
      </c>
      <c r="C3403" s="46" t="s">
        <v>1078</v>
      </c>
      <c r="D3403" s="46" t="s">
        <v>18</v>
      </c>
      <c r="E3403" s="46" t="s">
        <v>15</v>
      </c>
      <c r="F3403" s="48">
        <v>88.5</v>
      </c>
    </row>
    <row r="3404">
      <c r="A3404" s="46" t="s">
        <v>46</v>
      </c>
      <c r="B3404" s="46" t="s">
        <v>7589</v>
      </c>
      <c r="C3404" s="46" t="s">
        <v>1036</v>
      </c>
      <c r="D3404" s="46" t="s">
        <v>18</v>
      </c>
      <c r="E3404" s="46" t="s">
        <v>13</v>
      </c>
      <c r="F3404" s="48">
        <v>73.1</v>
      </c>
    </row>
    <row r="3405">
      <c r="A3405" s="46" t="s">
        <v>46</v>
      </c>
      <c r="B3405" s="46" t="s">
        <v>6109</v>
      </c>
      <c r="C3405" s="46" t="s">
        <v>6191</v>
      </c>
      <c r="D3405" s="46" t="s">
        <v>18</v>
      </c>
      <c r="E3405" s="46" t="s">
        <v>13</v>
      </c>
      <c r="F3405" s="48">
        <v>64.7</v>
      </c>
    </row>
    <row r="3406">
      <c r="A3406" s="46" t="s">
        <v>46</v>
      </c>
      <c r="B3406" s="46" t="s">
        <v>7592</v>
      </c>
      <c r="C3406" s="46" t="s">
        <v>1059</v>
      </c>
      <c r="D3406" s="46" t="s">
        <v>17</v>
      </c>
      <c r="E3406" s="46" t="s">
        <v>15</v>
      </c>
      <c r="F3406" s="48">
        <v>103.6</v>
      </c>
    </row>
    <row r="3407">
      <c r="A3407" s="46" t="s">
        <v>46</v>
      </c>
      <c r="B3407" s="46" t="s">
        <v>7597</v>
      </c>
      <c r="C3407" s="46" t="s">
        <v>1059</v>
      </c>
      <c r="D3407" s="46" t="s">
        <v>17</v>
      </c>
      <c r="E3407" s="46" t="s">
        <v>13</v>
      </c>
      <c r="F3407" s="48">
        <v>90.2</v>
      </c>
    </row>
    <row r="3408">
      <c r="A3408" s="46" t="s">
        <v>46</v>
      </c>
      <c r="B3408" s="46" t="s">
        <v>7599</v>
      </c>
      <c r="C3408" s="46" t="s">
        <v>46</v>
      </c>
      <c r="D3408" s="46" t="s">
        <v>17</v>
      </c>
      <c r="E3408" s="46" t="s">
        <v>14</v>
      </c>
      <c r="F3408" s="48">
        <v>101.4</v>
      </c>
    </row>
    <row r="3409">
      <c r="A3409" s="46" t="s">
        <v>46</v>
      </c>
      <c r="B3409" s="46" t="s">
        <v>7601</v>
      </c>
      <c r="C3409" s="46" t="s">
        <v>46</v>
      </c>
      <c r="D3409" s="46" t="s">
        <v>17</v>
      </c>
      <c r="E3409" s="46" t="s">
        <v>13</v>
      </c>
      <c r="F3409" s="48">
        <v>102.4</v>
      </c>
    </row>
    <row r="3410">
      <c r="A3410" s="46" t="s">
        <v>46</v>
      </c>
      <c r="B3410" s="46" t="s">
        <v>7603</v>
      </c>
      <c r="C3410" s="46" t="s">
        <v>7604</v>
      </c>
      <c r="D3410" s="46" t="s">
        <v>17</v>
      </c>
      <c r="E3410" s="46" t="s">
        <v>14</v>
      </c>
      <c r="F3410" s="48">
        <v>88.2</v>
      </c>
    </row>
    <row r="3411">
      <c r="A3411" s="46" t="s">
        <v>46</v>
      </c>
      <c r="B3411" s="46" t="s">
        <v>6220</v>
      </c>
      <c r="C3411" s="46" t="s">
        <v>1078</v>
      </c>
      <c r="D3411" s="46" t="s">
        <v>17</v>
      </c>
      <c r="E3411" s="46" t="s">
        <v>13</v>
      </c>
      <c r="F3411" s="48">
        <v>77.9</v>
      </c>
    </row>
    <row r="3412">
      <c r="A3412" s="46" t="s">
        <v>46</v>
      </c>
      <c r="B3412" s="46" t="s">
        <v>7609</v>
      </c>
      <c r="C3412" s="46" t="s">
        <v>4646</v>
      </c>
      <c r="D3412" s="46" t="s">
        <v>18</v>
      </c>
      <c r="E3412" s="46" t="s">
        <v>13</v>
      </c>
      <c r="F3412" s="48">
        <v>72.4</v>
      </c>
    </row>
    <row r="3413">
      <c r="A3413" s="46" t="s">
        <v>46</v>
      </c>
      <c r="B3413" s="46" t="s">
        <v>2653</v>
      </c>
      <c r="C3413" s="46" t="s">
        <v>7611</v>
      </c>
      <c r="D3413" s="46" t="s">
        <v>18</v>
      </c>
      <c r="E3413" s="46" t="s">
        <v>13</v>
      </c>
      <c r="F3413" s="48">
        <v>70.1</v>
      </c>
    </row>
    <row r="3414">
      <c r="A3414" s="46" t="s">
        <v>46</v>
      </c>
      <c r="B3414" s="46" t="s">
        <v>7613</v>
      </c>
      <c r="C3414" s="46" t="s">
        <v>1113</v>
      </c>
      <c r="D3414" s="46" t="s">
        <v>18</v>
      </c>
      <c r="E3414" s="46" t="s">
        <v>13</v>
      </c>
      <c r="F3414" s="48">
        <v>71.7</v>
      </c>
    </row>
    <row r="3415">
      <c r="A3415" s="46" t="s">
        <v>46</v>
      </c>
      <c r="B3415" s="46" t="s">
        <v>7615</v>
      </c>
      <c r="C3415" s="46" t="s">
        <v>1053</v>
      </c>
      <c r="D3415" s="46" t="s">
        <v>18</v>
      </c>
      <c r="E3415" s="46" t="s">
        <v>14</v>
      </c>
      <c r="F3415" s="48">
        <v>71.6</v>
      </c>
    </row>
    <row r="3416">
      <c r="A3416" s="46" t="s">
        <v>88</v>
      </c>
      <c r="B3416" s="46" t="s">
        <v>7619</v>
      </c>
      <c r="C3416" s="46" t="s">
        <v>1130</v>
      </c>
      <c r="D3416" s="46" t="s">
        <v>18</v>
      </c>
      <c r="E3416" s="46" t="s">
        <v>14</v>
      </c>
      <c r="F3416" s="48">
        <v>99.7</v>
      </c>
    </row>
    <row r="3417">
      <c r="A3417" s="46" t="s">
        <v>88</v>
      </c>
      <c r="B3417" s="46" t="s">
        <v>7626</v>
      </c>
      <c r="C3417" s="46" t="s">
        <v>1133</v>
      </c>
      <c r="D3417" s="46" t="s">
        <v>18</v>
      </c>
      <c r="E3417" s="46" t="s">
        <v>13</v>
      </c>
      <c r="F3417" s="48">
        <v>85.8</v>
      </c>
    </row>
    <row r="3418">
      <c r="A3418" s="46" t="s">
        <v>88</v>
      </c>
      <c r="B3418" s="46" t="s">
        <v>7628</v>
      </c>
      <c r="C3418" s="46" t="s">
        <v>7629</v>
      </c>
      <c r="D3418" s="46" t="s">
        <v>18</v>
      </c>
      <c r="E3418" s="46" t="s">
        <v>15</v>
      </c>
      <c r="F3418" s="48">
        <v>93.2</v>
      </c>
    </row>
    <row r="3419">
      <c r="A3419" s="46" t="s">
        <v>88</v>
      </c>
      <c r="B3419" s="46" t="s">
        <v>7631</v>
      </c>
      <c r="C3419" s="46" t="s">
        <v>7629</v>
      </c>
      <c r="D3419" s="46" t="s">
        <v>18</v>
      </c>
      <c r="E3419" s="46" t="s">
        <v>13</v>
      </c>
      <c r="F3419" s="48">
        <v>75.5</v>
      </c>
    </row>
    <row r="3420">
      <c r="A3420" s="46" t="s">
        <v>88</v>
      </c>
      <c r="B3420" s="46" t="s">
        <v>7633</v>
      </c>
      <c r="C3420" s="46" t="s">
        <v>3002</v>
      </c>
      <c r="D3420" s="46" t="s">
        <v>17</v>
      </c>
      <c r="E3420" s="46" t="s">
        <v>13</v>
      </c>
      <c r="F3420" s="48">
        <v>96.2</v>
      </c>
    </row>
    <row r="3421">
      <c r="A3421" s="46" t="s">
        <v>269</v>
      </c>
      <c r="B3421" s="46" t="s">
        <v>7635</v>
      </c>
      <c r="C3421" s="46" t="s">
        <v>6223</v>
      </c>
      <c r="D3421" s="46" t="s">
        <v>18</v>
      </c>
      <c r="E3421" s="46" t="s">
        <v>14</v>
      </c>
      <c r="F3421" s="48">
        <v>100.4</v>
      </c>
    </row>
    <row r="3422">
      <c r="A3422" s="46" t="s">
        <v>269</v>
      </c>
      <c r="B3422" s="46" t="s">
        <v>7637</v>
      </c>
      <c r="C3422" s="46" t="s">
        <v>1159</v>
      </c>
      <c r="D3422" s="46" t="s">
        <v>18</v>
      </c>
      <c r="E3422" s="46" t="s">
        <v>14</v>
      </c>
      <c r="F3422" s="48">
        <v>100.7</v>
      </c>
    </row>
    <row r="3423">
      <c r="A3423" s="46" t="s">
        <v>269</v>
      </c>
      <c r="B3423" s="46" t="s">
        <v>7639</v>
      </c>
      <c r="C3423" s="46" t="s">
        <v>1164</v>
      </c>
      <c r="D3423" s="46" t="s">
        <v>18</v>
      </c>
      <c r="E3423" s="46" t="s">
        <v>14</v>
      </c>
      <c r="F3423" s="48">
        <v>92.5</v>
      </c>
    </row>
    <row r="3424">
      <c r="A3424" s="46" t="s">
        <v>269</v>
      </c>
      <c r="B3424" s="46" t="s">
        <v>2316</v>
      </c>
      <c r="C3424" s="46" t="s">
        <v>6231</v>
      </c>
      <c r="D3424" s="46" t="s">
        <v>18</v>
      </c>
      <c r="E3424" s="46" t="s">
        <v>14</v>
      </c>
      <c r="F3424" s="48">
        <v>102.7</v>
      </c>
    </row>
    <row r="3425">
      <c r="A3425" s="46" t="s">
        <v>46</v>
      </c>
      <c r="B3425" s="46" t="s">
        <v>7644</v>
      </c>
      <c r="C3425" s="46" t="s">
        <v>1168</v>
      </c>
      <c r="D3425" s="46" t="s">
        <v>18</v>
      </c>
      <c r="E3425" s="46" t="s">
        <v>13</v>
      </c>
      <c r="F3425" s="48">
        <v>70.7</v>
      </c>
    </row>
    <row r="3426">
      <c r="A3426" s="46" t="s">
        <v>46</v>
      </c>
      <c r="B3426" s="46" t="s">
        <v>7646</v>
      </c>
      <c r="C3426" s="46" t="s">
        <v>3045</v>
      </c>
      <c r="D3426" s="46" t="s">
        <v>18</v>
      </c>
      <c r="E3426" s="46" t="s">
        <v>14</v>
      </c>
      <c r="F3426" s="48">
        <v>91.2</v>
      </c>
    </row>
    <row r="3427">
      <c r="A3427" s="46" t="s">
        <v>46</v>
      </c>
      <c r="B3427" s="46" t="s">
        <v>7648</v>
      </c>
      <c r="C3427" s="46" t="s">
        <v>7649</v>
      </c>
      <c r="D3427" s="46" t="s">
        <v>18</v>
      </c>
      <c r="E3427" s="46" t="s">
        <v>14</v>
      </c>
      <c r="F3427" s="48">
        <v>79.1</v>
      </c>
    </row>
    <row r="3428">
      <c r="A3428" s="46" t="s">
        <v>46</v>
      </c>
      <c r="B3428" s="46" t="s">
        <v>7651</v>
      </c>
      <c r="C3428" s="46" t="s">
        <v>3025</v>
      </c>
      <c r="D3428" s="46" t="s">
        <v>18</v>
      </c>
      <c r="E3428" s="46" t="s">
        <v>15</v>
      </c>
      <c r="F3428" s="48">
        <v>103.2</v>
      </c>
    </row>
    <row r="3429">
      <c r="A3429" s="46" t="s">
        <v>46</v>
      </c>
      <c r="B3429" s="46" t="s">
        <v>1158</v>
      </c>
      <c r="C3429" s="46" t="s">
        <v>4752</v>
      </c>
      <c r="D3429" s="46" t="s">
        <v>18</v>
      </c>
      <c r="E3429" s="46" t="s">
        <v>13</v>
      </c>
      <c r="F3429" s="48">
        <v>76.5</v>
      </c>
    </row>
    <row r="3430">
      <c r="A3430" s="46" t="s">
        <v>46</v>
      </c>
      <c r="B3430" s="46" t="s">
        <v>7656</v>
      </c>
      <c r="C3430" s="46" t="s">
        <v>3022</v>
      </c>
      <c r="D3430" s="46" t="s">
        <v>18</v>
      </c>
      <c r="E3430" s="46" t="s">
        <v>13</v>
      </c>
      <c r="F3430" s="48">
        <v>81.2</v>
      </c>
    </row>
    <row r="3431">
      <c r="A3431" s="46" t="s">
        <v>46</v>
      </c>
      <c r="B3431" s="46" t="s">
        <v>6642</v>
      </c>
      <c r="C3431" s="46" t="s">
        <v>3025</v>
      </c>
      <c r="D3431" s="46" t="s">
        <v>17</v>
      </c>
      <c r="E3431" s="46" t="s">
        <v>13</v>
      </c>
      <c r="F3431" s="48">
        <v>93.8</v>
      </c>
    </row>
    <row r="3432">
      <c r="A3432" s="46" t="s">
        <v>46</v>
      </c>
      <c r="B3432" s="46" t="s">
        <v>7665</v>
      </c>
      <c r="C3432" s="46" t="s">
        <v>3025</v>
      </c>
      <c r="D3432" s="46" t="s">
        <v>18</v>
      </c>
      <c r="E3432" s="46" t="s">
        <v>13</v>
      </c>
      <c r="F3432" s="48">
        <v>69.4</v>
      </c>
    </row>
    <row r="3433">
      <c r="A3433" s="46" t="s">
        <v>46</v>
      </c>
      <c r="B3433" s="46" t="s">
        <v>7669</v>
      </c>
      <c r="C3433" s="46" t="s">
        <v>7670</v>
      </c>
      <c r="D3433" s="46" t="s">
        <v>18</v>
      </c>
      <c r="E3433" s="46" t="s">
        <v>14</v>
      </c>
      <c r="F3433" s="48">
        <v>88.7</v>
      </c>
    </row>
    <row r="3434">
      <c r="A3434" s="46" t="s">
        <v>116</v>
      </c>
      <c r="B3434" s="46" t="s">
        <v>7672</v>
      </c>
      <c r="C3434" s="46" t="s">
        <v>4766</v>
      </c>
      <c r="D3434" s="46" t="s">
        <v>18</v>
      </c>
      <c r="E3434" s="46" t="s">
        <v>13</v>
      </c>
      <c r="F3434" s="48">
        <v>83.9</v>
      </c>
    </row>
    <row r="3435">
      <c r="A3435" s="46" t="s">
        <v>116</v>
      </c>
      <c r="B3435" s="46" t="s">
        <v>7674</v>
      </c>
      <c r="C3435" s="46" t="s">
        <v>1205</v>
      </c>
      <c r="D3435" s="46" t="s">
        <v>18</v>
      </c>
      <c r="E3435" s="46" t="s">
        <v>13</v>
      </c>
      <c r="F3435" s="48">
        <v>76.8</v>
      </c>
    </row>
    <row r="3436">
      <c r="A3436" s="46" t="s">
        <v>116</v>
      </c>
      <c r="B3436" s="46" t="s">
        <v>7677</v>
      </c>
      <c r="C3436" s="46" t="s">
        <v>1199</v>
      </c>
      <c r="D3436" s="46" t="s">
        <v>17</v>
      </c>
      <c r="E3436" s="46" t="s">
        <v>13</v>
      </c>
      <c r="F3436" s="48">
        <v>93.6</v>
      </c>
    </row>
    <row r="3437">
      <c r="A3437" s="46" t="s">
        <v>377</v>
      </c>
      <c r="B3437" s="46" t="s">
        <v>7690</v>
      </c>
      <c r="C3437" s="46" t="s">
        <v>1235</v>
      </c>
      <c r="D3437" s="46" t="s">
        <v>17</v>
      </c>
      <c r="E3437" s="46" t="s">
        <v>13</v>
      </c>
      <c r="F3437" s="48">
        <v>98.5</v>
      </c>
    </row>
    <row r="3438">
      <c r="A3438" s="46" t="s">
        <v>182</v>
      </c>
      <c r="B3438" s="46" t="s">
        <v>7703</v>
      </c>
      <c r="C3438" s="46" t="s">
        <v>1252</v>
      </c>
      <c r="D3438" s="46" t="s">
        <v>18</v>
      </c>
      <c r="E3438" s="46" t="s">
        <v>13</v>
      </c>
      <c r="F3438" s="48">
        <v>87.0</v>
      </c>
    </row>
    <row r="3439">
      <c r="A3439" s="46" t="s">
        <v>483</v>
      </c>
      <c r="B3439" s="46" t="s">
        <v>7707</v>
      </c>
      <c r="C3439" s="46" t="s">
        <v>7708</v>
      </c>
      <c r="D3439" s="46" t="s">
        <v>18</v>
      </c>
      <c r="E3439" s="46" t="s">
        <v>15</v>
      </c>
      <c r="F3439" s="48">
        <v>102.2</v>
      </c>
    </row>
    <row r="3440">
      <c r="A3440" s="46" t="s">
        <v>1259</v>
      </c>
      <c r="B3440" s="46" t="s">
        <v>1508</v>
      </c>
      <c r="C3440" s="46" t="s">
        <v>7710</v>
      </c>
      <c r="D3440" s="46" t="s">
        <v>18</v>
      </c>
      <c r="E3440" s="46" t="s">
        <v>15</v>
      </c>
      <c r="F3440" s="48">
        <v>103.8</v>
      </c>
    </row>
    <row r="3441">
      <c r="A3441" s="46" t="s">
        <v>1259</v>
      </c>
      <c r="B3441" s="46" t="s">
        <v>7712</v>
      </c>
      <c r="C3441" s="46" t="s">
        <v>7710</v>
      </c>
      <c r="D3441" s="46" t="s">
        <v>18</v>
      </c>
      <c r="E3441" s="46" t="s">
        <v>13</v>
      </c>
      <c r="F3441" s="48">
        <v>79.4</v>
      </c>
    </row>
    <row r="3442">
      <c r="A3442" s="46" t="s">
        <v>1259</v>
      </c>
      <c r="B3442" s="46" t="s">
        <v>7718</v>
      </c>
      <c r="C3442" s="46" t="s">
        <v>1259</v>
      </c>
      <c r="D3442" s="46" t="s">
        <v>18</v>
      </c>
      <c r="E3442" s="46" t="s">
        <v>14</v>
      </c>
      <c r="F3442" s="48">
        <v>81.2</v>
      </c>
    </row>
    <row r="3443">
      <c r="A3443" s="46" t="s">
        <v>1259</v>
      </c>
      <c r="B3443" s="46" t="s">
        <v>7722</v>
      </c>
      <c r="C3443" s="46" t="s">
        <v>4836</v>
      </c>
      <c r="D3443" s="46" t="s">
        <v>18</v>
      </c>
      <c r="E3443" s="46" t="s">
        <v>13</v>
      </c>
      <c r="F3443" s="48">
        <v>84.3</v>
      </c>
    </row>
    <row r="3444">
      <c r="A3444" s="46" t="s">
        <v>1259</v>
      </c>
      <c r="B3444" s="46" t="s">
        <v>7177</v>
      </c>
      <c r="C3444" s="46" t="s">
        <v>7724</v>
      </c>
      <c r="D3444" s="46" t="s">
        <v>18</v>
      </c>
      <c r="E3444" s="46" t="s">
        <v>15</v>
      </c>
      <c r="F3444" s="48">
        <v>101.7</v>
      </c>
    </row>
    <row r="3445">
      <c r="A3445" s="46" t="s">
        <v>1259</v>
      </c>
      <c r="B3445" s="46" t="s">
        <v>7726</v>
      </c>
      <c r="C3445" s="46" t="s">
        <v>1259</v>
      </c>
      <c r="D3445" s="46" t="s">
        <v>18</v>
      </c>
      <c r="E3445" s="46" t="s">
        <v>14</v>
      </c>
      <c r="F3445" s="48">
        <v>98.3</v>
      </c>
    </row>
    <row r="3446">
      <c r="A3446" s="46" t="s">
        <v>1259</v>
      </c>
      <c r="B3446" s="46" t="s">
        <v>7733</v>
      </c>
      <c r="C3446" s="46" t="s">
        <v>7734</v>
      </c>
      <c r="D3446" s="46" t="s">
        <v>17</v>
      </c>
      <c r="E3446" s="46" t="s">
        <v>13</v>
      </c>
      <c r="F3446" s="48">
        <v>100.0</v>
      </c>
    </row>
    <row r="3447">
      <c r="A3447" s="46" t="s">
        <v>71</v>
      </c>
      <c r="B3447" s="46" t="s">
        <v>7741</v>
      </c>
      <c r="C3447" s="46" t="s">
        <v>3220</v>
      </c>
      <c r="D3447" s="46" t="s">
        <v>18</v>
      </c>
      <c r="E3447" s="46" t="s">
        <v>13</v>
      </c>
      <c r="F3447" s="48">
        <v>73.9</v>
      </c>
    </row>
    <row r="3448">
      <c r="A3448" s="46" t="s">
        <v>71</v>
      </c>
      <c r="B3448" s="46" t="s">
        <v>7749</v>
      </c>
      <c r="C3448" s="46" t="s">
        <v>1353</v>
      </c>
      <c r="D3448" s="46" t="s">
        <v>18</v>
      </c>
      <c r="E3448" s="46" t="s">
        <v>13</v>
      </c>
      <c r="F3448" s="48">
        <v>88.3</v>
      </c>
    </row>
    <row r="3449">
      <c r="A3449" s="46" t="s">
        <v>71</v>
      </c>
      <c r="B3449" s="46" t="s">
        <v>7751</v>
      </c>
      <c r="C3449" s="46" t="s">
        <v>1328</v>
      </c>
      <c r="D3449" s="46" t="s">
        <v>18</v>
      </c>
      <c r="E3449" s="46" t="s">
        <v>13</v>
      </c>
      <c r="F3449" s="48">
        <v>77.4</v>
      </c>
    </row>
    <row r="3450">
      <c r="A3450" s="46" t="s">
        <v>71</v>
      </c>
      <c r="B3450" s="46" t="s">
        <v>7754</v>
      </c>
      <c r="C3450" s="46" t="s">
        <v>1337</v>
      </c>
      <c r="D3450" s="46" t="s">
        <v>18</v>
      </c>
      <c r="E3450" s="46" t="s">
        <v>13</v>
      </c>
      <c r="F3450" s="48">
        <v>76.5</v>
      </c>
    </row>
    <row r="3451">
      <c r="A3451" s="46" t="s">
        <v>71</v>
      </c>
      <c r="B3451" s="46" t="s">
        <v>7756</v>
      </c>
      <c r="C3451" s="46" t="s">
        <v>1325</v>
      </c>
      <c r="D3451" s="46" t="s">
        <v>18</v>
      </c>
      <c r="E3451" s="46" t="s">
        <v>13</v>
      </c>
      <c r="F3451" s="48">
        <v>77.4</v>
      </c>
    </row>
    <row r="3452">
      <c r="A3452" s="46" t="s">
        <v>71</v>
      </c>
      <c r="B3452" s="46" t="s">
        <v>7758</v>
      </c>
      <c r="C3452" s="46" t="s">
        <v>1345</v>
      </c>
      <c r="D3452" s="46" t="s">
        <v>18</v>
      </c>
      <c r="E3452" s="46" t="s">
        <v>13</v>
      </c>
      <c r="F3452" s="48">
        <v>80.5</v>
      </c>
    </row>
    <row r="3453">
      <c r="A3453" s="46" t="s">
        <v>71</v>
      </c>
      <c r="B3453" s="46" t="s">
        <v>7760</v>
      </c>
      <c r="C3453" s="46" t="s">
        <v>1345</v>
      </c>
      <c r="D3453" s="46" t="s">
        <v>18</v>
      </c>
      <c r="E3453" s="46" t="s">
        <v>13</v>
      </c>
      <c r="F3453" s="48">
        <v>81.9</v>
      </c>
    </row>
    <row r="3454">
      <c r="A3454" s="46" t="s">
        <v>71</v>
      </c>
      <c r="B3454" s="46" t="s">
        <v>7775</v>
      </c>
      <c r="C3454" s="46" t="s">
        <v>1345</v>
      </c>
      <c r="D3454" s="46" t="s">
        <v>17</v>
      </c>
      <c r="E3454" s="46" t="s">
        <v>13</v>
      </c>
      <c r="F3454" s="48">
        <v>95.8</v>
      </c>
    </row>
    <row r="3455">
      <c r="A3455" s="46" t="s">
        <v>71</v>
      </c>
      <c r="B3455" s="46" t="s">
        <v>7781</v>
      </c>
      <c r="C3455" s="46" t="s">
        <v>3194</v>
      </c>
      <c r="D3455" s="46" t="s">
        <v>18</v>
      </c>
      <c r="E3455" s="46" t="s">
        <v>14</v>
      </c>
      <c r="F3455" s="48">
        <v>77.9</v>
      </c>
    </row>
    <row r="3456">
      <c r="A3456" s="46" t="s">
        <v>71</v>
      </c>
      <c r="B3456" s="46" t="s">
        <v>7786</v>
      </c>
      <c r="C3456" s="46" t="s">
        <v>7787</v>
      </c>
      <c r="D3456" s="46" t="s">
        <v>18</v>
      </c>
      <c r="E3456" s="46" t="s">
        <v>14</v>
      </c>
      <c r="F3456" s="48">
        <v>89.7</v>
      </c>
    </row>
    <row r="3457">
      <c r="A3457" s="46" t="s">
        <v>393</v>
      </c>
      <c r="B3457" s="46" t="s">
        <v>7804</v>
      </c>
      <c r="C3457" s="46" t="s">
        <v>7802</v>
      </c>
      <c r="D3457" s="46" t="s">
        <v>17</v>
      </c>
      <c r="E3457" s="46" t="s">
        <v>13</v>
      </c>
      <c r="F3457" s="48">
        <v>79.1</v>
      </c>
    </row>
    <row r="3458">
      <c r="A3458" s="46" t="s">
        <v>333</v>
      </c>
      <c r="B3458" s="46" t="s">
        <v>7718</v>
      </c>
      <c r="C3458" s="46" t="s">
        <v>3251</v>
      </c>
      <c r="D3458" s="46" t="s">
        <v>18</v>
      </c>
      <c r="E3458" s="46" t="s">
        <v>14</v>
      </c>
      <c r="F3458" s="48">
        <v>101.5</v>
      </c>
    </row>
    <row r="3459">
      <c r="A3459" s="46" t="s">
        <v>333</v>
      </c>
      <c r="B3459" s="46" t="s">
        <v>7813</v>
      </c>
      <c r="C3459" s="46" t="s">
        <v>1393</v>
      </c>
      <c r="D3459" s="46" t="s">
        <v>17</v>
      </c>
      <c r="E3459" s="46" t="s">
        <v>14</v>
      </c>
      <c r="F3459" s="48">
        <v>96.6</v>
      </c>
    </row>
    <row r="3460">
      <c r="A3460" s="46" t="s">
        <v>333</v>
      </c>
      <c r="B3460" s="46" t="s">
        <v>7815</v>
      </c>
      <c r="C3460" s="46" t="s">
        <v>3254</v>
      </c>
      <c r="D3460" s="46" t="s">
        <v>18</v>
      </c>
      <c r="E3460" s="46" t="s">
        <v>14</v>
      </c>
      <c r="F3460" s="48">
        <v>101.5</v>
      </c>
    </row>
    <row r="3461">
      <c r="A3461" s="46" t="s">
        <v>779</v>
      </c>
      <c r="B3461" s="46" t="s">
        <v>7817</v>
      </c>
      <c r="C3461" s="46" t="s">
        <v>6441</v>
      </c>
      <c r="D3461" s="46" t="s">
        <v>18</v>
      </c>
      <c r="E3461" s="46" t="s">
        <v>14</v>
      </c>
      <c r="F3461" s="48">
        <v>100.3</v>
      </c>
    </row>
    <row r="3462">
      <c r="A3462" s="46" t="s">
        <v>779</v>
      </c>
      <c r="B3462" s="46" t="s">
        <v>7819</v>
      </c>
      <c r="C3462" s="46" t="s">
        <v>1403</v>
      </c>
      <c r="D3462" s="46" t="s">
        <v>17</v>
      </c>
      <c r="E3462" s="46" t="s">
        <v>13</v>
      </c>
      <c r="F3462" s="48">
        <v>95.1</v>
      </c>
    </row>
    <row r="3463">
      <c r="A3463" s="46" t="s">
        <v>779</v>
      </c>
      <c r="B3463" s="46" t="s">
        <v>7821</v>
      </c>
      <c r="C3463" s="46" t="s">
        <v>1403</v>
      </c>
      <c r="D3463" s="46" t="s">
        <v>18</v>
      </c>
      <c r="E3463" s="46" t="s">
        <v>14</v>
      </c>
      <c r="F3463" s="48">
        <v>97.2</v>
      </c>
    </row>
    <row r="3464">
      <c r="A3464" s="46" t="s">
        <v>161</v>
      </c>
      <c r="B3464" s="46" t="s">
        <v>7823</v>
      </c>
      <c r="C3464" s="46" t="s">
        <v>7824</v>
      </c>
      <c r="D3464" s="46" t="s">
        <v>17</v>
      </c>
      <c r="E3464" s="46" t="s">
        <v>13</v>
      </c>
      <c r="F3464" s="48">
        <v>93.0</v>
      </c>
    </row>
    <row r="3465">
      <c r="A3465" s="46" t="s">
        <v>161</v>
      </c>
      <c r="B3465" s="46" t="s">
        <v>7826</v>
      </c>
      <c r="C3465" s="46" t="s">
        <v>1410</v>
      </c>
      <c r="D3465" s="46" t="s">
        <v>18</v>
      </c>
      <c r="E3465" s="46" t="s">
        <v>13</v>
      </c>
      <c r="F3465" s="48">
        <v>85.6</v>
      </c>
    </row>
    <row r="3466">
      <c r="A3466" s="46" t="s">
        <v>1441</v>
      </c>
      <c r="B3466" s="46" t="s">
        <v>7846</v>
      </c>
      <c r="C3466" s="46" t="s">
        <v>1463</v>
      </c>
      <c r="D3466" s="46" t="s">
        <v>18</v>
      </c>
      <c r="E3466" s="46" t="s">
        <v>13</v>
      </c>
      <c r="F3466" s="48">
        <v>79.1</v>
      </c>
    </row>
    <row r="3467">
      <c r="A3467" s="46" t="s">
        <v>1441</v>
      </c>
      <c r="B3467" s="46" t="s">
        <v>7848</v>
      </c>
      <c r="C3467" s="46" t="s">
        <v>3331</v>
      </c>
      <c r="D3467" s="46" t="s">
        <v>18</v>
      </c>
      <c r="E3467" s="46" t="s">
        <v>13</v>
      </c>
      <c r="F3467" s="48">
        <v>102.5</v>
      </c>
    </row>
    <row r="3468">
      <c r="A3468" s="46" t="s">
        <v>1441</v>
      </c>
      <c r="B3468" s="46" t="s">
        <v>7850</v>
      </c>
      <c r="C3468" s="46" t="s">
        <v>1488</v>
      </c>
      <c r="D3468" s="46" t="s">
        <v>18</v>
      </c>
      <c r="E3468" s="46" t="s">
        <v>13</v>
      </c>
      <c r="F3468" s="48">
        <v>76.9</v>
      </c>
    </row>
    <row r="3469">
      <c r="A3469" s="46" t="s">
        <v>1441</v>
      </c>
      <c r="B3469" s="46" t="s">
        <v>7852</v>
      </c>
      <c r="C3469" s="46" t="s">
        <v>1477</v>
      </c>
      <c r="D3469" s="46" t="s">
        <v>18</v>
      </c>
      <c r="E3469" s="46" t="s">
        <v>13</v>
      </c>
      <c r="F3469" s="48">
        <v>80.5</v>
      </c>
    </row>
    <row r="3470">
      <c r="A3470" s="46" t="s">
        <v>1441</v>
      </c>
      <c r="B3470" s="46" t="s">
        <v>7854</v>
      </c>
      <c r="C3470" s="46" t="s">
        <v>1471</v>
      </c>
      <c r="D3470" s="46" t="s">
        <v>18</v>
      </c>
      <c r="E3470" s="46" t="s">
        <v>14</v>
      </c>
      <c r="F3470" s="48">
        <v>77.9</v>
      </c>
    </row>
    <row r="3471">
      <c r="A3471" s="46" t="s">
        <v>1441</v>
      </c>
      <c r="B3471" s="46" t="s">
        <v>3451</v>
      </c>
      <c r="C3471" s="46" t="s">
        <v>3331</v>
      </c>
      <c r="D3471" s="46" t="s">
        <v>18</v>
      </c>
      <c r="E3471" s="46" t="s">
        <v>15</v>
      </c>
      <c r="F3471" s="48">
        <v>100.2</v>
      </c>
    </row>
    <row r="3472">
      <c r="A3472" s="46" t="s">
        <v>1441</v>
      </c>
      <c r="B3472" s="46" t="s">
        <v>1355</v>
      </c>
      <c r="C3472" s="46" t="s">
        <v>1501</v>
      </c>
      <c r="D3472" s="46" t="s">
        <v>18</v>
      </c>
      <c r="E3472" s="46" t="s">
        <v>14</v>
      </c>
      <c r="F3472" s="48">
        <v>93.6</v>
      </c>
    </row>
    <row r="3473">
      <c r="A3473" s="46" t="s">
        <v>1441</v>
      </c>
      <c r="B3473" s="46" t="s">
        <v>7872</v>
      </c>
      <c r="C3473" s="46" t="s">
        <v>1477</v>
      </c>
      <c r="D3473" s="46" t="s">
        <v>18</v>
      </c>
      <c r="E3473" s="46" t="s">
        <v>13</v>
      </c>
      <c r="F3473" s="48">
        <v>79.7</v>
      </c>
    </row>
    <row r="3474">
      <c r="A3474" s="46" t="s">
        <v>1441</v>
      </c>
      <c r="B3474" s="46" t="s">
        <v>7874</v>
      </c>
      <c r="C3474" s="46" t="s">
        <v>1498</v>
      </c>
      <c r="D3474" s="46" t="s">
        <v>18</v>
      </c>
      <c r="E3474" s="46" t="s">
        <v>13</v>
      </c>
      <c r="F3474" s="48">
        <v>85.8</v>
      </c>
    </row>
    <row r="3475">
      <c r="A3475" s="46" t="s">
        <v>1441</v>
      </c>
      <c r="B3475" s="46" t="s">
        <v>4244</v>
      </c>
      <c r="C3475" s="46" t="s">
        <v>1466</v>
      </c>
      <c r="D3475" s="46" t="s">
        <v>17</v>
      </c>
      <c r="E3475" s="46" t="s">
        <v>14</v>
      </c>
      <c r="F3475" s="48">
        <v>95.2</v>
      </c>
    </row>
    <row r="3476">
      <c r="A3476" s="46" t="s">
        <v>1441</v>
      </c>
      <c r="B3476" s="46" t="s">
        <v>7904</v>
      </c>
      <c r="C3476" s="46" t="s">
        <v>1488</v>
      </c>
      <c r="D3476" s="46" t="s">
        <v>18</v>
      </c>
      <c r="E3476" s="46" t="s">
        <v>14</v>
      </c>
      <c r="F3476" s="48">
        <v>77.7</v>
      </c>
    </row>
    <row r="3477">
      <c r="A3477" s="46" t="s">
        <v>269</v>
      </c>
      <c r="B3477" s="46" t="s">
        <v>7908</v>
      </c>
      <c r="C3477" s="46" t="s">
        <v>6530</v>
      </c>
      <c r="D3477" s="46" t="s">
        <v>18</v>
      </c>
      <c r="E3477" s="46" t="s">
        <v>13</v>
      </c>
      <c r="F3477" s="48">
        <v>84.3</v>
      </c>
    </row>
    <row r="3478">
      <c r="A3478" s="46" t="s">
        <v>269</v>
      </c>
      <c r="B3478" s="46" t="s">
        <v>7910</v>
      </c>
      <c r="C3478" s="46" t="s">
        <v>1509</v>
      </c>
      <c r="D3478" s="46" t="s">
        <v>18</v>
      </c>
      <c r="E3478" s="46" t="s">
        <v>14</v>
      </c>
      <c r="F3478" s="48">
        <v>102.4</v>
      </c>
    </row>
    <row r="3479">
      <c r="A3479" s="46" t="s">
        <v>269</v>
      </c>
      <c r="B3479" s="46" t="s">
        <v>7913</v>
      </c>
      <c r="C3479" s="46" t="s">
        <v>7914</v>
      </c>
      <c r="D3479" s="46" t="s">
        <v>18</v>
      </c>
      <c r="E3479" s="46" t="s">
        <v>13</v>
      </c>
      <c r="F3479" s="48">
        <v>82.6</v>
      </c>
    </row>
    <row r="3480">
      <c r="A3480" s="46" t="s">
        <v>269</v>
      </c>
      <c r="B3480" s="46" t="s">
        <v>7916</v>
      </c>
      <c r="C3480" s="46" t="s">
        <v>1515</v>
      </c>
      <c r="D3480" s="46" t="s">
        <v>18</v>
      </c>
      <c r="E3480" s="46" t="s">
        <v>13</v>
      </c>
      <c r="F3480" s="48">
        <v>85.7</v>
      </c>
    </row>
    <row r="3481">
      <c r="A3481" s="46" t="s">
        <v>269</v>
      </c>
      <c r="B3481" s="46" t="s">
        <v>7918</v>
      </c>
      <c r="C3481" s="46" t="s">
        <v>5034</v>
      </c>
      <c r="D3481" s="46" t="s">
        <v>18</v>
      </c>
      <c r="E3481" s="46" t="s">
        <v>13</v>
      </c>
      <c r="F3481" s="48">
        <v>77.6</v>
      </c>
    </row>
    <row r="3482">
      <c r="A3482" s="46" t="s">
        <v>269</v>
      </c>
      <c r="B3482" s="46" t="s">
        <v>7923</v>
      </c>
      <c r="C3482" s="46" t="s">
        <v>1515</v>
      </c>
      <c r="D3482" s="46" t="s">
        <v>18</v>
      </c>
      <c r="E3482" s="46" t="s">
        <v>13</v>
      </c>
      <c r="F3482" s="48">
        <v>80.0</v>
      </c>
    </row>
    <row r="3483">
      <c r="A3483" s="46" t="s">
        <v>269</v>
      </c>
      <c r="B3483" s="46" t="s">
        <v>7584</v>
      </c>
      <c r="C3483" s="46" t="s">
        <v>7925</v>
      </c>
      <c r="D3483" s="46" t="s">
        <v>18</v>
      </c>
      <c r="E3483" s="46" t="s">
        <v>13</v>
      </c>
      <c r="F3483" s="48">
        <v>81.2</v>
      </c>
    </row>
    <row r="3484">
      <c r="A3484" s="46" t="s">
        <v>269</v>
      </c>
      <c r="B3484" s="46" t="s">
        <v>7927</v>
      </c>
      <c r="C3484" s="46" t="s">
        <v>7928</v>
      </c>
      <c r="D3484" s="46" t="s">
        <v>18</v>
      </c>
      <c r="E3484" s="46" t="s">
        <v>15</v>
      </c>
      <c r="F3484" s="48">
        <v>98.8</v>
      </c>
    </row>
    <row r="3485">
      <c r="A3485" s="46" t="s">
        <v>269</v>
      </c>
      <c r="B3485" s="46" t="s">
        <v>7933</v>
      </c>
      <c r="C3485" s="46" t="s">
        <v>3382</v>
      </c>
      <c r="D3485" s="46" t="s">
        <v>18</v>
      </c>
      <c r="E3485" s="46" t="s">
        <v>14</v>
      </c>
      <c r="F3485" s="48">
        <v>97.3</v>
      </c>
    </row>
    <row r="3486">
      <c r="A3486" s="46" t="s">
        <v>269</v>
      </c>
      <c r="B3486" s="46" t="s">
        <v>7935</v>
      </c>
      <c r="C3486" s="46" t="s">
        <v>7936</v>
      </c>
      <c r="D3486" s="46" t="s">
        <v>18</v>
      </c>
      <c r="E3486" s="46" t="s">
        <v>13</v>
      </c>
      <c r="F3486" s="48">
        <v>91.7</v>
      </c>
    </row>
    <row r="3487">
      <c r="A3487" s="46" t="s">
        <v>1545</v>
      </c>
      <c r="B3487" s="46" t="s">
        <v>7938</v>
      </c>
      <c r="C3487" s="46" t="s">
        <v>7939</v>
      </c>
      <c r="D3487" s="46" t="s">
        <v>18</v>
      </c>
      <c r="E3487" s="46" t="s">
        <v>14</v>
      </c>
      <c r="F3487" s="48">
        <v>102.8</v>
      </c>
    </row>
    <row r="3488">
      <c r="A3488" s="46" t="s">
        <v>1545</v>
      </c>
      <c r="B3488" s="46" t="s">
        <v>7941</v>
      </c>
      <c r="C3488" s="46" t="s">
        <v>6581</v>
      </c>
      <c r="D3488" s="46" t="s">
        <v>18</v>
      </c>
      <c r="E3488" s="46" t="s">
        <v>15</v>
      </c>
      <c r="F3488" s="48">
        <v>101.7</v>
      </c>
    </row>
    <row r="3489">
      <c r="A3489" s="46" t="s">
        <v>1545</v>
      </c>
      <c r="B3489" s="46" t="s">
        <v>7947</v>
      </c>
      <c r="C3489" s="46" t="s">
        <v>3440</v>
      </c>
      <c r="D3489" s="46" t="s">
        <v>18</v>
      </c>
      <c r="E3489" s="46" t="s">
        <v>14</v>
      </c>
      <c r="F3489" s="48">
        <v>101.3</v>
      </c>
    </row>
    <row r="3490">
      <c r="A3490" s="46" t="s">
        <v>1545</v>
      </c>
      <c r="B3490" s="46" t="s">
        <v>7951</v>
      </c>
      <c r="C3490" s="46" t="s">
        <v>6581</v>
      </c>
      <c r="D3490" s="46" t="s">
        <v>18</v>
      </c>
      <c r="E3490" s="46" t="s">
        <v>13</v>
      </c>
      <c r="F3490" s="48">
        <v>87.4</v>
      </c>
    </row>
    <row r="3491">
      <c r="A3491" s="46" t="s">
        <v>1545</v>
      </c>
      <c r="B3491" s="46" t="s">
        <v>7953</v>
      </c>
      <c r="C3491" s="46" t="s">
        <v>7954</v>
      </c>
      <c r="D3491" s="46" t="s">
        <v>18</v>
      </c>
      <c r="E3491" s="46" t="s">
        <v>13</v>
      </c>
      <c r="F3491" s="48">
        <v>86.4</v>
      </c>
    </row>
    <row r="3492">
      <c r="A3492" s="46" t="s">
        <v>1545</v>
      </c>
      <c r="B3492" s="46" t="s">
        <v>456</v>
      </c>
      <c r="C3492" s="46" t="s">
        <v>7956</v>
      </c>
      <c r="D3492" s="46" t="s">
        <v>18</v>
      </c>
      <c r="E3492" s="46" t="s">
        <v>14</v>
      </c>
      <c r="F3492" s="48">
        <v>99.9</v>
      </c>
    </row>
    <row r="3493">
      <c r="A3493" s="46" t="s">
        <v>1545</v>
      </c>
      <c r="B3493" s="46" t="s">
        <v>7965</v>
      </c>
      <c r="C3493" s="46" t="s">
        <v>7966</v>
      </c>
      <c r="D3493" s="46" t="s">
        <v>18</v>
      </c>
      <c r="E3493" s="46" t="s">
        <v>15</v>
      </c>
      <c r="F3493" s="48">
        <v>95.6</v>
      </c>
    </row>
    <row r="3494">
      <c r="A3494" s="46" t="s">
        <v>1579</v>
      </c>
      <c r="B3494" s="46" t="s">
        <v>7968</v>
      </c>
      <c r="C3494" s="46" t="s">
        <v>1583</v>
      </c>
      <c r="D3494" s="46" t="s">
        <v>18</v>
      </c>
      <c r="E3494" s="46" t="s">
        <v>13</v>
      </c>
      <c r="F3494" s="48">
        <v>82.8</v>
      </c>
    </row>
    <row r="3495">
      <c r="A3495" s="46" t="s">
        <v>1579</v>
      </c>
      <c r="B3495" s="46" t="s">
        <v>7970</v>
      </c>
      <c r="C3495" s="46" t="s">
        <v>1583</v>
      </c>
      <c r="D3495" s="46" t="s">
        <v>18</v>
      </c>
      <c r="E3495" s="46" t="s">
        <v>15</v>
      </c>
      <c r="F3495" s="48">
        <v>90.4</v>
      </c>
    </row>
    <row r="3496">
      <c r="A3496" s="46" t="s">
        <v>1579</v>
      </c>
      <c r="B3496" s="46" t="s">
        <v>7982</v>
      </c>
      <c r="C3496" s="46" t="s">
        <v>1606</v>
      </c>
      <c r="D3496" s="46" t="s">
        <v>18</v>
      </c>
      <c r="E3496" s="46" t="s">
        <v>13</v>
      </c>
      <c r="F3496" s="48">
        <v>87.7</v>
      </c>
    </row>
    <row r="3497">
      <c r="A3497" s="46" t="s">
        <v>1579</v>
      </c>
      <c r="B3497" s="46" t="s">
        <v>2333</v>
      </c>
      <c r="C3497" s="46" t="s">
        <v>3478</v>
      </c>
      <c r="D3497" s="46" t="s">
        <v>18</v>
      </c>
      <c r="E3497" s="46" t="s">
        <v>15</v>
      </c>
      <c r="F3497" s="48">
        <v>100.5</v>
      </c>
    </row>
    <row r="3498">
      <c r="A3498" s="46" t="s">
        <v>1579</v>
      </c>
      <c r="B3498" s="46" t="s">
        <v>3689</v>
      </c>
      <c r="C3498" s="46" t="s">
        <v>3478</v>
      </c>
      <c r="D3498" s="46" t="s">
        <v>18</v>
      </c>
      <c r="E3498" s="46" t="s">
        <v>14</v>
      </c>
      <c r="F3498" s="48">
        <v>88.9</v>
      </c>
    </row>
    <row r="3499">
      <c r="A3499" s="46" t="s">
        <v>1579</v>
      </c>
      <c r="B3499" s="46" t="s">
        <v>7993</v>
      </c>
      <c r="C3499" s="46" t="s">
        <v>6621</v>
      </c>
      <c r="D3499" s="46" t="s">
        <v>18</v>
      </c>
      <c r="E3499" s="46" t="s">
        <v>13</v>
      </c>
      <c r="F3499" s="48">
        <v>91.1</v>
      </c>
    </row>
    <row r="3500">
      <c r="A3500" s="46" t="s">
        <v>1579</v>
      </c>
      <c r="B3500" s="46" t="s">
        <v>5877</v>
      </c>
      <c r="C3500" s="46" t="s">
        <v>1579</v>
      </c>
      <c r="D3500" s="46" t="s">
        <v>18</v>
      </c>
      <c r="E3500" s="46" t="s">
        <v>13</v>
      </c>
      <c r="F3500" s="48">
        <v>94.2</v>
      </c>
    </row>
    <row r="3501">
      <c r="A3501" s="46" t="s">
        <v>1579</v>
      </c>
      <c r="B3501" s="46" t="s">
        <v>7998</v>
      </c>
      <c r="C3501" s="46" t="s">
        <v>1595</v>
      </c>
      <c r="D3501" s="46" t="s">
        <v>18</v>
      </c>
      <c r="E3501" s="46" t="s">
        <v>13</v>
      </c>
      <c r="F3501" s="48">
        <v>88.4</v>
      </c>
    </row>
    <row r="3502">
      <c r="A3502" s="46" t="s">
        <v>284</v>
      </c>
      <c r="B3502" s="46" t="s">
        <v>8005</v>
      </c>
      <c r="C3502" s="46" t="s">
        <v>8006</v>
      </c>
      <c r="D3502" s="46" t="s">
        <v>18</v>
      </c>
      <c r="E3502" s="46" t="s">
        <v>13</v>
      </c>
      <c r="F3502" s="48">
        <v>84.3</v>
      </c>
    </row>
    <row r="3503">
      <c r="A3503" s="46" t="s">
        <v>284</v>
      </c>
      <c r="B3503" s="46" t="s">
        <v>8011</v>
      </c>
      <c r="C3503" s="46" t="s">
        <v>8009</v>
      </c>
      <c r="D3503" s="46" t="s">
        <v>18</v>
      </c>
      <c r="E3503" s="46" t="s">
        <v>13</v>
      </c>
      <c r="F3503" s="48">
        <v>87.8</v>
      </c>
    </row>
    <row r="3504">
      <c r="A3504" s="46" t="s">
        <v>284</v>
      </c>
      <c r="B3504" s="46" t="s">
        <v>8013</v>
      </c>
      <c r="C3504" s="46" t="s">
        <v>1632</v>
      </c>
      <c r="D3504" s="46" t="s">
        <v>18</v>
      </c>
      <c r="E3504" s="46" t="s">
        <v>13</v>
      </c>
      <c r="F3504" s="48">
        <v>82.3</v>
      </c>
    </row>
    <row r="3505">
      <c r="A3505" s="46" t="s">
        <v>284</v>
      </c>
      <c r="B3505" s="46" t="s">
        <v>8015</v>
      </c>
      <c r="C3505" s="46" t="s">
        <v>1625</v>
      </c>
      <c r="D3505" s="46" t="s">
        <v>18</v>
      </c>
      <c r="E3505" s="46" t="s">
        <v>13</v>
      </c>
      <c r="F3505" s="48">
        <v>83.2</v>
      </c>
    </row>
    <row r="3506">
      <c r="A3506" s="46" t="s">
        <v>88</v>
      </c>
      <c r="B3506" s="46" t="s">
        <v>8021</v>
      </c>
      <c r="C3506" s="46" t="s">
        <v>3488</v>
      </c>
      <c r="D3506" s="46" t="s">
        <v>18</v>
      </c>
      <c r="E3506" s="46" t="s">
        <v>13</v>
      </c>
      <c r="F3506" s="48">
        <v>77.9</v>
      </c>
    </row>
    <row r="3507">
      <c r="A3507" s="46" t="s">
        <v>88</v>
      </c>
      <c r="B3507" s="46" t="s">
        <v>8023</v>
      </c>
      <c r="C3507" s="46" t="s">
        <v>8024</v>
      </c>
      <c r="D3507" s="46" t="s">
        <v>18</v>
      </c>
      <c r="E3507" s="46" t="s">
        <v>13</v>
      </c>
      <c r="F3507" s="48">
        <v>70.4</v>
      </c>
    </row>
    <row r="3508">
      <c r="A3508" s="46" t="s">
        <v>88</v>
      </c>
      <c r="B3508" s="46" t="s">
        <v>8026</v>
      </c>
      <c r="C3508" s="46" t="s">
        <v>88</v>
      </c>
      <c r="D3508" s="46" t="s">
        <v>18</v>
      </c>
      <c r="E3508" s="46" t="s">
        <v>13</v>
      </c>
      <c r="F3508" s="48">
        <v>84.6</v>
      </c>
    </row>
    <row r="3509">
      <c r="A3509" s="46" t="s">
        <v>88</v>
      </c>
      <c r="B3509" s="46" t="s">
        <v>8028</v>
      </c>
      <c r="C3509" s="46" t="s">
        <v>88</v>
      </c>
      <c r="D3509" s="46" t="s">
        <v>17</v>
      </c>
      <c r="E3509" s="46" t="s">
        <v>15</v>
      </c>
      <c r="F3509" s="48">
        <v>91.4</v>
      </c>
    </row>
    <row r="3510">
      <c r="A3510" s="46" t="s">
        <v>88</v>
      </c>
      <c r="B3510" s="46" t="s">
        <v>8030</v>
      </c>
      <c r="C3510" s="46" t="s">
        <v>8031</v>
      </c>
      <c r="D3510" s="46" t="s">
        <v>18</v>
      </c>
      <c r="E3510" s="46" t="s">
        <v>13</v>
      </c>
      <c r="F3510" s="48">
        <v>76.2</v>
      </c>
    </row>
    <row r="3511">
      <c r="A3511" s="46" t="s">
        <v>88</v>
      </c>
      <c r="B3511" s="46" t="s">
        <v>8033</v>
      </c>
      <c r="C3511" s="46" t="s">
        <v>88</v>
      </c>
      <c r="D3511" s="46" t="s">
        <v>17</v>
      </c>
      <c r="E3511" s="46" t="s">
        <v>13</v>
      </c>
      <c r="F3511" s="48">
        <v>96.0</v>
      </c>
    </row>
    <row r="3512">
      <c r="A3512" s="46" t="s">
        <v>88</v>
      </c>
      <c r="B3512" s="46" t="s">
        <v>8035</v>
      </c>
      <c r="C3512" s="46" t="s">
        <v>88</v>
      </c>
      <c r="D3512" s="46" t="s">
        <v>17</v>
      </c>
      <c r="E3512" s="46" t="s">
        <v>13</v>
      </c>
      <c r="F3512" s="48">
        <v>97.4</v>
      </c>
    </row>
    <row r="3513">
      <c r="A3513" s="46" t="s">
        <v>182</v>
      </c>
      <c r="B3513" s="46" t="s">
        <v>8041</v>
      </c>
      <c r="C3513" s="46" t="s">
        <v>1664</v>
      </c>
      <c r="D3513" s="46" t="s">
        <v>17</v>
      </c>
      <c r="E3513" s="46" t="s">
        <v>13</v>
      </c>
      <c r="F3513" s="48">
        <v>87.8</v>
      </c>
    </row>
    <row r="3514">
      <c r="A3514" s="46" t="s">
        <v>182</v>
      </c>
      <c r="B3514" s="46" t="s">
        <v>8045</v>
      </c>
      <c r="C3514" s="46" t="s">
        <v>8046</v>
      </c>
      <c r="D3514" s="46" t="s">
        <v>18</v>
      </c>
      <c r="E3514" s="46" t="s">
        <v>13</v>
      </c>
      <c r="F3514" s="48">
        <v>86.9</v>
      </c>
    </row>
    <row r="3515">
      <c r="A3515" s="46" t="s">
        <v>182</v>
      </c>
      <c r="B3515" s="46" t="s">
        <v>8048</v>
      </c>
      <c r="C3515" s="46" t="s">
        <v>8049</v>
      </c>
      <c r="D3515" s="46" t="s">
        <v>18</v>
      </c>
      <c r="E3515" s="46" t="s">
        <v>13</v>
      </c>
      <c r="F3515" s="48">
        <v>93.3</v>
      </c>
    </row>
    <row r="3516">
      <c r="A3516" s="46" t="s">
        <v>134</v>
      </c>
      <c r="B3516" s="46" t="s">
        <v>8053</v>
      </c>
      <c r="C3516" s="46" t="s">
        <v>1688</v>
      </c>
      <c r="D3516" s="46" t="s">
        <v>18</v>
      </c>
      <c r="E3516" s="46" t="s">
        <v>14</v>
      </c>
      <c r="F3516" s="48">
        <v>80.2</v>
      </c>
    </row>
    <row r="3517">
      <c r="A3517" s="46" t="s">
        <v>134</v>
      </c>
      <c r="B3517" s="46" t="s">
        <v>8058</v>
      </c>
      <c r="C3517" s="46" t="s">
        <v>6670</v>
      </c>
      <c r="D3517" s="46" t="s">
        <v>18</v>
      </c>
      <c r="E3517" s="46" t="s">
        <v>13</v>
      </c>
      <c r="F3517" s="48">
        <v>91.6</v>
      </c>
    </row>
    <row r="3518">
      <c r="A3518" s="46" t="s">
        <v>129</v>
      </c>
      <c r="B3518" s="46" t="s">
        <v>8069</v>
      </c>
      <c r="C3518" s="46" t="s">
        <v>6683</v>
      </c>
      <c r="D3518" s="46" t="s">
        <v>18</v>
      </c>
      <c r="E3518" s="46" t="s">
        <v>14</v>
      </c>
      <c r="F3518" s="48">
        <v>98.8</v>
      </c>
    </row>
    <row r="3519">
      <c r="A3519" s="46" t="s">
        <v>129</v>
      </c>
      <c r="B3519" s="46" t="s">
        <v>8071</v>
      </c>
      <c r="C3519" s="46" t="s">
        <v>8072</v>
      </c>
      <c r="D3519" s="46" t="s">
        <v>18</v>
      </c>
      <c r="E3519" s="46" t="s">
        <v>13</v>
      </c>
      <c r="F3519" s="48">
        <v>93.1</v>
      </c>
    </row>
    <row r="3520">
      <c r="A3520" s="46" t="s">
        <v>129</v>
      </c>
      <c r="B3520" s="46" t="s">
        <v>8074</v>
      </c>
      <c r="C3520" s="46" t="s">
        <v>1707</v>
      </c>
      <c r="D3520" s="46" t="s">
        <v>17</v>
      </c>
      <c r="E3520" s="46" t="s">
        <v>13</v>
      </c>
      <c r="F3520" s="48">
        <v>96.7</v>
      </c>
    </row>
    <row r="3521">
      <c r="A3521" s="46" t="s">
        <v>129</v>
      </c>
      <c r="B3521" s="46" t="s">
        <v>8076</v>
      </c>
      <c r="C3521" s="46" t="s">
        <v>3543</v>
      </c>
      <c r="D3521" s="46" t="s">
        <v>18</v>
      </c>
      <c r="E3521" s="46" t="s">
        <v>13</v>
      </c>
      <c r="F3521" s="48">
        <v>80.4</v>
      </c>
    </row>
    <row r="3522">
      <c r="A3522" s="46" t="s">
        <v>129</v>
      </c>
      <c r="B3522" s="46" t="s">
        <v>8078</v>
      </c>
      <c r="C3522" s="46" t="s">
        <v>6694</v>
      </c>
      <c r="D3522" s="46" t="s">
        <v>18</v>
      </c>
      <c r="E3522" s="46" t="s">
        <v>13</v>
      </c>
      <c r="F3522" s="48">
        <v>82.8</v>
      </c>
    </row>
    <row r="3523">
      <c r="A3523" s="46" t="s">
        <v>129</v>
      </c>
      <c r="B3523" s="46" t="s">
        <v>8080</v>
      </c>
      <c r="C3523" s="46" t="s">
        <v>1707</v>
      </c>
      <c r="D3523" s="46" t="s">
        <v>18</v>
      </c>
      <c r="E3523" s="46" t="s">
        <v>14</v>
      </c>
      <c r="F3523" s="48">
        <v>94.1</v>
      </c>
    </row>
    <row r="3524">
      <c r="A3524" s="46" t="s">
        <v>779</v>
      </c>
      <c r="B3524" s="46" t="s">
        <v>5165</v>
      </c>
      <c r="C3524" s="46" t="s">
        <v>1725</v>
      </c>
      <c r="D3524" s="46" t="s">
        <v>18</v>
      </c>
      <c r="E3524" s="46" t="s">
        <v>14</v>
      </c>
      <c r="F3524" s="48">
        <v>86.0</v>
      </c>
    </row>
    <row r="3525">
      <c r="A3525" s="46" t="s">
        <v>284</v>
      </c>
      <c r="B3525" s="46" t="s">
        <v>8092</v>
      </c>
      <c r="C3525" s="46" t="s">
        <v>3583</v>
      </c>
      <c r="D3525" s="46" t="s">
        <v>17</v>
      </c>
      <c r="E3525" s="46" t="s">
        <v>13</v>
      </c>
      <c r="F3525" s="48">
        <v>88.5</v>
      </c>
    </row>
    <row r="3526">
      <c r="A3526" s="46" t="s">
        <v>284</v>
      </c>
      <c r="B3526" s="46" t="s">
        <v>8094</v>
      </c>
      <c r="C3526" s="46" t="s">
        <v>284</v>
      </c>
      <c r="D3526" s="46" t="s">
        <v>17</v>
      </c>
      <c r="E3526" s="46" t="s">
        <v>14</v>
      </c>
      <c r="F3526" s="48">
        <v>97.5</v>
      </c>
    </row>
    <row r="3527">
      <c r="A3527" s="46" t="s">
        <v>284</v>
      </c>
      <c r="B3527" s="46" t="s">
        <v>8096</v>
      </c>
      <c r="C3527" s="46" t="s">
        <v>284</v>
      </c>
      <c r="D3527" s="46" t="s">
        <v>17</v>
      </c>
      <c r="E3527" s="46" t="s">
        <v>13</v>
      </c>
      <c r="F3527" s="48">
        <v>90.1</v>
      </c>
    </row>
    <row r="3528">
      <c r="A3528" s="46" t="s">
        <v>284</v>
      </c>
      <c r="B3528" s="46" t="s">
        <v>8098</v>
      </c>
      <c r="C3528" s="46" t="s">
        <v>284</v>
      </c>
      <c r="D3528" s="46" t="s">
        <v>18</v>
      </c>
      <c r="E3528" s="46" t="s">
        <v>13</v>
      </c>
      <c r="F3528" s="48">
        <v>84.5</v>
      </c>
    </row>
    <row r="3529">
      <c r="A3529" s="46" t="s">
        <v>322</v>
      </c>
      <c r="B3529" s="46" t="s">
        <v>8102</v>
      </c>
      <c r="C3529" s="46" t="s">
        <v>6707</v>
      </c>
      <c r="D3529" s="46" t="s">
        <v>18</v>
      </c>
      <c r="E3529" s="46" t="s">
        <v>13</v>
      </c>
      <c r="F3529" s="48">
        <v>77.2</v>
      </c>
    </row>
    <row r="3530">
      <c r="A3530" s="46" t="s">
        <v>322</v>
      </c>
      <c r="B3530" s="46" t="s">
        <v>8104</v>
      </c>
      <c r="C3530" s="46" t="s">
        <v>8105</v>
      </c>
      <c r="D3530" s="46" t="s">
        <v>18</v>
      </c>
      <c r="E3530" s="46" t="s">
        <v>13</v>
      </c>
      <c r="F3530" s="48">
        <v>77.8</v>
      </c>
    </row>
    <row r="3531">
      <c r="A3531" s="46" t="s">
        <v>322</v>
      </c>
      <c r="B3531" s="46" t="s">
        <v>8108</v>
      </c>
      <c r="C3531" s="46" t="s">
        <v>322</v>
      </c>
      <c r="D3531" s="46" t="s">
        <v>18</v>
      </c>
      <c r="E3531" s="46" t="s">
        <v>14</v>
      </c>
      <c r="F3531" s="48">
        <v>92.6</v>
      </c>
    </row>
    <row r="3532">
      <c r="A3532" s="46" t="s">
        <v>322</v>
      </c>
      <c r="B3532" s="46" t="s">
        <v>8112</v>
      </c>
      <c r="C3532" s="46" t="s">
        <v>322</v>
      </c>
      <c r="D3532" s="46" t="s">
        <v>18</v>
      </c>
      <c r="E3532" s="46" t="s">
        <v>13</v>
      </c>
      <c r="F3532" s="48">
        <v>81.5</v>
      </c>
    </row>
    <row r="3533">
      <c r="A3533" s="46" t="s">
        <v>322</v>
      </c>
      <c r="B3533" s="46" t="s">
        <v>8114</v>
      </c>
      <c r="C3533" s="46" t="s">
        <v>322</v>
      </c>
      <c r="D3533" s="46" t="s">
        <v>18</v>
      </c>
      <c r="E3533" s="46" t="s">
        <v>13</v>
      </c>
      <c r="F3533" s="48">
        <v>92.5</v>
      </c>
    </row>
    <row r="3534">
      <c r="A3534" s="46" t="s">
        <v>930</v>
      </c>
      <c r="B3534" s="46" t="s">
        <v>1594</v>
      </c>
      <c r="C3534" s="46" t="s">
        <v>3594</v>
      </c>
      <c r="D3534" s="46" t="s">
        <v>18</v>
      </c>
      <c r="E3534" s="46" t="s">
        <v>15</v>
      </c>
      <c r="F3534" s="48">
        <v>101.8</v>
      </c>
    </row>
    <row r="3535">
      <c r="A3535" s="46" t="s">
        <v>930</v>
      </c>
      <c r="B3535" s="46" t="s">
        <v>8117</v>
      </c>
      <c r="C3535" s="46" t="s">
        <v>3594</v>
      </c>
      <c r="D3535" s="46" t="s">
        <v>18</v>
      </c>
      <c r="E3535" s="46" t="s">
        <v>13</v>
      </c>
      <c r="F3535" s="48">
        <v>80.1</v>
      </c>
    </row>
    <row r="3536">
      <c r="A3536" s="46" t="s">
        <v>930</v>
      </c>
      <c r="B3536" s="46" t="s">
        <v>595</v>
      </c>
      <c r="C3536" s="46" t="s">
        <v>3601</v>
      </c>
      <c r="D3536" s="46" t="s">
        <v>17</v>
      </c>
      <c r="E3536" s="46" t="s">
        <v>13</v>
      </c>
      <c r="F3536" s="48">
        <v>90.5</v>
      </c>
    </row>
    <row r="3537">
      <c r="A3537" s="46" t="s">
        <v>930</v>
      </c>
      <c r="B3537" s="46" t="s">
        <v>8120</v>
      </c>
      <c r="C3537" s="46" t="s">
        <v>1748</v>
      </c>
      <c r="D3537" s="46" t="s">
        <v>17</v>
      </c>
      <c r="E3537" s="46" t="s">
        <v>13</v>
      </c>
      <c r="F3537" s="48">
        <v>87.5</v>
      </c>
    </row>
    <row r="3538">
      <c r="A3538" s="46" t="s">
        <v>333</v>
      </c>
      <c r="B3538" s="46" t="s">
        <v>8122</v>
      </c>
      <c r="C3538" s="46" t="s">
        <v>3605</v>
      </c>
      <c r="D3538" s="46" t="s">
        <v>18</v>
      </c>
      <c r="E3538" s="46" t="s">
        <v>13</v>
      </c>
      <c r="F3538" s="48">
        <v>84.5</v>
      </c>
    </row>
    <row r="3539">
      <c r="A3539" s="46" t="s">
        <v>333</v>
      </c>
      <c r="B3539" s="46" t="s">
        <v>8127</v>
      </c>
      <c r="C3539" s="46" t="s">
        <v>3605</v>
      </c>
      <c r="D3539" s="46" t="s">
        <v>18</v>
      </c>
      <c r="E3539" s="46" t="s">
        <v>15</v>
      </c>
      <c r="F3539" s="48">
        <v>101.2</v>
      </c>
    </row>
    <row r="3540">
      <c r="A3540" s="46" t="s">
        <v>393</v>
      </c>
      <c r="B3540" s="46" t="s">
        <v>8130</v>
      </c>
      <c r="C3540" s="46" t="s">
        <v>8131</v>
      </c>
      <c r="D3540" s="46" t="s">
        <v>18</v>
      </c>
      <c r="E3540" s="46" t="s">
        <v>13</v>
      </c>
      <c r="F3540" s="48">
        <v>75.4</v>
      </c>
    </row>
    <row r="3541">
      <c r="A3541" s="46" t="s">
        <v>1579</v>
      </c>
      <c r="B3541" s="46" t="s">
        <v>8135</v>
      </c>
      <c r="C3541" s="46" t="s">
        <v>1809</v>
      </c>
      <c r="D3541" s="46" t="s">
        <v>18</v>
      </c>
      <c r="E3541" s="46" t="s">
        <v>13</v>
      </c>
      <c r="F3541" s="48">
        <v>93.8</v>
      </c>
    </row>
    <row r="3542">
      <c r="A3542" s="46" t="s">
        <v>1579</v>
      </c>
      <c r="B3542" s="46" t="s">
        <v>8137</v>
      </c>
      <c r="C3542" s="46" t="s">
        <v>8138</v>
      </c>
      <c r="D3542" s="46" t="s">
        <v>18</v>
      </c>
      <c r="E3542" s="46" t="s">
        <v>13</v>
      </c>
      <c r="F3542" s="48">
        <v>96.9</v>
      </c>
    </row>
    <row r="3543">
      <c r="A3543" s="46" t="s">
        <v>1579</v>
      </c>
      <c r="B3543" s="46" t="s">
        <v>8140</v>
      </c>
      <c r="C3543" s="46" t="s">
        <v>8141</v>
      </c>
      <c r="D3543" s="46" t="s">
        <v>18</v>
      </c>
      <c r="E3543" s="46" t="s">
        <v>13</v>
      </c>
      <c r="F3543" s="48">
        <v>84.3</v>
      </c>
    </row>
    <row r="3544">
      <c r="A3544" s="46" t="s">
        <v>1579</v>
      </c>
      <c r="B3544" s="46" t="s">
        <v>3442</v>
      </c>
      <c r="C3544" s="46" t="s">
        <v>5202</v>
      </c>
      <c r="D3544" s="46" t="s">
        <v>18</v>
      </c>
      <c r="E3544" s="46" t="s">
        <v>14</v>
      </c>
      <c r="F3544" s="48">
        <v>94.5</v>
      </c>
    </row>
    <row r="3545">
      <c r="A3545" s="46" t="s">
        <v>1579</v>
      </c>
      <c r="B3545" s="46" t="s">
        <v>8144</v>
      </c>
      <c r="C3545" s="46" t="s">
        <v>6757</v>
      </c>
      <c r="D3545" s="46" t="s">
        <v>18</v>
      </c>
      <c r="E3545" s="46" t="s">
        <v>13</v>
      </c>
      <c r="F3545" s="48">
        <v>83.6</v>
      </c>
    </row>
    <row r="3546">
      <c r="A3546" s="46" t="s">
        <v>1579</v>
      </c>
      <c r="B3546" s="46" t="s">
        <v>8146</v>
      </c>
      <c r="C3546" s="46" t="s">
        <v>1795</v>
      </c>
      <c r="D3546" s="46" t="s">
        <v>18</v>
      </c>
      <c r="E3546" s="46" t="s">
        <v>13</v>
      </c>
      <c r="F3546" s="48">
        <v>82.9</v>
      </c>
    </row>
    <row r="3547">
      <c r="A3547" s="46" t="s">
        <v>1579</v>
      </c>
      <c r="B3547" s="46" t="s">
        <v>3569</v>
      </c>
      <c r="C3547" s="46" t="s">
        <v>8155</v>
      </c>
      <c r="D3547" s="46" t="s">
        <v>18</v>
      </c>
      <c r="E3547" s="46" t="s">
        <v>14</v>
      </c>
      <c r="F3547" s="48">
        <v>102.4</v>
      </c>
    </row>
    <row r="3548">
      <c r="A3548" s="46" t="s">
        <v>1579</v>
      </c>
      <c r="B3548" s="46" t="s">
        <v>8157</v>
      </c>
      <c r="C3548" s="46" t="s">
        <v>6753</v>
      </c>
      <c r="D3548" s="46" t="s">
        <v>18</v>
      </c>
      <c r="E3548" s="46" t="s">
        <v>14</v>
      </c>
      <c r="F3548" s="48">
        <v>81.2</v>
      </c>
    </row>
    <row r="3549">
      <c r="A3549" s="46" t="s">
        <v>1579</v>
      </c>
      <c r="B3549" s="46" t="s">
        <v>8163</v>
      </c>
      <c r="C3549" s="46" t="s">
        <v>3664</v>
      </c>
      <c r="D3549" s="46" t="s">
        <v>18</v>
      </c>
      <c r="E3549" s="46" t="s">
        <v>14</v>
      </c>
      <c r="F3549" s="48">
        <v>95.1</v>
      </c>
    </row>
    <row r="3550">
      <c r="A3550" s="46" t="s">
        <v>1579</v>
      </c>
      <c r="B3550" s="46" t="s">
        <v>8167</v>
      </c>
      <c r="C3550" s="46" t="s">
        <v>5239</v>
      </c>
      <c r="D3550" s="46" t="s">
        <v>18</v>
      </c>
      <c r="E3550" s="46" t="s">
        <v>13</v>
      </c>
      <c r="F3550" s="48">
        <v>90.4</v>
      </c>
    </row>
    <row r="3551">
      <c r="A3551" s="46" t="s">
        <v>1579</v>
      </c>
      <c r="B3551" s="46" t="s">
        <v>8169</v>
      </c>
      <c r="C3551" s="46" t="s">
        <v>8170</v>
      </c>
      <c r="D3551" s="46" t="s">
        <v>18</v>
      </c>
      <c r="E3551" s="46" t="s">
        <v>13</v>
      </c>
      <c r="F3551" s="48">
        <v>88.0</v>
      </c>
    </row>
    <row r="3552">
      <c r="A3552" s="46" t="s">
        <v>1579</v>
      </c>
      <c r="B3552" s="46" t="s">
        <v>8172</v>
      </c>
      <c r="C3552" s="46" t="s">
        <v>8173</v>
      </c>
      <c r="D3552" s="46" t="s">
        <v>18</v>
      </c>
      <c r="E3552" s="46" t="s">
        <v>13</v>
      </c>
      <c r="F3552" s="48">
        <v>96.0</v>
      </c>
    </row>
    <row r="3553">
      <c r="A3553" s="46" t="s">
        <v>1579</v>
      </c>
      <c r="B3553" s="46" t="s">
        <v>8182</v>
      </c>
      <c r="C3553" s="46" t="s">
        <v>8183</v>
      </c>
      <c r="D3553" s="46" t="s">
        <v>18</v>
      </c>
      <c r="E3553" s="46" t="s">
        <v>14</v>
      </c>
      <c r="F3553" s="48">
        <v>94.4</v>
      </c>
    </row>
    <row r="3554">
      <c r="A3554" s="46" t="s">
        <v>1579</v>
      </c>
      <c r="B3554" s="46" t="s">
        <v>8190</v>
      </c>
      <c r="C3554" s="46" t="s">
        <v>1824</v>
      </c>
      <c r="D3554" s="46" t="s">
        <v>18</v>
      </c>
      <c r="E3554" s="46" t="s">
        <v>13</v>
      </c>
      <c r="F3554" s="48">
        <v>84.9</v>
      </c>
    </row>
    <row r="3555">
      <c r="A3555" s="46" t="s">
        <v>1579</v>
      </c>
      <c r="B3555" s="46" t="s">
        <v>8194</v>
      </c>
      <c r="C3555" s="46" t="s">
        <v>1832</v>
      </c>
      <c r="D3555" s="46" t="s">
        <v>18</v>
      </c>
      <c r="E3555" s="46" t="s">
        <v>13</v>
      </c>
      <c r="F3555" s="48">
        <v>91.4</v>
      </c>
    </row>
    <row r="3556">
      <c r="A3556" s="46" t="s">
        <v>1579</v>
      </c>
      <c r="B3556" s="46" t="s">
        <v>8196</v>
      </c>
      <c r="C3556" s="46" t="s">
        <v>3664</v>
      </c>
      <c r="D3556" s="46" t="s">
        <v>18</v>
      </c>
      <c r="E3556" s="46" t="s">
        <v>13</v>
      </c>
      <c r="F3556" s="48">
        <v>85.2</v>
      </c>
    </row>
    <row r="3557">
      <c r="A3557" s="46" t="s">
        <v>1579</v>
      </c>
      <c r="B3557" s="46" t="s">
        <v>8201</v>
      </c>
      <c r="C3557" s="46" t="s">
        <v>6779</v>
      </c>
      <c r="D3557" s="46" t="s">
        <v>18</v>
      </c>
      <c r="E3557" s="46" t="s">
        <v>14</v>
      </c>
      <c r="F3557" s="48">
        <v>94.4</v>
      </c>
    </row>
    <row r="3558">
      <c r="A3558" s="46" t="s">
        <v>1545</v>
      </c>
      <c r="B3558" s="46" t="s">
        <v>1071</v>
      </c>
      <c r="C3558" s="46" t="s">
        <v>1874</v>
      </c>
      <c r="D3558" s="46" t="s">
        <v>18</v>
      </c>
      <c r="E3558" s="46" t="s">
        <v>15</v>
      </c>
      <c r="F3558" s="48">
        <v>83.5</v>
      </c>
    </row>
    <row r="3559">
      <c r="A3559" s="46" t="s">
        <v>1545</v>
      </c>
      <c r="B3559" s="46" t="s">
        <v>7377</v>
      </c>
      <c r="C3559" s="46" t="s">
        <v>1880</v>
      </c>
      <c r="D3559" s="46" t="s">
        <v>18</v>
      </c>
      <c r="E3559" s="46" t="s">
        <v>14</v>
      </c>
      <c r="F3559" s="48">
        <v>75.5</v>
      </c>
    </row>
    <row r="3560">
      <c r="A3560" s="46" t="s">
        <v>1545</v>
      </c>
      <c r="B3560" s="46" t="s">
        <v>3119</v>
      </c>
      <c r="C3560" s="46" t="s">
        <v>1858</v>
      </c>
      <c r="D3560" s="46" t="s">
        <v>17</v>
      </c>
      <c r="E3560" s="46" t="s">
        <v>13</v>
      </c>
      <c r="F3560" s="48">
        <v>99.5</v>
      </c>
    </row>
    <row r="3561">
      <c r="A3561" s="46" t="s">
        <v>1545</v>
      </c>
      <c r="B3561" s="46" t="s">
        <v>8209</v>
      </c>
      <c r="C3561" s="46" t="s">
        <v>6798</v>
      </c>
      <c r="D3561" s="46" t="s">
        <v>18</v>
      </c>
      <c r="E3561" s="46" t="s">
        <v>14</v>
      </c>
      <c r="F3561" s="48">
        <v>75.4</v>
      </c>
    </row>
    <row r="3562">
      <c r="A3562" s="46" t="s">
        <v>1545</v>
      </c>
      <c r="B3562" s="46" t="s">
        <v>8211</v>
      </c>
      <c r="C3562" s="46" t="s">
        <v>1855</v>
      </c>
      <c r="D3562" s="46" t="s">
        <v>18</v>
      </c>
      <c r="E3562" s="46" t="s">
        <v>13</v>
      </c>
      <c r="F3562" s="48">
        <v>87.9</v>
      </c>
    </row>
    <row r="3563">
      <c r="A3563" s="46" t="s">
        <v>1545</v>
      </c>
      <c r="B3563" s="46" t="s">
        <v>8217</v>
      </c>
      <c r="C3563" s="46" t="s">
        <v>6818</v>
      </c>
      <c r="D3563" s="46" t="s">
        <v>18</v>
      </c>
      <c r="E3563" s="46" t="s">
        <v>14</v>
      </c>
      <c r="F3563" s="48">
        <v>95.8</v>
      </c>
    </row>
    <row r="3564">
      <c r="A3564" s="46" t="s">
        <v>1545</v>
      </c>
      <c r="B3564" s="46" t="s">
        <v>8219</v>
      </c>
      <c r="C3564" s="46" t="s">
        <v>8220</v>
      </c>
      <c r="D3564" s="46" t="s">
        <v>18</v>
      </c>
      <c r="E3564" s="46" t="s">
        <v>14</v>
      </c>
      <c r="F3564" s="48">
        <v>83.8</v>
      </c>
    </row>
    <row r="3565">
      <c r="A3565" s="46" t="s">
        <v>1545</v>
      </c>
      <c r="B3565" s="46" t="s">
        <v>8222</v>
      </c>
      <c r="C3565" s="46" t="s">
        <v>1874</v>
      </c>
      <c r="D3565" s="46" t="s">
        <v>17</v>
      </c>
      <c r="E3565" s="46" t="s">
        <v>15</v>
      </c>
      <c r="F3565" s="48">
        <v>103.1</v>
      </c>
    </row>
    <row r="3566">
      <c r="A3566" s="46" t="s">
        <v>1545</v>
      </c>
      <c r="B3566" s="46" t="s">
        <v>2482</v>
      </c>
      <c r="C3566" s="46" t="s">
        <v>1894</v>
      </c>
      <c r="D3566" s="46" t="s">
        <v>18</v>
      </c>
      <c r="E3566" s="46" t="s">
        <v>14</v>
      </c>
      <c r="F3566" s="48">
        <v>79.4</v>
      </c>
    </row>
    <row r="3567">
      <c r="A3567" s="46" t="s">
        <v>1545</v>
      </c>
      <c r="B3567" s="46" t="s">
        <v>7085</v>
      </c>
      <c r="C3567" s="46" t="s">
        <v>3687</v>
      </c>
      <c r="D3567" s="46" t="s">
        <v>18</v>
      </c>
      <c r="E3567" s="46" t="s">
        <v>14</v>
      </c>
      <c r="F3567" s="48">
        <v>76.2</v>
      </c>
    </row>
    <row r="3568">
      <c r="A3568" s="46" t="s">
        <v>1545</v>
      </c>
      <c r="B3568" s="46" t="s">
        <v>8226</v>
      </c>
      <c r="C3568" s="46" t="s">
        <v>1858</v>
      </c>
      <c r="D3568" s="46" t="s">
        <v>18</v>
      </c>
      <c r="E3568" s="46" t="s">
        <v>13</v>
      </c>
      <c r="F3568" s="48">
        <v>74.3</v>
      </c>
    </row>
    <row r="3569">
      <c r="A3569" s="46" t="s">
        <v>1545</v>
      </c>
      <c r="B3569" s="46" t="s">
        <v>8228</v>
      </c>
      <c r="C3569" s="46" t="s">
        <v>8229</v>
      </c>
      <c r="D3569" s="46" t="s">
        <v>18</v>
      </c>
      <c r="E3569" s="46" t="s">
        <v>14</v>
      </c>
      <c r="F3569" s="48">
        <v>84.6</v>
      </c>
    </row>
    <row r="3570">
      <c r="A3570" s="46" t="s">
        <v>1545</v>
      </c>
      <c r="B3570" s="46" t="s">
        <v>8231</v>
      </c>
      <c r="C3570" s="46" t="s">
        <v>8232</v>
      </c>
      <c r="D3570" s="46" t="s">
        <v>18</v>
      </c>
      <c r="E3570" s="46" t="s">
        <v>14</v>
      </c>
      <c r="F3570" s="48">
        <v>89.8</v>
      </c>
    </row>
    <row r="3571">
      <c r="A3571" s="46" t="s">
        <v>1545</v>
      </c>
      <c r="B3571" s="46" t="s">
        <v>8234</v>
      </c>
      <c r="C3571" s="46" t="s">
        <v>8235</v>
      </c>
      <c r="D3571" s="46" t="s">
        <v>18</v>
      </c>
      <c r="E3571" s="46" t="s">
        <v>15</v>
      </c>
      <c r="F3571" s="48">
        <v>86.7</v>
      </c>
    </row>
    <row r="3572">
      <c r="A3572" s="46" t="s">
        <v>1545</v>
      </c>
      <c r="B3572" s="46" t="s">
        <v>8240</v>
      </c>
      <c r="C3572" s="46" t="s">
        <v>3735</v>
      </c>
      <c r="D3572" s="46" t="s">
        <v>18</v>
      </c>
      <c r="E3572" s="46" t="s">
        <v>13</v>
      </c>
      <c r="F3572" s="48">
        <v>89.3</v>
      </c>
    </row>
    <row r="3573">
      <c r="A3573" s="46" t="s">
        <v>1545</v>
      </c>
      <c r="B3573" s="46" t="s">
        <v>2355</v>
      </c>
      <c r="C3573" s="46" t="s">
        <v>3732</v>
      </c>
      <c r="D3573" s="46" t="s">
        <v>18</v>
      </c>
      <c r="E3573" s="46" t="s">
        <v>13</v>
      </c>
      <c r="F3573" s="48">
        <v>87.6</v>
      </c>
    </row>
    <row r="3574">
      <c r="A3574" s="46" t="s">
        <v>1545</v>
      </c>
      <c r="B3574" s="46" t="s">
        <v>6554</v>
      </c>
      <c r="C3574" s="46" t="s">
        <v>8248</v>
      </c>
      <c r="D3574" s="46" t="s">
        <v>18</v>
      </c>
      <c r="E3574" s="46" t="s">
        <v>14</v>
      </c>
      <c r="F3574" s="48">
        <v>95.1</v>
      </c>
    </row>
    <row r="3575">
      <c r="A3575" s="46" t="s">
        <v>1545</v>
      </c>
      <c r="B3575" s="46" t="s">
        <v>8250</v>
      </c>
      <c r="C3575" s="46" t="s">
        <v>3722</v>
      </c>
      <c r="D3575" s="46" t="s">
        <v>18</v>
      </c>
      <c r="E3575" s="46" t="s">
        <v>14</v>
      </c>
      <c r="F3575" s="48">
        <v>92.5</v>
      </c>
    </row>
    <row r="3576">
      <c r="A3576" s="46" t="s">
        <v>1545</v>
      </c>
      <c r="B3576" s="46" t="s">
        <v>8252</v>
      </c>
      <c r="C3576" s="46" t="s">
        <v>1924</v>
      </c>
      <c r="D3576" s="46" t="s">
        <v>18</v>
      </c>
      <c r="E3576" s="46" t="s">
        <v>13</v>
      </c>
      <c r="F3576" s="48">
        <v>79.2</v>
      </c>
    </row>
    <row r="3577">
      <c r="A3577" s="46" t="s">
        <v>1545</v>
      </c>
      <c r="B3577" s="46" t="s">
        <v>8254</v>
      </c>
      <c r="C3577" s="46" t="s">
        <v>6861</v>
      </c>
      <c r="D3577" s="46" t="s">
        <v>18</v>
      </c>
      <c r="E3577" s="46" t="s">
        <v>14</v>
      </c>
      <c r="F3577" s="48">
        <v>92.8</v>
      </c>
    </row>
    <row r="3578">
      <c r="A3578" s="46" t="s">
        <v>1545</v>
      </c>
      <c r="B3578" s="46" t="s">
        <v>8260</v>
      </c>
      <c r="C3578" s="46" t="s">
        <v>3732</v>
      </c>
      <c r="D3578" s="46" t="s">
        <v>17</v>
      </c>
      <c r="E3578" s="46" t="s">
        <v>13</v>
      </c>
      <c r="F3578" s="48">
        <v>100.4</v>
      </c>
    </row>
    <row r="3579">
      <c r="A3579" s="46" t="s">
        <v>1545</v>
      </c>
      <c r="B3579" s="46" t="s">
        <v>8264</v>
      </c>
      <c r="C3579" s="46" t="s">
        <v>8265</v>
      </c>
      <c r="D3579" s="46" t="s">
        <v>18</v>
      </c>
      <c r="E3579" s="46" t="s">
        <v>14</v>
      </c>
      <c r="F3579" s="48">
        <v>94.8</v>
      </c>
    </row>
    <row r="3580">
      <c r="A3580" s="46" t="s">
        <v>1545</v>
      </c>
      <c r="B3580" s="46" t="s">
        <v>8267</v>
      </c>
      <c r="C3580" s="46" t="s">
        <v>1913</v>
      </c>
      <c r="D3580" s="46" t="s">
        <v>17</v>
      </c>
      <c r="E3580" s="46" t="s">
        <v>15</v>
      </c>
      <c r="F3580" s="48">
        <v>97.7</v>
      </c>
    </row>
    <row r="3581">
      <c r="A3581" s="46" t="s">
        <v>1579</v>
      </c>
      <c r="B3581" s="46" t="s">
        <v>8269</v>
      </c>
      <c r="C3581" s="46" t="s">
        <v>5334</v>
      </c>
      <c r="D3581" s="46" t="s">
        <v>18</v>
      </c>
      <c r="E3581" s="46" t="s">
        <v>13</v>
      </c>
      <c r="F3581" s="48">
        <v>81.5</v>
      </c>
    </row>
    <row r="3582">
      <c r="A3582" s="46" t="s">
        <v>1579</v>
      </c>
      <c r="B3582" s="46" t="s">
        <v>8271</v>
      </c>
      <c r="C3582" s="46" t="s">
        <v>8272</v>
      </c>
      <c r="D3582" s="46" t="s">
        <v>18</v>
      </c>
      <c r="E3582" s="46" t="s">
        <v>13</v>
      </c>
      <c r="F3582" s="48">
        <v>76.1</v>
      </c>
    </row>
    <row r="3583">
      <c r="A3583" s="46" t="s">
        <v>1579</v>
      </c>
      <c r="B3583" s="46" t="s">
        <v>8274</v>
      </c>
      <c r="C3583" s="46" t="s">
        <v>3762</v>
      </c>
      <c r="D3583" s="46" t="s">
        <v>17</v>
      </c>
      <c r="E3583" s="46" t="s">
        <v>13</v>
      </c>
      <c r="F3583" s="48">
        <v>100.4</v>
      </c>
    </row>
    <row r="3584">
      <c r="A3584" s="46" t="s">
        <v>1579</v>
      </c>
      <c r="B3584" s="46" t="s">
        <v>8278</v>
      </c>
      <c r="C3584" s="46" t="s">
        <v>8279</v>
      </c>
      <c r="D3584" s="46" t="s">
        <v>18</v>
      </c>
      <c r="E3584" s="46" t="s">
        <v>13</v>
      </c>
      <c r="F3584" s="48">
        <v>75.6</v>
      </c>
    </row>
    <row r="3585">
      <c r="A3585" s="46" t="s">
        <v>1579</v>
      </c>
      <c r="B3585" s="46" t="s">
        <v>8281</v>
      </c>
      <c r="C3585" s="46" t="s">
        <v>5334</v>
      </c>
      <c r="D3585" s="46" t="s">
        <v>18</v>
      </c>
      <c r="E3585" s="46" t="s">
        <v>13</v>
      </c>
      <c r="F3585" s="48">
        <v>94.2</v>
      </c>
    </row>
    <row r="3586">
      <c r="A3586" s="46" t="s">
        <v>1579</v>
      </c>
      <c r="B3586" s="46" t="s">
        <v>8283</v>
      </c>
      <c r="C3586" s="46" t="s">
        <v>8284</v>
      </c>
      <c r="D3586" s="46" t="s">
        <v>18</v>
      </c>
      <c r="E3586" s="46" t="s">
        <v>14</v>
      </c>
      <c r="F3586" s="48">
        <v>96.9</v>
      </c>
    </row>
    <row r="3587">
      <c r="A3587" s="46" t="s">
        <v>1964</v>
      </c>
      <c r="B3587" s="46" t="s">
        <v>8299</v>
      </c>
      <c r="C3587" s="46" t="s">
        <v>8301</v>
      </c>
      <c r="D3587" s="46" t="s">
        <v>18</v>
      </c>
      <c r="E3587" s="46" t="s">
        <v>14</v>
      </c>
      <c r="F3587" s="48">
        <v>103.3</v>
      </c>
    </row>
    <row r="3588">
      <c r="A3588" s="46" t="s">
        <v>1964</v>
      </c>
      <c r="B3588" s="46" t="s">
        <v>8307</v>
      </c>
      <c r="C3588" s="46" t="s">
        <v>8309</v>
      </c>
      <c r="D3588" s="46" t="s">
        <v>18</v>
      </c>
      <c r="E3588" s="46" t="s">
        <v>14</v>
      </c>
      <c r="F3588" s="48">
        <v>103.3</v>
      </c>
    </row>
    <row r="3589">
      <c r="A3589" s="46" t="s">
        <v>1989</v>
      </c>
      <c r="B3589" s="46" t="s">
        <v>8313</v>
      </c>
      <c r="C3589" s="46" t="s">
        <v>3792</v>
      </c>
      <c r="D3589" s="46" t="s">
        <v>18</v>
      </c>
      <c r="E3589" s="46" t="s">
        <v>15</v>
      </c>
      <c r="F3589" s="48">
        <v>87.6</v>
      </c>
    </row>
    <row r="3590">
      <c r="A3590" s="46" t="s">
        <v>1989</v>
      </c>
      <c r="B3590" s="46" t="s">
        <v>8315</v>
      </c>
      <c r="C3590" s="46" t="s">
        <v>8316</v>
      </c>
      <c r="D3590" s="46" t="s">
        <v>18</v>
      </c>
      <c r="E3590" s="46" t="s">
        <v>14</v>
      </c>
      <c r="F3590" s="48">
        <v>86.4</v>
      </c>
    </row>
    <row r="3591">
      <c r="A3591" s="46" t="s">
        <v>2013</v>
      </c>
      <c r="B3591" s="46" t="s">
        <v>8319</v>
      </c>
      <c r="C3591" s="46" t="s">
        <v>2016</v>
      </c>
      <c r="D3591" s="46" t="s">
        <v>18</v>
      </c>
      <c r="E3591" s="46" t="s">
        <v>13</v>
      </c>
      <c r="F3591" s="48">
        <v>76.7</v>
      </c>
    </row>
    <row r="3592">
      <c r="A3592" s="46" t="s">
        <v>2013</v>
      </c>
      <c r="B3592" s="46" t="s">
        <v>8321</v>
      </c>
      <c r="C3592" s="46" t="s">
        <v>2016</v>
      </c>
      <c r="D3592" s="46" t="s">
        <v>17</v>
      </c>
      <c r="E3592" s="46" t="s">
        <v>13</v>
      </c>
      <c r="F3592" s="48">
        <v>80.9</v>
      </c>
    </row>
    <row r="3593">
      <c r="A3593" s="46" t="s">
        <v>2013</v>
      </c>
      <c r="B3593" s="46" t="s">
        <v>8323</v>
      </c>
      <c r="C3593" s="46" t="s">
        <v>2022</v>
      </c>
      <c r="D3593" s="46" t="s">
        <v>18</v>
      </c>
      <c r="E3593" s="46" t="s">
        <v>15</v>
      </c>
      <c r="F3593" s="48">
        <v>97.1</v>
      </c>
    </row>
    <row r="3594">
      <c r="A3594" s="46" t="s">
        <v>2013</v>
      </c>
      <c r="B3594" s="46" t="s">
        <v>8325</v>
      </c>
      <c r="C3594" s="46" t="s">
        <v>2016</v>
      </c>
      <c r="D3594" s="46" t="s">
        <v>18</v>
      </c>
      <c r="E3594" s="46" t="s">
        <v>13</v>
      </c>
      <c r="F3594" s="48">
        <v>77.4</v>
      </c>
    </row>
    <row r="3595">
      <c r="A3595" s="46" t="s">
        <v>2013</v>
      </c>
      <c r="B3595" s="46" t="s">
        <v>8327</v>
      </c>
      <c r="C3595" s="46" t="s">
        <v>2019</v>
      </c>
      <c r="D3595" s="46" t="s">
        <v>18</v>
      </c>
      <c r="E3595" s="46" t="s">
        <v>15</v>
      </c>
      <c r="F3595" s="48">
        <v>96.3</v>
      </c>
    </row>
    <row r="3596">
      <c r="A3596" s="46" t="s">
        <v>2035</v>
      </c>
      <c r="B3596" s="46" t="s">
        <v>8329</v>
      </c>
      <c r="C3596" s="46" t="s">
        <v>2049</v>
      </c>
      <c r="D3596" s="46" t="s">
        <v>18</v>
      </c>
      <c r="E3596" s="46" t="s">
        <v>14</v>
      </c>
      <c r="F3596" s="48">
        <v>64.9</v>
      </c>
    </row>
    <row r="3597">
      <c r="A3597" s="46" t="s">
        <v>2054</v>
      </c>
      <c r="B3597" s="46" t="s">
        <v>8331</v>
      </c>
      <c r="C3597" s="46" t="s">
        <v>1858</v>
      </c>
      <c r="D3597" s="46" t="s">
        <v>18</v>
      </c>
      <c r="E3597" s="46" t="s">
        <v>15</v>
      </c>
      <c r="F3597" s="48">
        <v>98.2</v>
      </c>
    </row>
    <row r="3598">
      <c r="A3598" s="46" t="s">
        <v>2054</v>
      </c>
      <c r="B3598" s="46" t="s">
        <v>8333</v>
      </c>
      <c r="C3598" s="46" t="s">
        <v>2034</v>
      </c>
      <c r="D3598" s="46" t="s">
        <v>18</v>
      </c>
      <c r="E3598" s="46" t="s">
        <v>14</v>
      </c>
      <c r="F3598" s="48">
        <v>93.7</v>
      </c>
    </row>
    <row r="3599">
      <c r="A3599" s="46" t="s">
        <v>2054</v>
      </c>
      <c r="B3599" s="46" t="s">
        <v>3464</v>
      </c>
      <c r="C3599" s="46" t="s">
        <v>3840</v>
      </c>
      <c r="D3599" s="46" t="s">
        <v>18</v>
      </c>
      <c r="E3599" s="46" t="s">
        <v>13</v>
      </c>
      <c r="F3599" s="48">
        <v>64.2</v>
      </c>
    </row>
    <row r="3600">
      <c r="A3600" s="46" t="s">
        <v>2054</v>
      </c>
      <c r="B3600" s="46" t="s">
        <v>8336</v>
      </c>
      <c r="C3600" s="46" t="s">
        <v>3826</v>
      </c>
      <c r="D3600" s="46" t="s">
        <v>18</v>
      </c>
      <c r="E3600" s="46" t="s">
        <v>13</v>
      </c>
      <c r="F3600" s="48">
        <v>66.7</v>
      </c>
    </row>
    <row r="3601">
      <c r="A3601" s="46" t="s">
        <v>2054</v>
      </c>
      <c r="B3601" s="46" t="s">
        <v>8338</v>
      </c>
      <c r="C3601" s="46" t="s">
        <v>1858</v>
      </c>
      <c r="D3601" s="46" t="s">
        <v>18</v>
      </c>
      <c r="E3601" s="46" t="s">
        <v>15</v>
      </c>
      <c r="F3601" s="48">
        <v>100.9</v>
      </c>
    </row>
    <row r="3602">
      <c r="A3602" s="46" t="s">
        <v>2054</v>
      </c>
      <c r="B3602" s="46" t="s">
        <v>8340</v>
      </c>
      <c r="C3602" s="46" t="s">
        <v>8341</v>
      </c>
      <c r="D3602" s="46" t="s">
        <v>18</v>
      </c>
      <c r="E3602" s="46" t="s">
        <v>14</v>
      </c>
      <c r="F3602" s="48">
        <v>81.4</v>
      </c>
    </row>
    <row r="3603">
      <c r="A3603" s="46" t="s">
        <v>2054</v>
      </c>
      <c r="B3603" s="46" t="s">
        <v>8343</v>
      </c>
      <c r="C3603" s="46" t="s">
        <v>8344</v>
      </c>
      <c r="D3603" s="46" t="s">
        <v>18</v>
      </c>
      <c r="E3603" s="46" t="s">
        <v>14</v>
      </c>
      <c r="F3603" s="48">
        <v>102.2</v>
      </c>
    </row>
    <row r="3604">
      <c r="A3604" s="46" t="s">
        <v>2084</v>
      </c>
      <c r="B3604" s="46" t="s">
        <v>8346</v>
      </c>
      <c r="C3604" s="46" t="s">
        <v>8347</v>
      </c>
      <c r="D3604" s="46" t="s">
        <v>18</v>
      </c>
      <c r="E3604" s="46" t="s">
        <v>14</v>
      </c>
      <c r="F3604" s="48">
        <v>63.6</v>
      </c>
    </row>
    <row r="3605">
      <c r="A3605" s="46" t="s">
        <v>2084</v>
      </c>
      <c r="B3605" s="46" t="s">
        <v>8349</v>
      </c>
      <c r="C3605" s="46" t="s">
        <v>5430</v>
      </c>
      <c r="D3605" s="46" t="s">
        <v>18</v>
      </c>
      <c r="E3605" s="46" t="s">
        <v>14</v>
      </c>
      <c r="F3605" s="48">
        <v>61.3</v>
      </c>
    </row>
    <row r="3606">
      <c r="A3606" s="46" t="s">
        <v>2084</v>
      </c>
      <c r="B3606" s="46" t="s">
        <v>8351</v>
      </c>
      <c r="C3606" s="46" t="s">
        <v>8352</v>
      </c>
      <c r="D3606" s="46" t="s">
        <v>18</v>
      </c>
      <c r="E3606" s="46" t="s">
        <v>14</v>
      </c>
      <c r="F3606" s="48">
        <v>73.9</v>
      </c>
    </row>
    <row r="3607">
      <c r="A3607" s="46" t="s">
        <v>2084</v>
      </c>
      <c r="B3607" s="46" t="s">
        <v>8354</v>
      </c>
      <c r="C3607" s="46" t="s">
        <v>8355</v>
      </c>
      <c r="D3607" s="46" t="s">
        <v>18</v>
      </c>
      <c r="E3607" s="46" t="s">
        <v>14</v>
      </c>
      <c r="F3607" s="48">
        <v>67.0</v>
      </c>
    </row>
    <row r="3608">
      <c r="A3608" s="46" t="s">
        <v>2084</v>
      </c>
      <c r="B3608" s="46" t="s">
        <v>8357</v>
      </c>
      <c r="C3608" s="46" t="s">
        <v>5430</v>
      </c>
      <c r="D3608" s="46" t="s">
        <v>18</v>
      </c>
      <c r="E3608" s="46" t="s">
        <v>14</v>
      </c>
      <c r="F3608" s="48">
        <v>65.6</v>
      </c>
    </row>
    <row r="3609">
      <c r="A3609" s="50"/>
      <c r="B3609" s="50"/>
      <c r="C3609" s="50"/>
      <c r="D3609" s="50"/>
      <c r="E3609" s="50"/>
      <c r="F3609" s="50"/>
    </row>
    <row r="3610">
      <c r="A3610" s="50"/>
      <c r="B3610" s="50"/>
      <c r="C3610" s="50"/>
      <c r="D3610" s="50"/>
      <c r="E3610" s="50"/>
      <c r="F3610" s="50"/>
    </row>
  </sheetData>
  <mergeCells count="2">
    <mergeCell ref="K8:N8"/>
    <mergeCell ref="K13:N13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1.22" defaultRowHeight="15.75"/>
  <cols>
    <col customWidth="1" min="2" max="2" width="23.89"/>
    <col customWidth="1" min="3" max="3" width="13.67"/>
    <col customWidth="1" min="6" max="6" width="19.0"/>
    <col customWidth="1" min="7" max="7" width="13.89"/>
    <col customWidth="1" min="14" max="14" width="3.0"/>
  </cols>
  <sheetData>
    <row r="1">
      <c r="A1" s="50" t="s">
        <v>8363</v>
      </c>
      <c r="B1" s="50" t="s">
        <v>8364</v>
      </c>
      <c r="C1" s="50" t="s">
        <v>8365</v>
      </c>
      <c r="D1" s="34" t="s">
        <v>57</v>
      </c>
      <c r="E1" s="34" t="s">
        <v>8366</v>
      </c>
    </row>
    <row r="2">
      <c r="A2" s="50" t="s">
        <v>8356</v>
      </c>
      <c r="B2" s="61">
        <v>85.0</v>
      </c>
      <c r="C2" s="61">
        <v>86.0</v>
      </c>
      <c r="D2" s="9">
        <f t="array" ref="D2">xlookup(A2,'données'!E$2:E$3608,'données'!K$2:K$3608)</f>
        <v>67.7</v>
      </c>
      <c r="E2" s="5" t="b">
        <f t="shared" ref="E2:E2312" si="1">ISNA(D2)</f>
        <v>0</v>
      </c>
      <c r="K2" s="55" t="s">
        <v>39</v>
      </c>
      <c r="L2" s="56"/>
      <c r="M2" s="56"/>
      <c r="N2" s="56"/>
    </row>
    <row r="3">
      <c r="A3" s="50" t="s">
        <v>8353</v>
      </c>
      <c r="B3" s="61">
        <v>82.0</v>
      </c>
      <c r="C3" s="61">
        <v>82.0</v>
      </c>
      <c r="D3" s="9">
        <f t="array" ref="D3">xlookup(A3,'données'!E$2:E$3608,'données'!K$2:K$3608)</f>
        <v>73.2</v>
      </c>
      <c r="E3" s="5" t="b">
        <f t="shared" si="1"/>
        <v>0</v>
      </c>
      <c r="K3" s="6"/>
      <c r="L3" s="6"/>
      <c r="M3" s="6"/>
      <c r="N3" s="6"/>
    </row>
    <row r="4">
      <c r="A4" s="50" t="s">
        <v>5434</v>
      </c>
      <c r="B4" s="61">
        <v>85.0</v>
      </c>
      <c r="C4" s="61">
        <v>84.0</v>
      </c>
      <c r="D4" s="9">
        <f t="array" ref="D4">xlookup(A4,'données'!E$2:E$3608,'données'!K$2:K$3608)</f>
        <v>64.3</v>
      </c>
      <c r="E4" s="5" t="b">
        <f t="shared" si="1"/>
        <v>0</v>
      </c>
      <c r="K4" s="62" t="s">
        <v>40</v>
      </c>
      <c r="L4" s="62" t="s">
        <v>41</v>
      </c>
      <c r="M4" s="6"/>
      <c r="N4" s="6"/>
    </row>
    <row r="5">
      <c r="A5" s="50" t="s">
        <v>8350</v>
      </c>
      <c r="B5" s="61">
        <v>72.0</v>
      </c>
      <c r="C5" s="61">
        <v>80.0</v>
      </c>
      <c r="D5" s="9">
        <f t="array" ref="D5">xlookup(A5,'données'!E$2:E$3608,'données'!K$2:K$3608)</f>
        <v>78.7</v>
      </c>
      <c r="E5" s="5" t="b">
        <f t="shared" si="1"/>
        <v>0</v>
      </c>
      <c r="F5" s="63" t="s">
        <v>8367</v>
      </c>
      <c r="G5" s="64"/>
      <c r="H5" s="64"/>
      <c r="I5" s="64"/>
      <c r="K5" s="65">
        <f>round(countifs($B$2:$B$2311,"&gt;=90",$D$2:$D$2311,"&lt;100")/countifs($D$2:$D$2311,"&lt;100")*100,0)</f>
        <v>86</v>
      </c>
      <c r="L5" s="65">
        <f>round(countifs($B$2:$B$2311,"&gt;=90",$D$2:$D$2311,"&gt;=100")/countifs($D$2:$D$2311,"&gt;=100")*100,0)</f>
        <v>99</v>
      </c>
      <c r="M5" s="6"/>
      <c r="N5" s="6"/>
    </row>
    <row r="6">
      <c r="A6" s="50" t="s">
        <v>3863</v>
      </c>
      <c r="B6" s="61">
        <v>78.0</v>
      </c>
      <c r="C6" s="61">
        <v>87.0</v>
      </c>
      <c r="D6" s="9">
        <f t="array" ref="D6">xlookup(A6,'données'!E$2:E$3608,'données'!K$2:K$3608)</f>
        <v>72.2</v>
      </c>
      <c r="E6" s="5" t="b">
        <f t="shared" si="1"/>
        <v>0</v>
      </c>
      <c r="F6" s="34" t="s">
        <v>8368</v>
      </c>
      <c r="G6" s="5">
        <f t="array" ref="G6:H10">linest(B2:B2311,D2:D2311,True,True)</f>
        <v>0.1212019557</v>
      </c>
      <c r="H6" s="5">
        <v>83.27181309364224</v>
      </c>
      <c r="I6" s="34" t="s">
        <v>8369</v>
      </c>
      <c r="K6" s="6"/>
      <c r="L6" s="6"/>
      <c r="M6" s="6"/>
      <c r="N6" s="6"/>
    </row>
    <row r="7">
      <c r="A7" s="50" t="s">
        <v>2085</v>
      </c>
      <c r="B7" s="61">
        <v>85.0</v>
      </c>
      <c r="C7" s="61">
        <v>88.0</v>
      </c>
      <c r="D7" s="9">
        <f t="array" ref="D7">xlookup(A7,'données'!E$2:E$3608,'données'!K$2:K$3608)</f>
        <v>83.3</v>
      </c>
      <c r="E7" s="5" t="b">
        <f t="shared" si="1"/>
        <v>0</v>
      </c>
      <c r="G7" s="5">
        <v>0.0038274981396917824</v>
      </c>
      <c r="H7" s="5">
        <v>0.44374769193638275</v>
      </c>
      <c r="K7" s="66" t="s">
        <v>42</v>
      </c>
      <c r="L7" s="56"/>
      <c r="M7" s="56"/>
      <c r="N7" s="56"/>
    </row>
    <row r="8">
      <c r="A8" s="50" t="s">
        <v>5431</v>
      </c>
      <c r="B8" s="61">
        <v>79.0</v>
      </c>
      <c r="C8" s="61">
        <v>93.0</v>
      </c>
      <c r="D8" s="9">
        <f t="array" ref="D8">xlookup(A8,'données'!E$2:E$3608,'données'!K$2:K$3608)</f>
        <v>80.9</v>
      </c>
      <c r="E8" s="5" t="b">
        <f t="shared" si="1"/>
        <v>0</v>
      </c>
      <c r="F8" s="34" t="s">
        <v>8370</v>
      </c>
      <c r="G8" s="5">
        <v>0.30287534253096215</v>
      </c>
      <c r="H8" s="5">
        <v>2.7117921247469026</v>
      </c>
      <c r="K8" s="6"/>
      <c r="L8" s="6"/>
      <c r="M8" s="6"/>
      <c r="N8" s="6"/>
    </row>
    <row r="9">
      <c r="A9" s="50" t="s">
        <v>8348</v>
      </c>
      <c r="B9" s="61">
        <v>66.0</v>
      </c>
      <c r="C9" s="61">
        <v>64.0</v>
      </c>
      <c r="D9" s="9">
        <f t="array" ref="D9">xlookup(A9,'données'!E$2:E$3608,'données'!K$2:K$3608)</f>
        <v>62.6</v>
      </c>
      <c r="E9" s="5" t="b">
        <f t="shared" si="1"/>
        <v>0</v>
      </c>
      <c r="G9" s="5">
        <v>1002.7421682362567</v>
      </c>
      <c r="H9" s="5">
        <v>2308.0</v>
      </c>
      <c r="K9" s="62" t="s">
        <v>40</v>
      </c>
      <c r="L9" s="62" t="s">
        <v>41</v>
      </c>
      <c r="M9" s="6"/>
      <c r="N9" s="6"/>
    </row>
    <row r="10">
      <c r="A10" s="50" t="s">
        <v>5428</v>
      </c>
      <c r="B10" s="61">
        <v>88.0</v>
      </c>
      <c r="C10" s="61">
        <v>98.0</v>
      </c>
      <c r="D10" s="9">
        <f t="array" ref="D10">xlookup(A10,'données'!E$2:E$3608,'données'!K$2:K$3608)</f>
        <v>70.5</v>
      </c>
      <c r="E10" s="5" t="b">
        <f t="shared" si="1"/>
        <v>0</v>
      </c>
      <c r="G10" s="5">
        <v>7373.981929937221</v>
      </c>
      <c r="H10" s="5">
        <v>16972.608546253152</v>
      </c>
      <c r="K10" s="65">
        <f>round(averageifs($B$2:$B$2311,$D$2:$D$2311,"&lt;100"),0)</f>
        <v>94</v>
      </c>
      <c r="L10" s="65">
        <f>round(averageifs($B$2:$B$2311,$D$2:$D$2311,"&gt;=100"),0)</f>
        <v>98</v>
      </c>
      <c r="M10" s="6"/>
      <c r="N10" s="6"/>
    </row>
    <row r="11">
      <c r="A11" s="50" t="s">
        <v>8345</v>
      </c>
      <c r="B11" s="61">
        <v>71.0</v>
      </c>
      <c r="C11" s="61">
        <v>78.0</v>
      </c>
      <c r="D11" s="9">
        <f t="array" ref="D11">xlookup(A11,'données'!E$2:E$3608,'données'!K$2:K$3608)</f>
        <v>67.1</v>
      </c>
      <c r="E11" s="5" t="b">
        <f t="shared" si="1"/>
        <v>0</v>
      </c>
      <c r="F11" s="34" t="s">
        <v>8371</v>
      </c>
      <c r="G11" s="67">
        <f>sqrt(G8)</f>
        <v>0.5503411147</v>
      </c>
      <c r="K11" s="6"/>
      <c r="L11" s="6"/>
      <c r="M11" s="6"/>
      <c r="N11" s="6"/>
    </row>
    <row r="12">
      <c r="A12" s="50" t="s">
        <v>3858</v>
      </c>
      <c r="B12" s="61">
        <v>98.0</v>
      </c>
      <c r="C12" s="61">
        <v>99.0</v>
      </c>
      <c r="D12" s="9">
        <f t="array" ref="D12">xlookup(A12,'données'!E$2:E$3608,'données'!K$2:K$3608)</f>
        <v>103.4</v>
      </c>
      <c r="E12" s="5" t="b">
        <f t="shared" si="1"/>
        <v>0</v>
      </c>
      <c r="K12" s="68"/>
      <c r="L12" s="68"/>
      <c r="M12" s="68"/>
      <c r="N12" s="68"/>
    </row>
    <row r="13">
      <c r="A13" s="50" t="s">
        <v>6935</v>
      </c>
      <c r="B13" s="61">
        <v>100.0</v>
      </c>
      <c r="C13" s="61">
        <v>100.0</v>
      </c>
      <c r="D13" s="9">
        <f t="array" ref="D13">xlookup(A13,'données'!E$2:E$3608,'données'!K$2:K$3608)</f>
        <v>131.1</v>
      </c>
      <c r="E13" s="5" t="b">
        <f t="shared" si="1"/>
        <v>0</v>
      </c>
    </row>
    <row r="14">
      <c r="A14" s="50" t="s">
        <v>2082</v>
      </c>
      <c r="B14" s="61">
        <v>98.0</v>
      </c>
      <c r="C14" s="61">
        <v>98.0</v>
      </c>
      <c r="D14" s="9">
        <f t="array" ref="D14">xlookup(A14,'données'!E$2:E$3608,'données'!K$2:K$3608)</f>
        <v>96.6</v>
      </c>
      <c r="E14" s="5" t="b">
        <f t="shared" si="1"/>
        <v>0</v>
      </c>
    </row>
    <row r="15">
      <c r="A15" s="50" t="s">
        <v>3856</v>
      </c>
      <c r="B15" s="61">
        <v>96.0</v>
      </c>
      <c r="C15" s="61">
        <v>97.0</v>
      </c>
      <c r="D15" s="9">
        <f t="array" ref="D15">xlookup(A15,'données'!E$2:E$3608,'données'!K$2:K$3608)</f>
        <v>89.3</v>
      </c>
      <c r="E15" s="5" t="b">
        <f t="shared" si="1"/>
        <v>0</v>
      </c>
    </row>
    <row r="16">
      <c r="A16" s="50" t="s">
        <v>3853</v>
      </c>
      <c r="B16" s="61">
        <v>100.0</v>
      </c>
      <c r="C16" s="61">
        <v>100.0</v>
      </c>
      <c r="D16" s="9">
        <f t="array" ref="D16">xlookup(A16,'données'!E$2:E$3608,'données'!K$2:K$3608)</f>
        <v>97.8</v>
      </c>
      <c r="E16" s="5" t="b">
        <f t="shared" si="1"/>
        <v>0</v>
      </c>
    </row>
    <row r="17">
      <c r="A17" s="50" t="s">
        <v>5424</v>
      </c>
      <c r="B17" s="61">
        <v>99.0</v>
      </c>
      <c r="C17" s="61">
        <v>99.0</v>
      </c>
      <c r="D17" s="9">
        <f t="array" ref="D17">xlookup(A17,'données'!E$2:E$3608,'données'!K$2:K$3608)</f>
        <v>102.6</v>
      </c>
      <c r="E17" s="5" t="b">
        <f t="shared" si="1"/>
        <v>0</v>
      </c>
    </row>
    <row r="18">
      <c r="A18" s="50" t="s">
        <v>3851</v>
      </c>
      <c r="B18" s="61">
        <v>100.0</v>
      </c>
      <c r="C18" s="61">
        <v>100.0</v>
      </c>
      <c r="D18" s="9">
        <f t="array" ref="D18">xlookup(A18,'données'!E$2:E$3608,'données'!K$2:K$3608)</f>
        <v>136.9</v>
      </c>
      <c r="E18" s="5" t="b">
        <f t="shared" si="1"/>
        <v>0</v>
      </c>
    </row>
    <row r="19">
      <c r="A19" s="50" t="s">
        <v>3849</v>
      </c>
      <c r="B19" s="61">
        <v>99.0</v>
      </c>
      <c r="C19" s="61">
        <v>99.0</v>
      </c>
      <c r="D19" s="9">
        <f t="array" ref="D19">xlookup(A19,'données'!E$2:E$3608,'données'!K$2:K$3608)</f>
        <v>119.2</v>
      </c>
      <c r="E19" s="5" t="b">
        <f t="shared" si="1"/>
        <v>0</v>
      </c>
    </row>
    <row r="20">
      <c r="A20" s="50" t="s">
        <v>2080</v>
      </c>
      <c r="B20" s="61">
        <v>94.0</v>
      </c>
      <c r="C20" s="61">
        <v>94.0</v>
      </c>
      <c r="D20" s="9">
        <f t="array" ref="D20">xlookup(A20,'données'!E$2:E$3608,'données'!K$2:K$3608)</f>
        <v>83.2</v>
      </c>
      <c r="E20" s="5" t="b">
        <f t="shared" si="1"/>
        <v>0</v>
      </c>
    </row>
    <row r="21">
      <c r="A21" s="50" t="s">
        <v>6931</v>
      </c>
      <c r="B21" s="61">
        <v>99.0</v>
      </c>
      <c r="C21" s="61">
        <v>100.0</v>
      </c>
      <c r="D21" s="9">
        <f t="array" ref="D21">xlookup(A21,'données'!E$2:E$3608,'données'!K$2:K$3608)</f>
        <v>87.3</v>
      </c>
      <c r="E21" s="5" t="b">
        <f t="shared" si="1"/>
        <v>0</v>
      </c>
    </row>
    <row r="22">
      <c r="A22" s="50" t="s">
        <v>2078</v>
      </c>
      <c r="B22" s="61">
        <v>97.0</v>
      </c>
      <c r="C22" s="61">
        <v>98.0</v>
      </c>
      <c r="D22" s="9">
        <f t="array" ref="D22">xlookup(A22,'données'!E$2:E$3608,'données'!K$2:K$3608)</f>
        <v>94.8</v>
      </c>
      <c r="E22" s="5" t="b">
        <f t="shared" si="1"/>
        <v>0</v>
      </c>
    </row>
    <row r="23">
      <c r="A23" s="50" t="s">
        <v>6928</v>
      </c>
      <c r="B23" s="61">
        <v>97.0</v>
      </c>
      <c r="C23" s="61">
        <v>99.0</v>
      </c>
      <c r="D23" s="9">
        <f t="array" ref="D23">xlookup(A23,'données'!E$2:E$3608,'données'!K$2:K$3608)</f>
        <v>87.3</v>
      </c>
      <c r="E23" s="5" t="b">
        <f t="shared" si="1"/>
        <v>0</v>
      </c>
    </row>
    <row r="24">
      <c r="A24" s="50" t="s">
        <v>5422</v>
      </c>
      <c r="B24" s="61">
        <v>95.0</v>
      </c>
      <c r="C24" s="61">
        <v>97.0</v>
      </c>
      <c r="D24" s="9">
        <f t="array" ref="D24">xlookup(A24,'données'!E$2:E$3608,'données'!K$2:K$3608)</f>
        <v>93.1</v>
      </c>
      <c r="E24" s="5" t="b">
        <f t="shared" si="1"/>
        <v>0</v>
      </c>
    </row>
    <row r="25">
      <c r="A25" s="50" t="s">
        <v>6926</v>
      </c>
      <c r="B25" s="61">
        <v>97.0</v>
      </c>
      <c r="C25" s="61">
        <v>98.0</v>
      </c>
      <c r="D25" s="9">
        <f t="array" ref="D25">xlookup(A25,'données'!E$2:E$3608,'données'!K$2:K$3608)</f>
        <v>96.1</v>
      </c>
      <c r="E25" s="5" t="b">
        <f t="shared" si="1"/>
        <v>0</v>
      </c>
    </row>
    <row r="26">
      <c r="A26" s="50" t="s">
        <v>8342</v>
      </c>
      <c r="B26" s="61">
        <v>99.0</v>
      </c>
      <c r="C26" s="61">
        <v>99.0</v>
      </c>
      <c r="D26" s="9">
        <f t="array" ref="D26">xlookup(A26,'données'!E$2:E$3608,'données'!K$2:K$3608)</f>
        <v>107.9</v>
      </c>
      <c r="E26" s="5" t="b">
        <f t="shared" si="1"/>
        <v>0</v>
      </c>
    </row>
    <row r="27">
      <c r="A27" s="50" t="s">
        <v>6924</v>
      </c>
      <c r="B27" s="61">
        <v>97.0</v>
      </c>
      <c r="C27" s="61">
        <v>96.0</v>
      </c>
      <c r="D27" s="9">
        <f t="array" ref="D27">xlookup(A27,'données'!E$2:E$3608,'données'!K$2:K$3608)</f>
        <v>82.7</v>
      </c>
      <c r="E27" s="5" t="b">
        <f t="shared" si="1"/>
        <v>0</v>
      </c>
    </row>
    <row r="28">
      <c r="A28" s="50" t="s">
        <v>5419</v>
      </c>
      <c r="B28" s="61">
        <v>96.0</v>
      </c>
      <c r="C28" s="61">
        <v>96.0</v>
      </c>
      <c r="D28" s="9">
        <f t="array" ref="D28">xlookup(A28,'données'!E$2:E$3608,'données'!K$2:K$3608)</f>
        <v>112.2</v>
      </c>
      <c r="E28" s="5" t="b">
        <f t="shared" si="1"/>
        <v>0</v>
      </c>
    </row>
    <row r="29">
      <c r="A29" s="50" t="s">
        <v>8339</v>
      </c>
      <c r="B29" s="61">
        <v>98.0</v>
      </c>
      <c r="C29" s="61">
        <v>99.0</v>
      </c>
      <c r="D29" s="9">
        <f t="array" ref="D29">xlookup(A29,'données'!E$2:E$3608,'données'!K$2:K$3608)</f>
        <v>92</v>
      </c>
      <c r="E29" s="5" t="b">
        <f t="shared" si="1"/>
        <v>0</v>
      </c>
    </row>
    <row r="30">
      <c r="A30" s="50" t="s">
        <v>2075</v>
      </c>
      <c r="B30" s="61">
        <v>98.0</v>
      </c>
      <c r="C30" s="61">
        <v>100.0</v>
      </c>
      <c r="D30" s="9">
        <f t="array" ref="D30">xlookup(A30,'données'!E$2:E$3608,'données'!K$2:K$3608)</f>
        <v>105.8</v>
      </c>
      <c r="E30" s="5" t="b">
        <f t="shared" si="1"/>
        <v>0</v>
      </c>
    </row>
    <row r="31">
      <c r="A31" s="50" t="s">
        <v>8337</v>
      </c>
      <c r="B31" s="61">
        <v>94.0</v>
      </c>
      <c r="C31" s="61">
        <v>99.0</v>
      </c>
      <c r="D31" s="9">
        <f t="array" ref="D31">xlookup(A31,'données'!E$2:E$3608,'données'!K$2:K$3608)</f>
        <v>100.9</v>
      </c>
      <c r="E31" s="5" t="b">
        <f t="shared" si="1"/>
        <v>0</v>
      </c>
    </row>
    <row r="32">
      <c r="A32" s="50" t="s">
        <v>2072</v>
      </c>
      <c r="B32" s="61">
        <v>97.0</v>
      </c>
      <c r="C32" s="61">
        <v>99.0</v>
      </c>
      <c r="D32" s="9">
        <f t="array" ref="D32">xlookup(A32,'données'!E$2:E$3608,'données'!K$2:K$3608)</f>
        <v>77.3</v>
      </c>
      <c r="E32" s="5" t="b">
        <f t="shared" si="1"/>
        <v>0</v>
      </c>
    </row>
    <row r="33">
      <c r="A33" s="50" t="s">
        <v>6922</v>
      </c>
      <c r="B33" s="61">
        <v>96.0</v>
      </c>
      <c r="C33" s="61">
        <v>99.0</v>
      </c>
      <c r="D33" s="9">
        <f t="array" ref="D33">xlookup(A33,'données'!E$2:E$3608,'données'!K$2:K$3608)</f>
        <v>91.5</v>
      </c>
      <c r="E33" s="5" t="b">
        <f t="shared" si="1"/>
        <v>0</v>
      </c>
    </row>
    <row r="34">
      <c r="A34" s="50" t="s">
        <v>2070</v>
      </c>
      <c r="B34" s="61">
        <v>97.0</v>
      </c>
      <c r="C34" s="61">
        <v>100.0</v>
      </c>
      <c r="D34" s="9">
        <f t="array" ref="D34">xlookup(A34,'données'!E$2:E$3608,'données'!K$2:K$3608)</f>
        <v>81.7</v>
      </c>
      <c r="E34" s="5" t="b">
        <f t="shared" si="1"/>
        <v>0</v>
      </c>
    </row>
    <row r="35">
      <c r="A35" s="50" t="s">
        <v>3845</v>
      </c>
      <c r="B35" s="61">
        <v>88.0</v>
      </c>
      <c r="C35" s="50"/>
      <c r="D35" s="9">
        <f t="array" ref="D35">xlookup(A35,'données'!E$2:E$3608,'données'!K$2:K$3608)</f>
        <v>99</v>
      </c>
      <c r="E35" s="5" t="b">
        <f t="shared" si="1"/>
        <v>0</v>
      </c>
    </row>
    <row r="36">
      <c r="A36" s="50" t="s">
        <v>5415</v>
      </c>
      <c r="B36" s="61">
        <v>99.0</v>
      </c>
      <c r="C36" s="61">
        <v>100.0</v>
      </c>
      <c r="D36" s="9">
        <f t="array" ref="D36">xlookup(A36,'données'!E$2:E$3608,'données'!K$2:K$3608)</f>
        <v>106.2</v>
      </c>
      <c r="E36" s="5" t="b">
        <f t="shared" si="1"/>
        <v>0</v>
      </c>
    </row>
    <row r="37">
      <c r="A37" s="50" t="s">
        <v>2065</v>
      </c>
      <c r="B37" s="61">
        <v>97.0</v>
      </c>
      <c r="C37" s="61">
        <v>98.0</v>
      </c>
      <c r="D37" s="9">
        <f t="array" ref="D37">xlookup(A37,'données'!E$2:E$3608,'données'!K$2:K$3608)</f>
        <v>86.4</v>
      </c>
      <c r="E37" s="5" t="b">
        <f t="shared" si="1"/>
        <v>0</v>
      </c>
    </row>
    <row r="38">
      <c r="A38" s="50" t="s">
        <v>5413</v>
      </c>
      <c r="B38" s="61">
        <v>99.0</v>
      </c>
      <c r="C38" s="61">
        <v>99.0</v>
      </c>
      <c r="D38" s="9">
        <f t="array" ref="D38">xlookup(A38,'données'!E$2:E$3608,'données'!K$2:K$3608)</f>
        <v>83.7</v>
      </c>
      <c r="E38" s="5" t="b">
        <f t="shared" si="1"/>
        <v>0</v>
      </c>
    </row>
    <row r="39">
      <c r="A39" s="50" t="s">
        <v>6916</v>
      </c>
      <c r="B39" s="61">
        <v>93.0</v>
      </c>
      <c r="C39" s="61">
        <v>96.0</v>
      </c>
      <c r="D39" s="9">
        <f t="array" ref="D39">xlookup(A39,'données'!E$2:E$3608,'données'!K$2:K$3608)</f>
        <v>92.9</v>
      </c>
      <c r="E39" s="5" t="b">
        <f t="shared" si="1"/>
        <v>0</v>
      </c>
    </row>
    <row r="40">
      <c r="A40" s="50" t="s">
        <v>2061</v>
      </c>
      <c r="B40" s="61">
        <v>97.0</v>
      </c>
      <c r="C40" s="61">
        <v>98.0</v>
      </c>
      <c r="D40" s="9">
        <f t="array" ref="D40">xlookup(A40,'données'!E$2:E$3608,'données'!K$2:K$3608)</f>
        <v>113.5</v>
      </c>
      <c r="E40" s="5" t="b">
        <f t="shared" si="1"/>
        <v>0</v>
      </c>
    </row>
    <row r="41">
      <c r="A41" s="50" t="s">
        <v>3838</v>
      </c>
      <c r="B41" s="61">
        <v>98.0</v>
      </c>
      <c r="C41" s="61">
        <v>100.0</v>
      </c>
      <c r="D41" s="9">
        <f t="array" ref="D41">xlookup(A41,'données'!E$2:E$3608,'données'!K$2:K$3608)</f>
        <v>89.5</v>
      </c>
      <c r="E41" s="5" t="b">
        <f t="shared" si="1"/>
        <v>0</v>
      </c>
    </row>
    <row r="42">
      <c r="A42" s="50" t="s">
        <v>8332</v>
      </c>
      <c r="B42" s="61">
        <v>91.0</v>
      </c>
      <c r="C42" s="61">
        <v>95.0</v>
      </c>
      <c r="D42" s="9">
        <f t="array" ref="D42">xlookup(A42,'données'!E$2:E$3608,'données'!K$2:K$3608)</f>
        <v>94</v>
      </c>
      <c r="E42" s="5" t="b">
        <f t="shared" si="1"/>
        <v>0</v>
      </c>
    </row>
    <row r="43">
      <c r="A43" s="50" t="s">
        <v>2055</v>
      </c>
      <c r="B43" s="61">
        <v>96.0</v>
      </c>
      <c r="C43" s="61">
        <v>99.0</v>
      </c>
      <c r="D43" s="9">
        <f t="array" ref="D43">xlookup(A43,'données'!E$2:E$3608,'données'!K$2:K$3608)</f>
        <v>96.8</v>
      </c>
      <c r="E43" s="5" t="b">
        <f t="shared" si="1"/>
        <v>0</v>
      </c>
    </row>
    <row r="44">
      <c r="A44" s="50" t="s">
        <v>8330</v>
      </c>
      <c r="B44" s="61">
        <v>96.0</v>
      </c>
      <c r="C44" s="61">
        <v>98.0</v>
      </c>
      <c r="D44" s="9">
        <f t="array" ref="D44">xlookup(A44,'données'!E$2:E$3608,'données'!K$2:K$3608)</f>
        <v>98.2</v>
      </c>
      <c r="E44" s="5" t="b">
        <f t="shared" si="1"/>
        <v>0</v>
      </c>
    </row>
    <row r="45">
      <c r="A45" s="50" t="s">
        <v>6911</v>
      </c>
      <c r="B45" s="61">
        <v>97.0</v>
      </c>
      <c r="C45" s="61">
        <v>97.0</v>
      </c>
      <c r="D45" s="9">
        <f t="array" ref="D45">xlookup(A45,'données'!E$2:E$3608,'données'!K$2:K$3608)</f>
        <v>73.4</v>
      </c>
      <c r="E45" s="5" t="b">
        <f t="shared" si="1"/>
        <v>0</v>
      </c>
    </row>
    <row r="46">
      <c r="A46" s="50" t="s">
        <v>3836</v>
      </c>
      <c r="B46" s="61">
        <v>100.0</v>
      </c>
      <c r="C46" s="61">
        <v>100.0</v>
      </c>
      <c r="D46" s="9">
        <f t="array" ref="D46">xlookup(A46,'données'!E$2:E$3608,'données'!K$2:K$3608)</f>
        <v>71.3</v>
      </c>
      <c r="E46" s="5" t="b">
        <f t="shared" si="1"/>
        <v>0</v>
      </c>
    </row>
    <row r="47">
      <c r="A47" s="50" t="s">
        <v>2052</v>
      </c>
      <c r="B47" s="61">
        <v>100.0</v>
      </c>
      <c r="C47" s="61">
        <v>100.0</v>
      </c>
      <c r="D47" s="9">
        <f t="array" ref="D47">xlookup(A47,'données'!E$2:E$3608,'données'!K$2:K$3608)</f>
        <v>130</v>
      </c>
      <c r="E47" s="5" t="b">
        <f t="shared" si="1"/>
        <v>0</v>
      </c>
    </row>
    <row r="48">
      <c r="A48" s="50" t="s">
        <v>2050</v>
      </c>
      <c r="B48" s="61">
        <v>93.0</v>
      </c>
      <c r="C48" s="61">
        <v>95.0</v>
      </c>
      <c r="D48" s="9">
        <f t="array" ref="D48">xlookup(A48,'données'!E$2:E$3608,'données'!K$2:K$3608)</f>
        <v>107.4</v>
      </c>
      <c r="E48" s="5" t="b">
        <f t="shared" si="1"/>
        <v>0</v>
      </c>
    </row>
    <row r="49">
      <c r="A49" s="50" t="s">
        <v>6908</v>
      </c>
      <c r="B49" s="61">
        <v>96.0</v>
      </c>
      <c r="C49" s="61">
        <v>96.0</v>
      </c>
      <c r="D49" s="9">
        <f t="array" ref="D49">xlookup(A49,'données'!E$2:E$3608,'données'!K$2:K$3608)</f>
        <v>76.5</v>
      </c>
      <c r="E49" s="5" t="b">
        <f t="shared" si="1"/>
        <v>0</v>
      </c>
    </row>
    <row r="50">
      <c r="A50" s="50" t="s">
        <v>2047</v>
      </c>
      <c r="B50" s="61">
        <v>94.0</v>
      </c>
      <c r="C50" s="61">
        <v>92.0</v>
      </c>
      <c r="D50" s="9">
        <f t="array" ref="D50">xlookup(A50,'données'!E$2:E$3608,'données'!K$2:K$3608)</f>
        <v>66.4</v>
      </c>
      <c r="E50" s="5" t="b">
        <f t="shared" si="1"/>
        <v>0</v>
      </c>
    </row>
    <row r="51">
      <c r="A51" s="50" t="s">
        <v>5409</v>
      </c>
      <c r="B51" s="61">
        <v>96.0</v>
      </c>
      <c r="C51" s="50"/>
      <c r="D51" s="9">
        <f t="array" ref="D51">xlookup(A51,'données'!E$2:E$3608,'données'!K$2:K$3608)</f>
        <v>78.6</v>
      </c>
      <c r="E51" s="5" t="b">
        <f t="shared" si="1"/>
        <v>0</v>
      </c>
    </row>
    <row r="52">
      <c r="A52" s="50" t="s">
        <v>2044</v>
      </c>
      <c r="B52" s="61">
        <v>90.0</v>
      </c>
      <c r="C52" s="61">
        <v>92.0</v>
      </c>
      <c r="D52" s="9">
        <f t="array" ref="D52">xlookup(A52,'données'!E$2:E$3608,'données'!K$2:K$3608)</f>
        <v>88.2</v>
      </c>
      <c r="E52" s="5" t="b">
        <f t="shared" si="1"/>
        <v>0</v>
      </c>
    </row>
    <row r="53">
      <c r="A53" s="50" t="s">
        <v>8328</v>
      </c>
      <c r="B53" s="61">
        <v>88.0</v>
      </c>
      <c r="C53" s="61">
        <v>93.0</v>
      </c>
      <c r="D53" s="9">
        <f t="array" ref="D53">xlookup(A53,'données'!E$2:E$3608,'données'!K$2:K$3608)</f>
        <v>74.6</v>
      </c>
      <c r="E53" s="5" t="b">
        <f t="shared" si="1"/>
        <v>0</v>
      </c>
    </row>
    <row r="54">
      <c r="A54" s="50" t="s">
        <v>2039</v>
      </c>
      <c r="B54" s="61">
        <v>91.0</v>
      </c>
      <c r="C54" s="61">
        <v>91.0</v>
      </c>
      <c r="D54" s="9">
        <f t="array" ref="D54">xlookup(A54,'données'!E$2:E$3608,'données'!K$2:K$3608)</f>
        <v>92.6</v>
      </c>
      <c r="E54" s="5" t="b">
        <f t="shared" si="1"/>
        <v>0</v>
      </c>
    </row>
    <row r="55">
      <c r="A55" s="50" t="s">
        <v>2036</v>
      </c>
      <c r="B55" s="61">
        <v>89.0</v>
      </c>
      <c r="C55" s="61">
        <v>91.0</v>
      </c>
      <c r="D55" s="9">
        <f t="array" ref="D55">xlookup(A55,'données'!E$2:E$3608,'données'!K$2:K$3608)</f>
        <v>89.3</v>
      </c>
      <c r="E55" s="5" t="b">
        <f t="shared" si="1"/>
        <v>0</v>
      </c>
    </row>
    <row r="56">
      <c r="A56" s="50" t="s">
        <v>3834</v>
      </c>
      <c r="B56" s="61">
        <v>98.0</v>
      </c>
      <c r="C56" s="61">
        <v>98.0</v>
      </c>
      <c r="D56" s="9">
        <f t="array" ref="D56">xlookup(A56,'données'!E$2:E$3608,'données'!K$2:K$3608)</f>
        <v>125.9</v>
      </c>
      <c r="E56" s="5" t="b">
        <f t="shared" si="1"/>
        <v>0</v>
      </c>
    </row>
    <row r="57">
      <c r="A57" s="50" t="s">
        <v>5405</v>
      </c>
      <c r="B57" s="61">
        <v>83.0</v>
      </c>
      <c r="C57" s="61">
        <v>86.0</v>
      </c>
      <c r="D57" s="9">
        <f t="array" ref="D57">xlookup(A57,'données'!E$2:E$3608,'données'!K$2:K$3608)</f>
        <v>76.3</v>
      </c>
      <c r="E57" s="5" t="b">
        <f t="shared" si="1"/>
        <v>0</v>
      </c>
    </row>
    <row r="58">
      <c r="A58" s="50" t="s">
        <v>2032</v>
      </c>
      <c r="B58" s="61">
        <v>98.0</v>
      </c>
      <c r="C58" s="61">
        <v>94.0</v>
      </c>
      <c r="D58" s="9">
        <f t="array" ref="D58">xlookup(A58,'données'!E$2:E$3608,'données'!K$2:K$3608)</f>
        <v>102.3</v>
      </c>
      <c r="E58" s="5" t="b">
        <f t="shared" si="1"/>
        <v>0</v>
      </c>
    </row>
    <row r="59">
      <c r="A59" s="50" t="s">
        <v>6906</v>
      </c>
      <c r="B59" s="61">
        <v>100.0</v>
      </c>
      <c r="C59" s="61">
        <v>100.0</v>
      </c>
      <c r="D59" s="9">
        <f t="array" ref="D59">xlookup(A59,'données'!E$2:E$3608,'données'!K$2:K$3608)</f>
        <v>128.3</v>
      </c>
      <c r="E59" s="5" t="b">
        <f t="shared" si="1"/>
        <v>0</v>
      </c>
    </row>
    <row r="60">
      <c r="A60" s="50" t="s">
        <v>5400</v>
      </c>
      <c r="B60" s="61">
        <v>100.0</v>
      </c>
      <c r="C60" s="61">
        <v>99.0</v>
      </c>
      <c r="D60" s="9">
        <f t="array" ref="D60">xlookup(A60,'données'!E$2:E$3608,'données'!K$2:K$3608)</f>
        <v>110.6</v>
      </c>
      <c r="E60" s="5" t="b">
        <f t="shared" si="1"/>
        <v>0</v>
      </c>
    </row>
    <row r="61">
      <c r="A61" s="50" t="s">
        <v>2029</v>
      </c>
      <c r="B61" s="61">
        <v>95.0</v>
      </c>
      <c r="C61" s="61">
        <v>99.0</v>
      </c>
      <c r="D61" s="9">
        <f t="array" ref="D61">xlookup(A61,'données'!E$2:E$3608,'données'!K$2:K$3608)</f>
        <v>100.8</v>
      </c>
      <c r="E61" s="5" t="b">
        <f t="shared" si="1"/>
        <v>0</v>
      </c>
    </row>
    <row r="62">
      <c r="A62" s="50" t="s">
        <v>3829</v>
      </c>
      <c r="B62" s="61">
        <v>97.0</v>
      </c>
      <c r="C62" s="61">
        <v>98.0</v>
      </c>
      <c r="D62" s="9">
        <f t="array" ref="D62">xlookup(A62,'données'!E$2:E$3608,'données'!K$2:K$3608)</f>
        <v>104.1</v>
      </c>
      <c r="E62" s="5" t="b">
        <f t="shared" si="1"/>
        <v>0</v>
      </c>
    </row>
    <row r="63">
      <c r="A63" s="50" t="s">
        <v>2026</v>
      </c>
      <c r="B63" s="61">
        <v>100.0</v>
      </c>
      <c r="C63" s="61">
        <v>100.0</v>
      </c>
      <c r="D63" s="9">
        <f t="array" ref="D63">xlookup(A63,'données'!E$2:E$3608,'données'!K$2:K$3608)</f>
        <v>92.2</v>
      </c>
      <c r="E63" s="5" t="b">
        <f t="shared" si="1"/>
        <v>0</v>
      </c>
    </row>
    <row r="64">
      <c r="A64" s="50" t="s">
        <v>2023</v>
      </c>
      <c r="B64" s="61">
        <v>98.0</v>
      </c>
      <c r="C64" s="61">
        <v>97.0</v>
      </c>
      <c r="D64" s="9">
        <f t="array" ref="D64">xlookup(A64,'données'!E$2:E$3608,'données'!K$2:K$3608)</f>
        <v>85.3</v>
      </c>
      <c r="E64" s="5" t="b">
        <f t="shared" si="1"/>
        <v>0</v>
      </c>
    </row>
    <row r="65">
      <c r="A65" s="50" t="s">
        <v>5397</v>
      </c>
      <c r="B65" s="61">
        <v>99.0</v>
      </c>
      <c r="C65" s="61">
        <v>99.0</v>
      </c>
      <c r="D65" s="9">
        <f t="array" ref="D65">xlookup(A65,'données'!E$2:E$3608,'données'!K$2:K$3608)</f>
        <v>106</v>
      </c>
      <c r="E65" s="5" t="b">
        <f t="shared" si="1"/>
        <v>0</v>
      </c>
    </row>
    <row r="66">
      <c r="A66" s="50" t="s">
        <v>3827</v>
      </c>
      <c r="B66" s="61">
        <v>97.0</v>
      </c>
      <c r="C66" s="61">
        <v>98.0</v>
      </c>
      <c r="D66" s="9">
        <f t="array" ref="D66">xlookup(A66,'données'!E$2:E$3608,'données'!K$2:K$3608)</f>
        <v>105.8</v>
      </c>
      <c r="E66" s="5" t="b">
        <f t="shared" si="1"/>
        <v>0</v>
      </c>
    </row>
    <row r="67">
      <c r="A67" s="50" t="s">
        <v>8326</v>
      </c>
      <c r="B67" s="61">
        <v>98.0</v>
      </c>
      <c r="C67" s="61">
        <v>98.0</v>
      </c>
      <c r="D67" s="9">
        <f t="array" ref="D67">xlookup(A67,'données'!E$2:E$3608,'données'!K$2:K$3608)</f>
        <v>96.3</v>
      </c>
      <c r="E67" s="5" t="b">
        <f t="shared" si="1"/>
        <v>0</v>
      </c>
    </row>
    <row r="68">
      <c r="A68" s="50" t="s">
        <v>3824</v>
      </c>
      <c r="B68" s="61">
        <v>100.0</v>
      </c>
      <c r="C68" s="61">
        <v>100.0</v>
      </c>
      <c r="D68" s="9">
        <f t="array" ref="D68">xlookup(A68,'données'!E$2:E$3608,'données'!K$2:K$3608)</f>
        <v>98.1</v>
      </c>
      <c r="E68" s="5" t="b">
        <f t="shared" si="1"/>
        <v>0</v>
      </c>
    </row>
    <row r="69">
      <c r="A69" s="50" t="s">
        <v>3822</v>
      </c>
      <c r="B69" s="61">
        <v>100.0</v>
      </c>
      <c r="C69" s="61">
        <v>100.0</v>
      </c>
      <c r="D69" s="9">
        <f t="array" ref="D69">xlookup(A69,'données'!E$2:E$3608,'données'!K$2:K$3608)</f>
        <v>103.9</v>
      </c>
      <c r="E69" s="5" t="b">
        <f t="shared" si="1"/>
        <v>0</v>
      </c>
    </row>
    <row r="70">
      <c r="A70" s="50" t="s">
        <v>5394</v>
      </c>
      <c r="B70" s="61">
        <v>100.0</v>
      </c>
      <c r="C70" s="61">
        <v>100.0</v>
      </c>
      <c r="D70" s="9">
        <f t="array" ref="D70">xlookup(A70,'données'!E$2:E$3608,'données'!K$2:K$3608)</f>
        <v>109.4</v>
      </c>
      <c r="E70" s="5" t="b">
        <f t="shared" si="1"/>
        <v>0</v>
      </c>
    </row>
    <row r="71">
      <c r="A71" s="50" t="s">
        <v>8322</v>
      </c>
      <c r="B71" s="61">
        <v>97.0</v>
      </c>
      <c r="C71" s="61">
        <v>97.0</v>
      </c>
      <c r="D71" s="9">
        <f t="array" ref="D71">xlookup(A71,'données'!E$2:E$3608,'données'!K$2:K$3608)</f>
        <v>97.1</v>
      </c>
      <c r="E71" s="5" t="b">
        <f t="shared" si="1"/>
        <v>0</v>
      </c>
    </row>
    <row r="72">
      <c r="A72" s="50" t="s">
        <v>3819</v>
      </c>
      <c r="B72" s="61">
        <v>99.0</v>
      </c>
      <c r="C72" s="61">
        <v>100.0</v>
      </c>
      <c r="D72" s="9">
        <f t="array" ref="D72">xlookup(A72,'données'!E$2:E$3608,'données'!K$2:K$3608)</f>
        <v>123.5</v>
      </c>
      <c r="E72" s="5" t="b">
        <f t="shared" si="1"/>
        <v>0</v>
      </c>
    </row>
    <row r="73">
      <c r="A73" s="50" t="s">
        <v>3817</v>
      </c>
      <c r="B73" s="61">
        <v>93.0</v>
      </c>
      <c r="C73" s="61">
        <v>92.0</v>
      </c>
      <c r="D73" s="9">
        <f t="array" ref="D73">xlookup(A73,'données'!E$2:E$3608,'données'!K$2:K$3608)</f>
        <v>88.9</v>
      </c>
      <c r="E73" s="5" t="b">
        <f t="shared" si="1"/>
        <v>0</v>
      </c>
    </row>
    <row r="74">
      <c r="A74" s="50" t="s">
        <v>8317</v>
      </c>
      <c r="B74" s="61">
        <v>99.0</v>
      </c>
      <c r="C74" s="61">
        <v>99.0</v>
      </c>
      <c r="D74" s="9">
        <f t="array" ref="D74">xlookup(A74,'données'!E$2:E$3608,'données'!K$2:K$3608)</f>
        <v>110.8</v>
      </c>
      <c r="E74" s="5" t="b">
        <f t="shared" si="1"/>
        <v>0</v>
      </c>
    </row>
    <row r="75">
      <c r="A75" s="50" t="s">
        <v>5390</v>
      </c>
      <c r="B75" s="61">
        <v>95.0</v>
      </c>
      <c r="C75" s="61">
        <v>94.0</v>
      </c>
      <c r="D75" s="9">
        <f t="array" ref="D75">xlookup(A75,'données'!E$2:E$3608,'données'!K$2:K$3608)</f>
        <v>107.6</v>
      </c>
      <c r="E75" s="5" t="b">
        <f t="shared" si="1"/>
        <v>0</v>
      </c>
    </row>
    <row r="76">
      <c r="A76" s="50" t="s">
        <v>6897</v>
      </c>
      <c r="B76" s="61">
        <v>98.0</v>
      </c>
      <c r="C76" s="61">
        <v>99.0</v>
      </c>
      <c r="D76" s="9">
        <f t="array" ref="D76">xlookup(A76,'données'!E$2:E$3608,'données'!K$2:K$3608)</f>
        <v>91.4</v>
      </c>
      <c r="E76" s="5" t="b">
        <f t="shared" si="1"/>
        <v>0</v>
      </c>
    </row>
    <row r="77">
      <c r="A77" s="50" t="s">
        <v>3815</v>
      </c>
      <c r="B77" s="61">
        <v>99.0</v>
      </c>
      <c r="C77" s="61">
        <v>98.0</v>
      </c>
      <c r="D77" s="9">
        <f t="array" ref="D77">xlookup(A77,'données'!E$2:E$3608,'données'!K$2:K$3608)</f>
        <v>86.9</v>
      </c>
      <c r="E77" s="5" t="b">
        <f t="shared" si="1"/>
        <v>0</v>
      </c>
    </row>
    <row r="78">
      <c r="A78" s="50" t="s">
        <v>2010</v>
      </c>
      <c r="B78" s="61">
        <v>100.0</v>
      </c>
      <c r="C78" s="50"/>
      <c r="D78" s="9">
        <f t="array" ref="D78">xlookup(A78,'données'!E$2:E$3608,'données'!K$2:K$3608)</f>
        <v>95.7</v>
      </c>
      <c r="E78" s="5" t="b">
        <f t="shared" si="1"/>
        <v>0</v>
      </c>
    </row>
    <row r="79">
      <c r="A79" s="50" t="s">
        <v>3811</v>
      </c>
      <c r="B79" s="61">
        <v>97.0</v>
      </c>
      <c r="C79" s="61">
        <v>98.0</v>
      </c>
      <c r="D79" s="9">
        <f t="array" ref="D79">xlookup(A79,'données'!E$2:E$3608,'données'!K$2:K$3608)</f>
        <v>91.4</v>
      </c>
      <c r="E79" s="5" t="b">
        <f t="shared" si="1"/>
        <v>0</v>
      </c>
    </row>
    <row r="80">
      <c r="A80" s="50" t="s">
        <v>8314</v>
      </c>
      <c r="B80" s="61">
        <v>99.0</v>
      </c>
      <c r="C80" s="61">
        <v>99.0</v>
      </c>
      <c r="D80" s="9">
        <f t="array" ref="D80">xlookup(A80,'données'!E$2:E$3608,'données'!K$2:K$3608)</f>
        <v>98.1</v>
      </c>
      <c r="E80" s="5" t="b">
        <f t="shared" si="1"/>
        <v>0</v>
      </c>
    </row>
    <row r="81">
      <c r="A81" s="50" t="s">
        <v>3809</v>
      </c>
      <c r="B81" s="61">
        <v>97.0</v>
      </c>
      <c r="C81" s="61">
        <v>99.0</v>
      </c>
      <c r="D81" s="9">
        <f t="array" ref="D81">xlookup(A81,'données'!E$2:E$3608,'données'!K$2:K$3608)</f>
        <v>119.6</v>
      </c>
      <c r="E81" s="5" t="b">
        <f t="shared" si="1"/>
        <v>0</v>
      </c>
    </row>
    <row r="82">
      <c r="A82" s="50" t="s">
        <v>5387</v>
      </c>
      <c r="B82" s="61">
        <v>100.0</v>
      </c>
      <c r="C82" s="61">
        <v>100.0</v>
      </c>
      <c r="D82" s="9">
        <f t="array" ref="D82">xlookup(A82,'données'!E$2:E$3608,'données'!K$2:K$3608)</f>
        <v>94</v>
      </c>
      <c r="E82" s="5" t="b">
        <f t="shared" si="1"/>
        <v>0</v>
      </c>
    </row>
    <row r="83">
      <c r="A83" s="50" t="s">
        <v>5384</v>
      </c>
      <c r="B83" s="61">
        <v>97.0</v>
      </c>
      <c r="C83" s="61">
        <v>99.0</v>
      </c>
      <c r="D83" s="9">
        <f t="array" ref="D83">xlookup(A83,'données'!E$2:E$3608,'données'!K$2:K$3608)</f>
        <v>97.3</v>
      </c>
      <c r="E83" s="5" t="b">
        <f t="shared" si="1"/>
        <v>0</v>
      </c>
    </row>
    <row r="84">
      <c r="A84" s="50" t="s">
        <v>3807</v>
      </c>
      <c r="B84" s="61">
        <v>99.0</v>
      </c>
      <c r="C84" s="61">
        <v>99.0</v>
      </c>
      <c r="D84" s="9">
        <f t="array" ref="D84">xlookup(A84,'données'!E$2:E$3608,'données'!K$2:K$3608)</f>
        <v>105.7</v>
      </c>
      <c r="E84" s="5" t="b">
        <f t="shared" si="1"/>
        <v>0</v>
      </c>
    </row>
    <row r="85">
      <c r="A85" s="50" t="s">
        <v>2002</v>
      </c>
      <c r="B85" s="61">
        <v>98.0</v>
      </c>
      <c r="C85" s="61">
        <v>98.0</v>
      </c>
      <c r="D85" s="9">
        <f t="array" ref="D85">xlookup(A85,'données'!E$2:E$3608,'données'!K$2:K$3608)</f>
        <v>109.7</v>
      </c>
      <c r="E85" s="5" t="b">
        <f t="shared" si="1"/>
        <v>0</v>
      </c>
    </row>
    <row r="86">
      <c r="A86" s="50" t="s">
        <v>8312</v>
      </c>
      <c r="B86" s="61">
        <v>96.0</v>
      </c>
      <c r="C86" s="61">
        <v>95.0</v>
      </c>
      <c r="D86" s="9">
        <f t="array" ref="D86">xlookup(A86,'données'!E$2:E$3608,'données'!K$2:K$3608)</f>
        <v>87.6</v>
      </c>
      <c r="E86" s="5" t="b">
        <f t="shared" si="1"/>
        <v>0</v>
      </c>
    </row>
    <row r="87">
      <c r="A87" s="50" t="s">
        <v>5382</v>
      </c>
      <c r="B87" s="61">
        <v>99.0</v>
      </c>
      <c r="C87" s="61">
        <v>100.0</v>
      </c>
      <c r="D87" s="9">
        <f t="array" ref="D87">xlookup(A87,'données'!E$2:E$3608,'données'!K$2:K$3608)</f>
        <v>93.8</v>
      </c>
      <c r="E87" s="5" t="b">
        <f t="shared" si="1"/>
        <v>0</v>
      </c>
    </row>
    <row r="88">
      <c r="A88" s="50" t="s">
        <v>3804</v>
      </c>
      <c r="B88" s="61">
        <v>98.0</v>
      </c>
      <c r="C88" s="61">
        <v>97.0</v>
      </c>
      <c r="D88" s="9">
        <f t="array" ref="D88">xlookup(A88,'données'!E$2:E$3608,'données'!K$2:K$3608)</f>
        <v>101.3</v>
      </c>
      <c r="E88" s="5" t="b">
        <f t="shared" si="1"/>
        <v>0</v>
      </c>
    </row>
    <row r="89">
      <c r="A89" s="50" t="s">
        <v>3799</v>
      </c>
      <c r="B89" s="61">
        <v>99.0</v>
      </c>
      <c r="C89" s="61">
        <v>100.0</v>
      </c>
      <c r="D89" s="9">
        <f t="array" ref="D89">xlookup(A89,'données'!E$2:E$3608,'données'!K$2:K$3608)</f>
        <v>98.1</v>
      </c>
      <c r="E89" s="5" t="b">
        <f t="shared" si="1"/>
        <v>0</v>
      </c>
    </row>
    <row r="90">
      <c r="A90" s="50" t="s">
        <v>1999</v>
      </c>
      <c r="B90" s="61">
        <v>100.0</v>
      </c>
      <c r="C90" s="61">
        <v>100.0</v>
      </c>
      <c r="D90" s="9">
        <f t="array" ref="D90">xlookup(A90,'données'!E$2:E$3608,'données'!K$2:K$3608)</f>
        <v>80.6</v>
      </c>
      <c r="E90" s="5" t="b">
        <f t="shared" si="1"/>
        <v>0</v>
      </c>
    </row>
    <row r="91">
      <c r="A91" s="50" t="s">
        <v>5374</v>
      </c>
      <c r="B91" s="61">
        <v>100.0</v>
      </c>
      <c r="C91" s="61">
        <v>100.0</v>
      </c>
      <c r="D91" s="9">
        <f t="array" ref="D91">xlookup(A91,'données'!E$2:E$3608,'données'!K$2:K$3608)</f>
        <v>97.1</v>
      </c>
      <c r="E91" s="5" t="b">
        <f t="shared" si="1"/>
        <v>0</v>
      </c>
    </row>
    <row r="92">
      <c r="A92" s="50" t="s">
        <v>1990</v>
      </c>
      <c r="B92" s="61">
        <v>97.0</v>
      </c>
      <c r="C92" s="61">
        <v>100.0</v>
      </c>
      <c r="D92" s="9">
        <f t="array" ref="D92">xlookup(A92,'données'!E$2:E$3608,'données'!K$2:K$3608)</f>
        <v>106.6</v>
      </c>
      <c r="E92" s="5" t="b">
        <f t="shared" si="1"/>
        <v>0</v>
      </c>
    </row>
    <row r="93">
      <c r="A93" s="50" t="s">
        <v>8310</v>
      </c>
      <c r="B93" s="61">
        <v>100.0</v>
      </c>
      <c r="C93" s="61">
        <v>100.0</v>
      </c>
      <c r="D93" s="9">
        <f t="array" ref="D93">xlookup(A93,'données'!E$2:E$3608,'données'!K$2:K$3608)</f>
        <v>127.7</v>
      </c>
      <c r="E93" s="5" t="b">
        <f t="shared" si="1"/>
        <v>0</v>
      </c>
    </row>
    <row r="94">
      <c r="A94" s="50" t="s">
        <v>3790</v>
      </c>
      <c r="B94" s="61">
        <v>96.0</v>
      </c>
      <c r="C94" s="61">
        <v>98.0</v>
      </c>
      <c r="D94" s="9">
        <f t="array" ref="D94">xlookup(A94,'données'!E$2:E$3608,'données'!K$2:K$3608)</f>
        <v>90.4</v>
      </c>
      <c r="E94" s="5" t="b">
        <f t="shared" si="1"/>
        <v>0</v>
      </c>
    </row>
    <row r="95">
      <c r="A95" s="50" t="s">
        <v>5372</v>
      </c>
      <c r="B95" s="61">
        <v>98.0</v>
      </c>
      <c r="C95" s="61">
        <v>98.0</v>
      </c>
      <c r="D95" s="9">
        <f t="array" ref="D95">xlookup(A95,'données'!E$2:E$3608,'données'!K$2:K$3608)</f>
        <v>97.5</v>
      </c>
      <c r="E95" s="5" t="b">
        <f t="shared" si="1"/>
        <v>0</v>
      </c>
    </row>
    <row r="96">
      <c r="A96" s="50" t="s">
        <v>1985</v>
      </c>
      <c r="B96" s="61">
        <v>100.0</v>
      </c>
      <c r="C96" s="61">
        <v>100.0</v>
      </c>
      <c r="D96" s="9">
        <f t="array" ref="D96">xlookup(A96,'données'!E$2:E$3608,'données'!K$2:K$3608)</f>
        <v>105.7</v>
      </c>
      <c r="E96" s="5" t="b">
        <f t="shared" si="1"/>
        <v>0</v>
      </c>
    </row>
    <row r="97">
      <c r="A97" s="50" t="s">
        <v>6890</v>
      </c>
      <c r="B97" s="61">
        <v>98.0</v>
      </c>
      <c r="C97" s="61">
        <v>100.0</v>
      </c>
      <c r="D97" s="9">
        <f t="array" ref="D97">xlookup(A97,'données'!E$2:E$3608,'données'!K$2:K$3608)</f>
        <v>98.8</v>
      </c>
      <c r="E97" s="5" t="b">
        <f t="shared" si="1"/>
        <v>0</v>
      </c>
    </row>
    <row r="98">
      <c r="A98" s="50" t="s">
        <v>8306</v>
      </c>
      <c r="B98" s="61">
        <v>96.0</v>
      </c>
      <c r="C98" s="61">
        <v>96.0</v>
      </c>
      <c r="D98" s="9">
        <f t="array" ref="D98">xlookup(A98,'données'!E$2:E$3608,'données'!K$2:K$3608)</f>
        <v>106.3</v>
      </c>
      <c r="E98" s="5" t="b">
        <f t="shared" si="1"/>
        <v>0</v>
      </c>
    </row>
    <row r="99">
      <c r="A99" s="50" t="s">
        <v>8304</v>
      </c>
      <c r="B99" s="61">
        <v>100.0</v>
      </c>
      <c r="C99" s="61">
        <v>100.0</v>
      </c>
      <c r="D99" s="9">
        <f t="array" ref="D99">xlookup(A99,'données'!E$2:E$3608,'données'!K$2:K$3608)</f>
        <v>126.1</v>
      </c>
      <c r="E99" s="5" t="b">
        <f t="shared" si="1"/>
        <v>0</v>
      </c>
    </row>
    <row r="100">
      <c r="A100" s="50" t="s">
        <v>1981</v>
      </c>
      <c r="B100" s="61">
        <v>99.0</v>
      </c>
      <c r="C100" s="61">
        <v>99.0</v>
      </c>
      <c r="D100" s="9">
        <f t="array" ref="D100">xlookup(A100,'données'!E$2:E$3608,'données'!K$2:K$3608)</f>
        <v>117.4</v>
      </c>
      <c r="E100" s="5" t="b">
        <f t="shared" si="1"/>
        <v>0</v>
      </c>
    </row>
    <row r="101">
      <c r="A101" s="50" t="s">
        <v>8302</v>
      </c>
      <c r="B101" s="61">
        <v>98.0</v>
      </c>
      <c r="C101" s="61">
        <v>99.0</v>
      </c>
      <c r="D101" s="9">
        <f t="array" ref="D101">xlookup(A101,'données'!E$2:E$3608,'données'!K$2:K$3608)</f>
        <v>117.1</v>
      </c>
      <c r="E101" s="5" t="b">
        <f t="shared" si="1"/>
        <v>0</v>
      </c>
    </row>
    <row r="102">
      <c r="A102" s="50" t="s">
        <v>5370</v>
      </c>
      <c r="B102" s="61">
        <v>99.0</v>
      </c>
      <c r="C102" s="61">
        <v>99.0</v>
      </c>
      <c r="D102" s="9">
        <f t="array" ref="D102">xlookup(A102,'données'!E$2:E$3608,'données'!K$2:K$3608)</f>
        <v>117.3</v>
      </c>
      <c r="E102" s="5" t="b">
        <f t="shared" si="1"/>
        <v>0</v>
      </c>
    </row>
    <row r="103">
      <c r="A103" s="50" t="s">
        <v>1971</v>
      </c>
      <c r="B103" s="61">
        <v>98.0</v>
      </c>
      <c r="C103" s="61">
        <v>98.0</v>
      </c>
      <c r="D103" s="9">
        <f t="array" ref="D103">xlookup(A103,'données'!E$2:E$3608,'données'!K$2:K$3608)</f>
        <v>102.1</v>
      </c>
      <c r="E103" s="5" t="b">
        <f t="shared" si="1"/>
        <v>0</v>
      </c>
    </row>
    <row r="104">
      <c r="A104" s="50" t="s">
        <v>8298</v>
      </c>
      <c r="B104" s="61">
        <v>93.0</v>
      </c>
      <c r="C104" s="61">
        <v>93.0</v>
      </c>
      <c r="D104" s="9">
        <f t="array" ref="D104">xlookup(A104,'données'!E$2:E$3608,'données'!K$2:K$3608)</f>
        <v>105.1</v>
      </c>
      <c r="E104" s="5" t="b">
        <f t="shared" si="1"/>
        <v>0</v>
      </c>
    </row>
    <row r="105">
      <c r="A105" s="50" t="s">
        <v>8296</v>
      </c>
      <c r="B105" s="61">
        <v>99.0</v>
      </c>
      <c r="C105" s="61">
        <v>99.0</v>
      </c>
      <c r="D105" s="9">
        <f t="array" ref="D105">xlookup(A105,'données'!E$2:E$3608,'données'!K$2:K$3608)</f>
        <v>115.2</v>
      </c>
      <c r="E105" s="5" t="b">
        <f t="shared" si="1"/>
        <v>0</v>
      </c>
    </row>
    <row r="106">
      <c r="A106" s="50" t="s">
        <v>3786</v>
      </c>
      <c r="B106" s="61">
        <v>98.0</v>
      </c>
      <c r="C106" s="61">
        <v>98.0</v>
      </c>
      <c r="D106" s="9">
        <f t="array" ref="D106">xlookup(A106,'données'!E$2:E$3608,'données'!K$2:K$3608)</f>
        <v>111.8</v>
      </c>
      <c r="E106" s="5" t="b">
        <f t="shared" si="1"/>
        <v>0</v>
      </c>
    </row>
    <row r="107">
      <c r="A107" s="50" t="s">
        <v>5368</v>
      </c>
      <c r="B107" s="61">
        <v>100.0</v>
      </c>
      <c r="C107" s="61">
        <v>100.0</v>
      </c>
      <c r="D107" s="9">
        <f t="array" ref="D107">xlookup(A107,'données'!E$2:E$3608,'données'!K$2:K$3608)</f>
        <v>128.2</v>
      </c>
      <c r="E107" s="5" t="b">
        <f t="shared" si="1"/>
        <v>0</v>
      </c>
    </row>
    <row r="108">
      <c r="A108" s="50" t="s">
        <v>5366</v>
      </c>
      <c r="B108" s="61">
        <v>95.0</v>
      </c>
      <c r="C108" s="61">
        <v>96.0</v>
      </c>
      <c r="D108" s="9">
        <f t="array" ref="D108">xlookup(A108,'données'!E$2:E$3608,'données'!K$2:K$3608)</f>
        <v>113.2</v>
      </c>
      <c r="E108" s="5" t="b">
        <f t="shared" si="1"/>
        <v>0</v>
      </c>
    </row>
    <row r="109">
      <c r="A109" s="50" t="s">
        <v>3783</v>
      </c>
      <c r="B109" s="61">
        <v>99.0</v>
      </c>
      <c r="C109" s="61">
        <v>99.0</v>
      </c>
      <c r="D109" s="9">
        <f t="array" ref="D109">xlookup(A109,'données'!E$2:E$3608,'données'!K$2:K$3608)</f>
        <v>93.6</v>
      </c>
      <c r="E109" s="5" t="b">
        <f t="shared" si="1"/>
        <v>0</v>
      </c>
    </row>
    <row r="110">
      <c r="A110" s="50" t="s">
        <v>8293</v>
      </c>
      <c r="B110" s="61">
        <v>100.0</v>
      </c>
      <c r="C110" s="61">
        <v>100.0</v>
      </c>
      <c r="D110" s="9">
        <f t="array" ref="D110">xlookup(A110,'données'!E$2:E$3608,'données'!K$2:K$3608)</f>
        <v>115.6</v>
      </c>
      <c r="E110" s="5" t="b">
        <f t="shared" si="1"/>
        <v>0</v>
      </c>
    </row>
    <row r="111">
      <c r="A111" s="50" t="s">
        <v>8289</v>
      </c>
      <c r="B111" s="61">
        <v>99.0</v>
      </c>
      <c r="C111" s="61">
        <v>100.0</v>
      </c>
      <c r="D111" s="9">
        <f t="array" ref="D111">xlookup(A111,'données'!E$2:E$3608,'données'!K$2:K$3608)</f>
        <v>118.4</v>
      </c>
      <c r="E111" s="5" t="b">
        <f t="shared" si="1"/>
        <v>0</v>
      </c>
    </row>
    <row r="112">
      <c r="A112" s="50" t="s">
        <v>5364</v>
      </c>
      <c r="B112" s="61">
        <v>99.0</v>
      </c>
      <c r="C112" s="61">
        <v>99.0</v>
      </c>
      <c r="D112" s="9">
        <f t="array" ref="D112">xlookup(A112,'données'!E$2:E$3608,'données'!K$2:K$3608)</f>
        <v>125.6</v>
      </c>
      <c r="E112" s="5" t="b">
        <f t="shared" si="1"/>
        <v>0</v>
      </c>
    </row>
    <row r="113">
      <c r="A113" s="50" t="s">
        <v>3778</v>
      </c>
      <c r="B113" s="61">
        <v>96.0</v>
      </c>
      <c r="C113" s="61">
        <v>96.0</v>
      </c>
      <c r="D113" s="9">
        <f t="array" ref="D113">xlookup(A113,'données'!E$2:E$3608,'données'!K$2:K$3608)</f>
        <v>124.3</v>
      </c>
      <c r="E113" s="5" t="b">
        <f t="shared" si="1"/>
        <v>0</v>
      </c>
    </row>
    <row r="114">
      <c r="A114" s="50" t="s">
        <v>1958</v>
      </c>
      <c r="B114" s="61">
        <v>89.0</v>
      </c>
      <c r="C114" s="61">
        <v>90.0</v>
      </c>
      <c r="D114" s="9">
        <f t="array" ref="D114">xlookup(A114,'données'!E$2:E$3608,'données'!K$2:K$3608)</f>
        <v>106.9</v>
      </c>
      <c r="E114" s="5" t="b">
        <f t="shared" si="1"/>
        <v>0</v>
      </c>
    </row>
    <row r="115">
      <c r="A115" s="50" t="s">
        <v>3775</v>
      </c>
      <c r="B115" s="61">
        <v>95.0</v>
      </c>
      <c r="C115" s="61">
        <v>98.0</v>
      </c>
      <c r="D115" s="9">
        <f t="array" ref="D115">xlookup(A115,'données'!E$2:E$3608,'données'!K$2:K$3608)</f>
        <v>114.6</v>
      </c>
      <c r="E115" s="5" t="b">
        <f t="shared" si="1"/>
        <v>0</v>
      </c>
    </row>
    <row r="116">
      <c r="A116" s="50" t="s">
        <v>6886</v>
      </c>
      <c r="B116" s="61">
        <v>89.0</v>
      </c>
      <c r="C116" s="61">
        <v>84.0</v>
      </c>
      <c r="D116" s="9">
        <f t="array" ref="D116">xlookup(A116,'données'!E$2:E$3608,'données'!K$2:K$3608)</f>
        <v>86.7</v>
      </c>
      <c r="E116" s="5" t="b">
        <f t="shared" si="1"/>
        <v>0</v>
      </c>
    </row>
    <row r="117">
      <c r="A117" s="50" t="s">
        <v>8287</v>
      </c>
      <c r="B117" s="61">
        <v>96.0</v>
      </c>
      <c r="C117" s="61">
        <v>97.0</v>
      </c>
      <c r="D117" s="9">
        <f t="array" ref="D117">xlookup(A117,'données'!E$2:E$3608,'données'!K$2:K$3608)</f>
        <v>121.8</v>
      </c>
      <c r="E117" s="5" t="b">
        <f t="shared" si="1"/>
        <v>0</v>
      </c>
    </row>
    <row r="118">
      <c r="A118" s="50" t="s">
        <v>5362</v>
      </c>
      <c r="B118" s="61">
        <v>93.0</v>
      </c>
      <c r="C118" s="61">
        <v>93.0</v>
      </c>
      <c r="D118" s="9">
        <f t="array" ref="D118">xlookup(A118,'données'!E$2:E$3608,'données'!K$2:K$3608)</f>
        <v>78.7</v>
      </c>
      <c r="E118" s="5" t="b">
        <f t="shared" si="1"/>
        <v>0</v>
      </c>
    </row>
    <row r="119">
      <c r="A119" s="50" t="s">
        <v>8285</v>
      </c>
      <c r="B119" s="61">
        <v>94.0</v>
      </c>
      <c r="C119" s="61">
        <v>98.0</v>
      </c>
      <c r="D119" s="9">
        <f t="array" ref="D119">xlookup(A119,'données'!E$2:E$3608,'données'!K$2:K$3608)</f>
        <v>117.4</v>
      </c>
      <c r="E119" s="5" t="b">
        <f t="shared" si="1"/>
        <v>0</v>
      </c>
    </row>
    <row r="120">
      <c r="A120" s="50" t="s">
        <v>5360</v>
      </c>
      <c r="B120" s="61">
        <v>92.0</v>
      </c>
      <c r="C120" s="61">
        <v>95.0</v>
      </c>
      <c r="D120" s="9">
        <f t="array" ref="D120">xlookup(A120,'données'!E$2:E$3608,'données'!K$2:K$3608)</f>
        <v>117.8</v>
      </c>
      <c r="E120" s="5" t="b">
        <f t="shared" si="1"/>
        <v>0</v>
      </c>
    </row>
    <row r="121">
      <c r="A121" s="50" t="s">
        <v>6884</v>
      </c>
      <c r="B121" s="61">
        <v>95.0</v>
      </c>
      <c r="C121" s="61">
        <v>94.0</v>
      </c>
      <c r="D121" s="9">
        <f t="array" ref="D121">xlookup(A121,'données'!E$2:E$3608,'données'!K$2:K$3608)</f>
        <v>112</v>
      </c>
      <c r="E121" s="5" t="b">
        <f t="shared" si="1"/>
        <v>0</v>
      </c>
    </row>
    <row r="122">
      <c r="A122" s="50" t="s">
        <v>3772</v>
      </c>
      <c r="B122" s="61">
        <v>92.0</v>
      </c>
      <c r="C122" s="61">
        <v>95.0</v>
      </c>
      <c r="D122" s="9">
        <f t="array" ref="D122">xlookup(A122,'données'!E$2:E$3608,'données'!K$2:K$3608)</f>
        <v>107</v>
      </c>
      <c r="E122" s="5" t="b">
        <f t="shared" si="1"/>
        <v>0</v>
      </c>
    </row>
    <row r="123">
      <c r="A123" s="50" t="s">
        <v>6882</v>
      </c>
      <c r="B123" s="61">
        <v>89.0</v>
      </c>
      <c r="C123" s="61">
        <v>89.0</v>
      </c>
      <c r="D123" s="9">
        <f t="array" ref="D123">xlookup(A123,'données'!E$2:E$3608,'données'!K$2:K$3608)</f>
        <v>105</v>
      </c>
      <c r="E123" s="5" t="b">
        <f t="shared" si="1"/>
        <v>0</v>
      </c>
    </row>
    <row r="124">
      <c r="A124" s="50" t="s">
        <v>8282</v>
      </c>
      <c r="B124" s="61">
        <v>91.0</v>
      </c>
      <c r="C124" s="61">
        <v>93.0</v>
      </c>
      <c r="D124" s="9">
        <f t="array" ref="D124">xlookup(A124,'données'!E$2:E$3608,'données'!K$2:K$3608)</f>
        <v>103.5</v>
      </c>
      <c r="E124" s="5" t="b">
        <f t="shared" si="1"/>
        <v>0</v>
      </c>
    </row>
    <row r="125">
      <c r="A125" s="50" t="s">
        <v>3769</v>
      </c>
      <c r="B125" s="61">
        <v>93.0</v>
      </c>
      <c r="C125" s="61">
        <v>94.0</v>
      </c>
      <c r="D125" s="9">
        <f t="array" ref="D125">xlookup(A125,'données'!E$2:E$3608,'données'!K$2:K$3608)</f>
        <v>124.5</v>
      </c>
      <c r="E125" s="5" t="b">
        <f t="shared" si="1"/>
        <v>0</v>
      </c>
    </row>
    <row r="126">
      <c r="A126" s="50" t="s">
        <v>6881</v>
      </c>
      <c r="B126" s="61">
        <v>93.0</v>
      </c>
      <c r="C126" s="61">
        <v>94.0</v>
      </c>
      <c r="D126" s="9">
        <f t="array" ref="D126">xlookup(A126,'données'!E$2:E$3608,'données'!K$2:K$3608)</f>
        <v>104</v>
      </c>
      <c r="E126" s="5" t="b">
        <f t="shared" si="1"/>
        <v>0</v>
      </c>
    </row>
    <row r="127">
      <c r="A127" s="50" t="s">
        <v>1952</v>
      </c>
      <c r="B127" s="61">
        <v>96.0</v>
      </c>
      <c r="C127" s="61">
        <v>97.0</v>
      </c>
      <c r="D127" s="9">
        <f t="array" ref="D127">xlookup(A127,'données'!E$2:E$3608,'données'!K$2:K$3608)</f>
        <v>124.2</v>
      </c>
      <c r="E127" s="5" t="b">
        <f t="shared" si="1"/>
        <v>0</v>
      </c>
    </row>
    <row r="128">
      <c r="A128" s="50" t="s">
        <v>1949</v>
      </c>
      <c r="B128" s="61">
        <v>94.0</v>
      </c>
      <c r="C128" s="61">
        <v>95.0</v>
      </c>
      <c r="D128" s="9">
        <f t="array" ref="D128">xlookup(A128,'données'!E$2:E$3608,'données'!K$2:K$3608)</f>
        <v>110.7</v>
      </c>
      <c r="E128" s="5" t="b">
        <f t="shared" si="1"/>
        <v>0</v>
      </c>
    </row>
    <row r="129">
      <c r="A129" s="50" t="s">
        <v>6880</v>
      </c>
      <c r="B129" s="61">
        <v>95.0</v>
      </c>
      <c r="C129" s="61">
        <v>95.0</v>
      </c>
      <c r="D129" s="9">
        <f t="array" ref="D129">xlookup(A129,'données'!E$2:E$3608,'données'!K$2:K$3608)</f>
        <v>107.2</v>
      </c>
      <c r="E129" s="5" t="b">
        <f t="shared" si="1"/>
        <v>0</v>
      </c>
    </row>
    <row r="130">
      <c r="A130" s="50" t="s">
        <v>1947</v>
      </c>
      <c r="B130" s="61">
        <v>100.0</v>
      </c>
      <c r="C130" s="61">
        <v>100.0</v>
      </c>
      <c r="D130" s="9">
        <f t="array" ref="D130">xlookup(A130,'données'!E$2:E$3608,'données'!K$2:K$3608)</f>
        <v>143.2</v>
      </c>
      <c r="E130" s="5" t="b">
        <f t="shared" si="1"/>
        <v>0</v>
      </c>
    </row>
    <row r="131">
      <c r="A131" s="50" t="s">
        <v>5352</v>
      </c>
      <c r="B131" s="61">
        <v>98.0</v>
      </c>
      <c r="C131" s="61">
        <v>98.0</v>
      </c>
      <c r="D131" s="9">
        <f t="array" ref="D131">xlookup(A131,'données'!E$2:E$3608,'données'!K$2:K$3608)</f>
        <v>129.4</v>
      </c>
      <c r="E131" s="5" t="b">
        <f t="shared" si="1"/>
        <v>0</v>
      </c>
    </row>
    <row r="132">
      <c r="A132" s="50" t="s">
        <v>5350</v>
      </c>
      <c r="B132" s="61">
        <v>97.0</v>
      </c>
      <c r="C132" s="61">
        <v>100.0</v>
      </c>
      <c r="D132" s="9">
        <f t="array" ref="D132">xlookup(A132,'données'!E$2:E$3608,'données'!K$2:K$3608)</f>
        <v>119.3</v>
      </c>
      <c r="E132" s="5" t="b">
        <f t="shared" si="1"/>
        <v>0</v>
      </c>
    </row>
    <row r="133">
      <c r="A133" s="50" t="s">
        <v>8275</v>
      </c>
      <c r="B133" s="61">
        <v>100.0</v>
      </c>
      <c r="C133" s="61">
        <v>100.0</v>
      </c>
      <c r="D133" s="9">
        <f t="array" ref="D133">xlookup(A133,'données'!E$2:E$3608,'données'!K$2:K$3608)</f>
        <v>114.4</v>
      </c>
      <c r="E133" s="5" t="b">
        <f t="shared" si="1"/>
        <v>0</v>
      </c>
    </row>
    <row r="134">
      <c r="A134" s="50" t="s">
        <v>1945</v>
      </c>
      <c r="B134" s="61">
        <v>87.0</v>
      </c>
      <c r="C134" s="61">
        <v>90.0</v>
      </c>
      <c r="D134" s="9">
        <f t="array" ref="D134">xlookup(A134,'données'!E$2:E$3608,'données'!K$2:K$3608)</f>
        <v>82.7</v>
      </c>
      <c r="E134" s="5" t="b">
        <f t="shared" si="1"/>
        <v>0</v>
      </c>
    </row>
    <row r="135">
      <c r="A135" s="50" t="s">
        <v>5347</v>
      </c>
      <c r="B135" s="61">
        <v>100.0</v>
      </c>
      <c r="C135" s="61">
        <v>100.0</v>
      </c>
      <c r="D135" s="9">
        <f t="array" ref="D135">xlookup(A135,'données'!E$2:E$3608,'données'!K$2:K$3608)</f>
        <v>127.4</v>
      </c>
      <c r="E135" s="5" t="b">
        <f t="shared" si="1"/>
        <v>0</v>
      </c>
    </row>
    <row r="136">
      <c r="A136" s="50" t="s">
        <v>6878</v>
      </c>
      <c r="B136" s="61">
        <v>100.0</v>
      </c>
      <c r="C136" s="61">
        <v>100.0</v>
      </c>
      <c r="D136" s="9">
        <f t="array" ref="D136">xlookup(A136,'données'!E$2:E$3608,'données'!K$2:K$3608)</f>
        <v>110.1</v>
      </c>
      <c r="E136" s="5" t="b">
        <f t="shared" si="1"/>
        <v>0</v>
      </c>
    </row>
    <row r="137">
      <c r="A137" s="50" t="s">
        <v>3761</v>
      </c>
      <c r="B137" s="61">
        <v>100.0</v>
      </c>
      <c r="C137" s="61">
        <v>100.0</v>
      </c>
      <c r="D137" s="9">
        <f t="array" ref="D137">xlookup(A137,'données'!E$2:E$3608,'données'!K$2:K$3608)</f>
        <v>134.9</v>
      </c>
      <c r="E137" s="5" t="b">
        <f t="shared" si="1"/>
        <v>0</v>
      </c>
    </row>
    <row r="138">
      <c r="A138" s="50" t="s">
        <v>6876</v>
      </c>
      <c r="B138" s="61">
        <v>96.0</v>
      </c>
      <c r="C138" s="61">
        <v>96.0</v>
      </c>
      <c r="D138" s="9">
        <f t="array" ref="D138">xlookup(A138,'données'!E$2:E$3608,'données'!K$2:K$3608)</f>
        <v>128.7</v>
      </c>
      <c r="E138" s="5" t="b">
        <f t="shared" si="1"/>
        <v>0</v>
      </c>
    </row>
    <row r="139">
      <c r="A139" s="50" t="s">
        <v>1940</v>
      </c>
      <c r="B139" s="61">
        <v>100.0</v>
      </c>
      <c r="C139" s="61">
        <v>100.0</v>
      </c>
      <c r="D139" s="9">
        <f t="array" ref="D139">xlookup(A139,'données'!E$2:E$3608,'données'!K$2:K$3608)</f>
        <v>140.7</v>
      </c>
      <c r="E139" s="5" t="b">
        <f t="shared" si="1"/>
        <v>0</v>
      </c>
    </row>
    <row r="140">
      <c r="A140" s="50" t="s">
        <v>6873</v>
      </c>
      <c r="B140" s="61">
        <v>100.0</v>
      </c>
      <c r="C140" s="61">
        <v>100.0</v>
      </c>
      <c r="D140" s="9">
        <f t="array" ref="D140">xlookup(A140,'données'!E$2:E$3608,'données'!K$2:K$3608)</f>
        <v>139.9</v>
      </c>
      <c r="E140" s="5" t="b">
        <f t="shared" si="1"/>
        <v>0</v>
      </c>
    </row>
    <row r="141">
      <c r="A141" s="50" t="s">
        <v>1937</v>
      </c>
      <c r="B141" s="61">
        <v>100.0</v>
      </c>
      <c r="C141" s="61">
        <v>100.0</v>
      </c>
      <c r="D141" s="9">
        <f t="array" ref="D141">xlookup(A141,'données'!E$2:E$3608,'données'!K$2:K$3608)</f>
        <v>141</v>
      </c>
      <c r="E141" s="5" t="b">
        <f t="shared" si="1"/>
        <v>0</v>
      </c>
    </row>
    <row r="142">
      <c r="A142" s="50" t="s">
        <v>5342</v>
      </c>
      <c r="B142" s="61">
        <v>90.0</v>
      </c>
      <c r="C142" s="61">
        <v>88.0</v>
      </c>
      <c r="D142" s="9">
        <f t="array" ref="D142">xlookup(A142,'données'!E$2:E$3608,'données'!K$2:K$3608)</f>
        <v>87.4</v>
      </c>
      <c r="E142" s="5" t="b">
        <f t="shared" si="1"/>
        <v>0</v>
      </c>
    </row>
    <row r="143">
      <c r="A143" s="50" t="s">
        <v>5340</v>
      </c>
      <c r="B143" s="61">
        <v>90.0</v>
      </c>
      <c r="C143" s="61">
        <v>94.0</v>
      </c>
      <c r="D143" s="9">
        <f t="array" ref="D143">xlookup(A143,'données'!E$2:E$3608,'données'!K$2:K$3608)</f>
        <v>90.8</v>
      </c>
      <c r="E143" s="5" t="b">
        <f t="shared" si="1"/>
        <v>0</v>
      </c>
    </row>
    <row r="144">
      <c r="A144" s="50" t="s">
        <v>5338</v>
      </c>
      <c r="B144" s="61">
        <v>93.0</v>
      </c>
      <c r="C144" s="61">
        <v>95.0</v>
      </c>
      <c r="D144" s="9">
        <f t="array" ref="D144">xlookup(A144,'données'!E$2:E$3608,'données'!K$2:K$3608)</f>
        <v>121.7</v>
      </c>
      <c r="E144" s="5" t="b">
        <f t="shared" si="1"/>
        <v>0</v>
      </c>
    </row>
    <row r="145">
      <c r="A145" s="50" t="s">
        <v>1931</v>
      </c>
      <c r="B145" s="61">
        <v>97.0</v>
      </c>
      <c r="C145" s="61">
        <v>97.0</v>
      </c>
      <c r="D145" s="9">
        <f t="array" ref="D145">xlookup(A145,'données'!E$2:E$3608,'données'!K$2:K$3608)</f>
        <v>86.3</v>
      </c>
      <c r="E145" s="5" t="b">
        <f t="shared" si="1"/>
        <v>0</v>
      </c>
    </row>
    <row r="146">
      <c r="A146" s="50" t="s">
        <v>6868</v>
      </c>
      <c r="B146" s="61">
        <v>91.0</v>
      </c>
      <c r="C146" s="61">
        <v>95.0</v>
      </c>
      <c r="D146" s="9">
        <f t="array" ref="D146">xlookup(A146,'données'!E$2:E$3608,'données'!K$2:K$3608)</f>
        <v>112.5</v>
      </c>
      <c r="E146" s="5" t="b">
        <f t="shared" si="1"/>
        <v>0</v>
      </c>
    </row>
    <row r="147">
      <c r="A147" s="50" t="s">
        <v>3758</v>
      </c>
      <c r="B147" s="61">
        <v>93.0</v>
      </c>
      <c r="C147" s="61">
        <v>94.0</v>
      </c>
      <c r="D147" s="9">
        <f t="array" ref="D147">xlookup(A147,'données'!E$2:E$3608,'données'!K$2:K$3608)</f>
        <v>123.5</v>
      </c>
      <c r="E147" s="5" t="b">
        <f t="shared" si="1"/>
        <v>0</v>
      </c>
    </row>
    <row r="148">
      <c r="A148" s="50" t="s">
        <v>5335</v>
      </c>
      <c r="B148" s="61">
        <v>97.0</v>
      </c>
      <c r="C148" s="61">
        <v>98.0</v>
      </c>
      <c r="D148" s="9">
        <f t="array" ref="D148">xlookup(A148,'données'!E$2:E$3608,'données'!K$2:K$3608)</f>
        <v>123.1</v>
      </c>
      <c r="E148" s="5" t="b">
        <f t="shared" si="1"/>
        <v>0</v>
      </c>
    </row>
    <row r="149">
      <c r="A149" s="50" t="s">
        <v>6866</v>
      </c>
      <c r="B149" s="61">
        <v>92.0</v>
      </c>
      <c r="C149" s="61">
        <v>97.0</v>
      </c>
      <c r="D149" s="9">
        <f t="array" ref="D149">xlookup(A149,'données'!E$2:E$3608,'données'!K$2:K$3608)</f>
        <v>91.8</v>
      </c>
      <c r="E149" s="5" t="b">
        <f t="shared" si="1"/>
        <v>0</v>
      </c>
    </row>
    <row r="150">
      <c r="A150" s="50" t="s">
        <v>5332</v>
      </c>
      <c r="B150" s="61">
        <v>98.0</v>
      </c>
      <c r="C150" s="61">
        <v>98.0</v>
      </c>
      <c r="D150" s="9">
        <f t="array" ref="D150">xlookup(A150,'données'!E$2:E$3608,'données'!K$2:K$3608)</f>
        <v>117.5</v>
      </c>
      <c r="E150" s="5" t="b">
        <f t="shared" si="1"/>
        <v>0</v>
      </c>
    </row>
    <row r="151">
      <c r="A151" s="50" t="s">
        <v>6865</v>
      </c>
      <c r="B151" s="61">
        <v>92.0</v>
      </c>
      <c r="C151" s="61">
        <v>95.0</v>
      </c>
      <c r="D151" s="9">
        <f t="array" ref="D151">xlookup(A151,'données'!E$2:E$3608,'données'!K$2:K$3608)</f>
        <v>91.1</v>
      </c>
      <c r="E151" s="5" t="b">
        <f t="shared" si="1"/>
        <v>0</v>
      </c>
    </row>
    <row r="152">
      <c r="A152" s="50" t="s">
        <v>1928</v>
      </c>
      <c r="B152" s="61">
        <v>95.0</v>
      </c>
      <c r="C152" s="61">
        <v>97.0</v>
      </c>
      <c r="D152" s="9">
        <f t="array" ref="D152">xlookup(A152,'données'!E$2:E$3608,'données'!K$2:K$3608)</f>
        <v>100.8</v>
      </c>
      <c r="E152" s="5" t="b">
        <f t="shared" si="1"/>
        <v>0</v>
      </c>
    </row>
    <row r="153">
      <c r="A153" s="50" t="s">
        <v>5330</v>
      </c>
      <c r="B153" s="61">
        <v>98.0</v>
      </c>
      <c r="C153" s="61">
        <v>97.0</v>
      </c>
      <c r="D153" s="9">
        <f t="array" ref="D153">xlookup(A153,'données'!E$2:E$3608,'données'!K$2:K$3608)</f>
        <v>121.5</v>
      </c>
      <c r="E153" s="5" t="b">
        <f t="shared" si="1"/>
        <v>0</v>
      </c>
    </row>
    <row r="154">
      <c r="A154" s="50" t="s">
        <v>8263</v>
      </c>
      <c r="B154" s="61">
        <v>99.0</v>
      </c>
      <c r="C154" s="61">
        <v>99.0</v>
      </c>
      <c r="D154" s="9">
        <f t="array" ref="D154">xlookup(A154,'données'!E$2:E$3608,'données'!K$2:K$3608)</f>
        <v>102.1</v>
      </c>
      <c r="E154" s="5" t="b">
        <f t="shared" si="1"/>
        <v>0</v>
      </c>
    </row>
    <row r="155">
      <c r="A155" s="50" t="s">
        <v>3752</v>
      </c>
      <c r="B155" s="61">
        <v>100.0</v>
      </c>
      <c r="C155" s="50"/>
      <c r="D155" s="9">
        <f t="array" ref="D155">xlookup(A155,'données'!E$2:E$3608,'données'!K$2:K$3608)</f>
        <v>107.8</v>
      </c>
      <c r="E155" s="5" t="b">
        <f t="shared" si="1"/>
        <v>0</v>
      </c>
    </row>
    <row r="156">
      <c r="A156" s="50" t="s">
        <v>8261</v>
      </c>
      <c r="B156" s="61">
        <v>96.0</v>
      </c>
      <c r="C156" s="61">
        <v>99.0</v>
      </c>
      <c r="D156" s="9">
        <f t="array" ref="D156">xlookup(A156,'données'!E$2:E$3608,'données'!K$2:K$3608)</f>
        <v>120.2</v>
      </c>
      <c r="E156" s="5" t="b">
        <f t="shared" si="1"/>
        <v>0</v>
      </c>
    </row>
    <row r="157">
      <c r="A157" s="50" t="s">
        <v>1925</v>
      </c>
      <c r="B157" s="61">
        <v>91.0</v>
      </c>
      <c r="C157" s="50"/>
      <c r="D157" s="9">
        <f t="array" ref="D157">xlookup(A157,'données'!E$2:E$3608,'données'!K$2:K$3608)</f>
        <v>84.5</v>
      </c>
      <c r="E157" s="5" t="b">
        <f t="shared" si="1"/>
        <v>0</v>
      </c>
    </row>
    <row r="158">
      <c r="A158" s="50" t="s">
        <v>3749</v>
      </c>
      <c r="B158" s="61">
        <v>93.0</v>
      </c>
      <c r="C158" s="61">
        <v>93.0</v>
      </c>
      <c r="D158" s="9">
        <f t="array" ref="D158">xlookup(A158,'données'!E$2:E$3608,'données'!K$2:K$3608)</f>
        <v>86.9</v>
      </c>
      <c r="E158" s="5" t="b">
        <f t="shared" si="1"/>
        <v>0</v>
      </c>
    </row>
    <row r="159">
      <c r="A159" s="50" t="s">
        <v>5328</v>
      </c>
      <c r="B159" s="61">
        <v>93.0</v>
      </c>
      <c r="C159" s="61">
        <v>93.0</v>
      </c>
      <c r="D159" s="9">
        <f t="array" ref="D159">xlookup(A159,'données'!E$2:E$3608,'données'!K$2:K$3608)</f>
        <v>97.6</v>
      </c>
      <c r="E159" s="5" t="b">
        <f t="shared" si="1"/>
        <v>0</v>
      </c>
    </row>
    <row r="160">
      <c r="A160" s="50" t="s">
        <v>5326</v>
      </c>
      <c r="B160" s="61">
        <v>93.0</v>
      </c>
      <c r="C160" s="61">
        <v>97.0</v>
      </c>
      <c r="D160" s="9">
        <f t="array" ref="D160">xlookup(A160,'données'!E$2:E$3608,'données'!K$2:K$3608)</f>
        <v>87.4</v>
      </c>
      <c r="E160" s="5" t="b">
        <f t="shared" si="1"/>
        <v>0</v>
      </c>
    </row>
    <row r="161">
      <c r="A161" s="50" t="s">
        <v>5324</v>
      </c>
      <c r="B161" s="61">
        <v>99.0</v>
      </c>
      <c r="C161" s="61">
        <v>100.0</v>
      </c>
      <c r="D161" s="9">
        <f t="array" ref="D161">xlookup(A161,'données'!E$2:E$3608,'données'!K$2:K$3608)</f>
        <v>125.5</v>
      </c>
      <c r="E161" s="5" t="b">
        <f t="shared" si="1"/>
        <v>0</v>
      </c>
    </row>
    <row r="162">
      <c r="A162" s="50" t="s">
        <v>3746</v>
      </c>
      <c r="B162" s="61">
        <v>100.0</v>
      </c>
      <c r="C162" s="61">
        <v>100.0</v>
      </c>
      <c r="D162" s="9">
        <f t="array" ref="D162">xlookup(A162,'données'!E$2:E$3608,'données'!K$2:K$3608)</f>
        <v>103.5</v>
      </c>
      <c r="E162" s="5" t="b">
        <f t="shared" si="1"/>
        <v>0</v>
      </c>
    </row>
    <row r="163">
      <c r="A163" s="50" t="s">
        <v>3743</v>
      </c>
      <c r="B163" s="61">
        <v>100.0</v>
      </c>
      <c r="C163" s="61">
        <v>100.0</v>
      </c>
      <c r="D163" s="9">
        <f t="array" ref="D163">xlookup(A163,'données'!E$2:E$3608,'données'!K$2:K$3608)</f>
        <v>139.7</v>
      </c>
      <c r="E163" s="5" t="b">
        <f t="shared" si="1"/>
        <v>0</v>
      </c>
    </row>
    <row r="164">
      <c r="A164" s="50" t="s">
        <v>8257</v>
      </c>
      <c r="B164" s="61">
        <v>100.0</v>
      </c>
      <c r="C164" s="61">
        <v>100.0</v>
      </c>
      <c r="D164" s="9">
        <f t="array" ref="D164">xlookup(A164,'données'!E$2:E$3608,'données'!K$2:K$3608)</f>
        <v>127.6</v>
      </c>
      <c r="E164" s="5" t="b">
        <f t="shared" si="1"/>
        <v>0</v>
      </c>
    </row>
    <row r="165">
      <c r="A165" s="50" t="s">
        <v>8255</v>
      </c>
      <c r="B165" s="61">
        <v>100.0</v>
      </c>
      <c r="C165" s="61">
        <v>100.0</v>
      </c>
      <c r="D165" s="9">
        <f t="array" ref="D165">xlookup(A165,'données'!E$2:E$3608,'données'!K$2:K$3608)</f>
        <v>129.4</v>
      </c>
      <c r="E165" s="5" t="b">
        <f t="shared" si="1"/>
        <v>0</v>
      </c>
    </row>
    <row r="166">
      <c r="A166" s="50" t="s">
        <v>8253</v>
      </c>
      <c r="B166" s="61">
        <v>94.0</v>
      </c>
      <c r="C166" s="61">
        <v>95.0</v>
      </c>
      <c r="D166" s="9">
        <f t="array" ref="D166">xlookup(A166,'données'!E$2:E$3608,'données'!K$2:K$3608)</f>
        <v>97.7</v>
      </c>
      <c r="E166" s="5" t="b">
        <f t="shared" si="1"/>
        <v>0</v>
      </c>
    </row>
    <row r="167">
      <c r="A167" s="50" t="s">
        <v>5321</v>
      </c>
      <c r="B167" s="61">
        <v>94.0</v>
      </c>
      <c r="C167" s="61">
        <v>96.0</v>
      </c>
      <c r="D167" s="9">
        <f t="array" ref="D167">xlookup(A167,'données'!E$2:E$3608,'données'!K$2:K$3608)</f>
        <v>112.2</v>
      </c>
      <c r="E167" s="5" t="b">
        <f t="shared" si="1"/>
        <v>0</v>
      </c>
    </row>
    <row r="168">
      <c r="A168" s="50" t="s">
        <v>3740</v>
      </c>
      <c r="B168" s="61">
        <v>96.0</v>
      </c>
      <c r="C168" s="61">
        <v>96.0</v>
      </c>
      <c r="D168" s="9">
        <f t="array" ref="D168">xlookup(A168,'données'!E$2:E$3608,'données'!K$2:K$3608)</f>
        <v>95.6</v>
      </c>
      <c r="E168" s="5" t="b">
        <f t="shared" si="1"/>
        <v>0</v>
      </c>
    </row>
    <row r="169">
      <c r="A169" s="50" t="s">
        <v>1922</v>
      </c>
      <c r="B169" s="61">
        <v>93.0</v>
      </c>
      <c r="C169" s="61">
        <v>95.0</v>
      </c>
      <c r="D169" s="9">
        <f t="array" ref="D169">xlookup(A169,'données'!E$2:E$3608,'données'!K$2:K$3608)</f>
        <v>109.7</v>
      </c>
      <c r="E169" s="5" t="b">
        <f t="shared" si="1"/>
        <v>0</v>
      </c>
    </row>
    <row r="170">
      <c r="A170" s="50" t="s">
        <v>1919</v>
      </c>
      <c r="B170" s="61">
        <v>98.0</v>
      </c>
      <c r="C170" s="61">
        <v>98.0</v>
      </c>
      <c r="D170" s="9">
        <f t="array" ref="D170">xlookup(A170,'données'!E$2:E$3608,'données'!K$2:K$3608)</f>
        <v>116.1</v>
      </c>
      <c r="E170" s="5" t="b">
        <f t="shared" si="1"/>
        <v>0</v>
      </c>
    </row>
    <row r="171">
      <c r="A171" s="50" t="s">
        <v>8249</v>
      </c>
      <c r="B171" s="61">
        <v>96.0</v>
      </c>
      <c r="C171" s="61">
        <v>97.0</v>
      </c>
      <c r="D171" s="9">
        <f t="array" ref="D171">xlookup(A171,'données'!E$2:E$3608,'données'!K$2:K$3608)</f>
        <v>96.1</v>
      </c>
      <c r="E171" s="5" t="b">
        <f t="shared" si="1"/>
        <v>0</v>
      </c>
    </row>
    <row r="172">
      <c r="A172" s="50" t="s">
        <v>6856</v>
      </c>
      <c r="B172" s="61">
        <v>94.0</v>
      </c>
      <c r="C172" s="61">
        <v>97.0</v>
      </c>
      <c r="D172" s="9">
        <f t="array" ref="D172">xlookup(A172,'données'!E$2:E$3608,'données'!K$2:K$3608)</f>
        <v>97.4</v>
      </c>
      <c r="E172" s="5" t="b">
        <f t="shared" si="1"/>
        <v>0</v>
      </c>
    </row>
    <row r="173">
      <c r="A173" s="50" t="s">
        <v>5317</v>
      </c>
      <c r="B173" s="61">
        <v>99.0</v>
      </c>
      <c r="C173" s="61">
        <v>99.0</v>
      </c>
      <c r="D173" s="9">
        <f t="array" ref="D173">xlookup(A173,'données'!E$2:E$3608,'données'!K$2:K$3608)</f>
        <v>132.7</v>
      </c>
      <c r="E173" s="5" t="b">
        <f t="shared" si="1"/>
        <v>0</v>
      </c>
    </row>
    <row r="174">
      <c r="A174" s="50" t="s">
        <v>1916</v>
      </c>
      <c r="B174" s="61">
        <v>100.0</v>
      </c>
      <c r="C174" s="61">
        <v>100.0</v>
      </c>
      <c r="D174" s="9">
        <f t="array" ref="D174">xlookup(A174,'données'!E$2:E$3608,'données'!K$2:K$3608)</f>
        <v>108.8</v>
      </c>
      <c r="E174" s="5" t="b">
        <f t="shared" si="1"/>
        <v>0</v>
      </c>
    </row>
    <row r="175">
      <c r="A175" s="50" t="s">
        <v>6853</v>
      </c>
      <c r="B175" s="61">
        <v>99.0</v>
      </c>
      <c r="C175" s="61">
        <v>99.0</v>
      </c>
      <c r="D175" s="9">
        <f t="array" ref="D175">xlookup(A175,'données'!E$2:E$3608,'données'!K$2:K$3608)</f>
        <v>135.2</v>
      </c>
      <c r="E175" s="5" t="b">
        <f t="shared" si="1"/>
        <v>0</v>
      </c>
    </row>
    <row r="176">
      <c r="A176" s="50" t="s">
        <v>3736</v>
      </c>
      <c r="B176" s="61">
        <v>100.0</v>
      </c>
      <c r="C176" s="61">
        <v>100.0</v>
      </c>
      <c r="D176" s="9">
        <f t="array" ref="D176">xlookup(A176,'données'!E$2:E$3608,'données'!K$2:K$3608)</f>
        <v>143.5</v>
      </c>
      <c r="E176" s="5" t="b">
        <f t="shared" si="1"/>
        <v>0</v>
      </c>
    </row>
    <row r="177">
      <c r="A177" s="50" t="s">
        <v>1914</v>
      </c>
      <c r="B177" s="61">
        <v>99.0</v>
      </c>
      <c r="C177" s="61">
        <v>99.0</v>
      </c>
      <c r="D177" s="9">
        <f t="array" ref="D177">xlookup(A177,'données'!E$2:E$3608,'données'!K$2:K$3608)</f>
        <v>149.2</v>
      </c>
      <c r="E177" s="5" t="b">
        <f t="shared" si="1"/>
        <v>0</v>
      </c>
    </row>
    <row r="178">
      <c r="A178" s="50" t="s">
        <v>3733</v>
      </c>
      <c r="B178" s="61">
        <v>99.0</v>
      </c>
      <c r="C178" s="61">
        <v>99.0</v>
      </c>
      <c r="D178" s="9">
        <f t="array" ref="D178">xlookup(A178,'données'!E$2:E$3608,'données'!K$2:K$3608)</f>
        <v>132.1</v>
      </c>
      <c r="E178" s="5" t="b">
        <f t="shared" si="1"/>
        <v>0</v>
      </c>
    </row>
    <row r="179">
      <c r="A179" s="50" t="s">
        <v>3730</v>
      </c>
      <c r="B179" s="61">
        <v>100.0</v>
      </c>
      <c r="C179" s="61">
        <v>100.0</v>
      </c>
      <c r="D179" s="9">
        <f t="array" ref="D179">xlookup(A179,'données'!E$2:E$3608,'données'!K$2:K$3608)</f>
        <v>148.2</v>
      </c>
      <c r="E179" s="5" t="b">
        <f t="shared" si="1"/>
        <v>0</v>
      </c>
    </row>
    <row r="180">
      <c r="A180" s="50" t="s">
        <v>6851</v>
      </c>
      <c r="B180" s="61">
        <v>100.0</v>
      </c>
      <c r="C180" s="61">
        <v>100.0</v>
      </c>
      <c r="D180" s="9">
        <f t="array" ref="D180">xlookup(A180,'données'!E$2:E$3608,'données'!K$2:K$3608)</f>
        <v>125.8</v>
      </c>
      <c r="E180" s="5" t="b">
        <f t="shared" si="1"/>
        <v>0</v>
      </c>
    </row>
    <row r="181">
      <c r="A181" s="50" t="s">
        <v>6849</v>
      </c>
      <c r="B181" s="61">
        <v>97.0</v>
      </c>
      <c r="C181" s="61">
        <v>97.0</v>
      </c>
      <c r="D181" s="9">
        <f t="array" ref="D181">xlookup(A181,'données'!E$2:E$3608,'données'!K$2:K$3608)</f>
        <v>123</v>
      </c>
      <c r="E181" s="5" t="b">
        <f t="shared" si="1"/>
        <v>0</v>
      </c>
    </row>
    <row r="182">
      <c r="A182" s="50" t="s">
        <v>8247</v>
      </c>
      <c r="B182" s="61">
        <v>96.0</v>
      </c>
      <c r="C182" s="61">
        <v>96.0</v>
      </c>
      <c r="D182" s="9">
        <f t="array" ref="D182">xlookup(A182,'données'!E$2:E$3608,'données'!K$2:K$3608)</f>
        <v>97.1</v>
      </c>
      <c r="E182" s="5" t="b">
        <f t="shared" si="1"/>
        <v>0</v>
      </c>
    </row>
    <row r="183">
      <c r="A183" s="50" t="s">
        <v>8244</v>
      </c>
      <c r="B183" s="61">
        <v>96.0</v>
      </c>
      <c r="C183" s="61">
        <v>97.0</v>
      </c>
      <c r="D183" s="9">
        <f t="array" ref="D183">xlookup(A183,'données'!E$2:E$3608,'données'!K$2:K$3608)</f>
        <v>108.2</v>
      </c>
      <c r="E183" s="5" t="b">
        <f t="shared" si="1"/>
        <v>0</v>
      </c>
    </row>
    <row r="184">
      <c r="A184" s="50" t="s">
        <v>6847</v>
      </c>
      <c r="B184" s="61">
        <v>95.0</v>
      </c>
      <c r="C184" s="61">
        <v>97.0</v>
      </c>
      <c r="D184" s="9">
        <f t="array" ref="D184">xlookup(A184,'données'!E$2:E$3608,'données'!K$2:K$3608)</f>
        <v>119.3</v>
      </c>
      <c r="E184" s="5" t="b">
        <f t="shared" si="1"/>
        <v>0</v>
      </c>
    </row>
    <row r="185">
      <c r="A185" s="50" t="s">
        <v>8242</v>
      </c>
      <c r="B185" s="61">
        <v>92.0</v>
      </c>
      <c r="C185" s="61">
        <v>95.0</v>
      </c>
      <c r="D185" s="9">
        <f t="array" ref="D185">xlookup(A185,'données'!E$2:E$3608,'données'!K$2:K$3608)</f>
        <v>107.9</v>
      </c>
      <c r="E185" s="5" t="b">
        <f t="shared" si="1"/>
        <v>0</v>
      </c>
    </row>
    <row r="186">
      <c r="A186" s="50" t="s">
        <v>3720</v>
      </c>
      <c r="B186" s="61">
        <v>94.0</v>
      </c>
      <c r="C186" s="61">
        <v>98.0</v>
      </c>
      <c r="D186" s="9">
        <f t="array" ref="D186">xlookup(A186,'données'!E$2:E$3608,'données'!K$2:K$3608)</f>
        <v>87.8</v>
      </c>
      <c r="E186" s="5" t="b">
        <f t="shared" si="1"/>
        <v>0</v>
      </c>
    </row>
    <row r="187">
      <c r="A187" s="50" t="s">
        <v>1905</v>
      </c>
      <c r="B187" s="61">
        <v>96.0</v>
      </c>
      <c r="C187" s="61">
        <v>96.0</v>
      </c>
      <c r="D187" s="9">
        <f t="array" ref="D187">xlookup(A187,'données'!E$2:E$3608,'données'!K$2:K$3608)</f>
        <v>97.1</v>
      </c>
      <c r="E187" s="5" t="b">
        <f t="shared" si="1"/>
        <v>0</v>
      </c>
    </row>
    <row r="188">
      <c r="A188" s="50" t="s">
        <v>5308</v>
      </c>
      <c r="B188" s="61">
        <v>97.0</v>
      </c>
      <c r="C188" s="61">
        <v>99.0</v>
      </c>
      <c r="D188" s="9">
        <f t="array" ref="D188">xlookup(A188,'données'!E$2:E$3608,'données'!K$2:K$3608)</f>
        <v>138.8</v>
      </c>
      <c r="E188" s="5" t="b">
        <f t="shared" si="1"/>
        <v>0</v>
      </c>
    </row>
    <row r="189">
      <c r="A189" s="50" t="s">
        <v>5306</v>
      </c>
      <c r="B189" s="61">
        <v>97.0</v>
      </c>
      <c r="C189" s="61">
        <v>98.0</v>
      </c>
      <c r="D189" s="9">
        <f t="array" ref="D189">xlookup(A189,'données'!E$2:E$3608,'données'!K$2:K$3608)</f>
        <v>100.2</v>
      </c>
      <c r="E189" s="5" t="b">
        <f t="shared" si="1"/>
        <v>0</v>
      </c>
    </row>
    <row r="190">
      <c r="A190" s="50" t="s">
        <v>5304</v>
      </c>
      <c r="B190" s="61">
        <v>97.0</v>
      </c>
      <c r="C190" s="61">
        <v>98.0</v>
      </c>
      <c r="D190" s="9">
        <f t="array" ref="D190">xlookup(A190,'données'!E$2:E$3608,'données'!K$2:K$3608)</f>
        <v>136.3</v>
      </c>
      <c r="E190" s="5" t="b">
        <f t="shared" si="1"/>
        <v>0</v>
      </c>
    </row>
    <row r="191">
      <c r="A191" s="50" t="s">
        <v>5302</v>
      </c>
      <c r="B191" s="61">
        <v>98.0</v>
      </c>
      <c r="C191" s="61">
        <v>98.0</v>
      </c>
      <c r="D191" s="9">
        <f t="array" ref="D191">xlookup(A191,'données'!E$2:E$3608,'données'!K$2:K$3608)</f>
        <v>134.9</v>
      </c>
      <c r="E191" s="5" t="b">
        <f t="shared" si="1"/>
        <v>0</v>
      </c>
    </row>
    <row r="192">
      <c r="A192" s="50" t="s">
        <v>6846</v>
      </c>
      <c r="B192" s="61">
        <v>100.0</v>
      </c>
      <c r="C192" s="61">
        <v>100.0</v>
      </c>
      <c r="D192" s="9">
        <f t="array" ref="D192">xlookup(A192,'données'!E$2:E$3608,'données'!K$2:K$3608)</f>
        <v>141.8</v>
      </c>
      <c r="E192" s="5" t="b">
        <f t="shared" si="1"/>
        <v>0</v>
      </c>
    </row>
    <row r="193">
      <c r="A193" s="50" t="s">
        <v>8236</v>
      </c>
      <c r="B193" s="61">
        <v>96.0</v>
      </c>
      <c r="C193" s="61">
        <v>98.0</v>
      </c>
      <c r="D193" s="9">
        <f t="array" ref="D193">xlookup(A193,'données'!E$2:E$3608,'données'!K$2:K$3608)</f>
        <v>127.7</v>
      </c>
      <c r="E193" s="5" t="b">
        <f t="shared" si="1"/>
        <v>0</v>
      </c>
    </row>
    <row r="194">
      <c r="A194" s="50" t="s">
        <v>1902</v>
      </c>
      <c r="B194" s="61">
        <v>92.0</v>
      </c>
      <c r="C194" s="61">
        <v>89.0</v>
      </c>
      <c r="D194" s="9">
        <f t="array" ref="D194">xlookup(A194,'données'!E$2:E$3608,'données'!K$2:K$3608)</f>
        <v>119.7</v>
      </c>
      <c r="E194" s="5" t="b">
        <f t="shared" si="1"/>
        <v>0</v>
      </c>
    </row>
    <row r="195">
      <c r="A195" s="50" t="s">
        <v>3718</v>
      </c>
      <c r="B195" s="61">
        <v>97.0</v>
      </c>
      <c r="C195" s="61">
        <v>99.0</v>
      </c>
      <c r="D195" s="9">
        <f t="array" ref="D195">xlookup(A195,'données'!E$2:E$3608,'données'!K$2:K$3608)</f>
        <v>136.6</v>
      </c>
      <c r="E195" s="5" t="b">
        <f t="shared" si="1"/>
        <v>0</v>
      </c>
    </row>
    <row r="196">
      <c r="A196" s="50" t="s">
        <v>3715</v>
      </c>
      <c r="B196" s="61">
        <v>99.0</v>
      </c>
      <c r="C196" s="61">
        <v>99.0</v>
      </c>
      <c r="D196" s="9">
        <f t="array" ref="D196">xlookup(A196,'données'!E$2:E$3608,'données'!K$2:K$3608)</f>
        <v>120.6</v>
      </c>
      <c r="E196" s="5" t="b">
        <f t="shared" si="1"/>
        <v>0</v>
      </c>
    </row>
    <row r="197">
      <c r="A197" s="50" t="s">
        <v>1899</v>
      </c>
      <c r="B197" s="61">
        <v>97.0</v>
      </c>
      <c r="C197" s="61">
        <v>97.0</v>
      </c>
      <c r="D197" s="9">
        <f t="array" ref="D197">xlookup(A197,'données'!E$2:E$3608,'données'!K$2:K$3608)</f>
        <v>96.9</v>
      </c>
      <c r="E197" s="5" t="b">
        <f t="shared" si="1"/>
        <v>0</v>
      </c>
    </row>
    <row r="198">
      <c r="A198" s="50" t="s">
        <v>6845</v>
      </c>
      <c r="B198" s="61">
        <v>97.0</v>
      </c>
      <c r="C198" s="61">
        <v>98.0</v>
      </c>
      <c r="D198" s="9">
        <f t="array" ref="D198">xlookup(A198,'données'!E$2:E$3608,'données'!K$2:K$3608)</f>
        <v>96</v>
      </c>
      <c r="E198" s="5" t="b">
        <f t="shared" si="1"/>
        <v>0</v>
      </c>
    </row>
    <row r="199">
      <c r="A199" s="50" t="s">
        <v>1896</v>
      </c>
      <c r="B199" s="61">
        <v>95.0</v>
      </c>
      <c r="C199" s="61">
        <v>100.0</v>
      </c>
      <c r="D199" s="9">
        <f t="array" ref="D199">xlookup(A199,'données'!E$2:E$3608,'données'!K$2:K$3608)</f>
        <v>93.5</v>
      </c>
      <c r="E199" s="5" t="b">
        <f t="shared" si="1"/>
        <v>0</v>
      </c>
    </row>
    <row r="200">
      <c r="A200" s="50" t="s">
        <v>5300</v>
      </c>
      <c r="B200" s="61">
        <v>94.0</v>
      </c>
      <c r="C200" s="61">
        <v>96.0</v>
      </c>
      <c r="D200" s="9">
        <f t="array" ref="D200">xlookup(A200,'données'!E$2:E$3608,'données'!K$2:K$3608)</f>
        <v>102.9</v>
      </c>
      <c r="E200" s="5" t="b">
        <f t="shared" si="1"/>
        <v>0</v>
      </c>
    </row>
    <row r="201">
      <c r="A201" s="50" t="s">
        <v>3713</v>
      </c>
      <c r="B201" s="61">
        <v>97.0</v>
      </c>
      <c r="C201" s="61">
        <v>98.0</v>
      </c>
      <c r="D201" s="9">
        <f t="array" ref="D201">xlookup(A201,'données'!E$2:E$3608,'données'!K$2:K$3608)</f>
        <v>78.2</v>
      </c>
      <c r="E201" s="5" t="b">
        <f t="shared" si="1"/>
        <v>0</v>
      </c>
    </row>
    <row r="202">
      <c r="A202" s="50" t="s">
        <v>3712</v>
      </c>
      <c r="B202" s="61">
        <v>100.0</v>
      </c>
      <c r="C202" s="61">
        <v>100.0</v>
      </c>
      <c r="D202" s="9">
        <f t="array" ref="D202">xlookup(A202,'données'!E$2:E$3608,'données'!K$2:K$3608)</f>
        <v>97.9</v>
      </c>
      <c r="E202" s="5" t="b">
        <f t="shared" si="1"/>
        <v>0</v>
      </c>
    </row>
    <row r="203">
      <c r="A203" s="50" t="s">
        <v>1892</v>
      </c>
      <c r="B203" s="61">
        <v>100.0</v>
      </c>
      <c r="C203" s="61">
        <v>100.0</v>
      </c>
      <c r="D203" s="9">
        <f t="array" ref="D203">xlookup(A203,'données'!E$2:E$3608,'données'!K$2:K$3608)</f>
        <v>106.2</v>
      </c>
      <c r="E203" s="5" t="b">
        <f t="shared" si="1"/>
        <v>0</v>
      </c>
    </row>
    <row r="204">
      <c r="A204" s="50" t="s">
        <v>6843</v>
      </c>
      <c r="B204" s="61">
        <v>100.0</v>
      </c>
      <c r="C204" s="61">
        <v>100.0</v>
      </c>
      <c r="D204" s="9">
        <f t="array" ref="D204">xlookup(A204,'données'!E$2:E$3608,'données'!K$2:K$3608)</f>
        <v>120.3</v>
      </c>
      <c r="E204" s="5" t="b">
        <f t="shared" si="1"/>
        <v>0</v>
      </c>
    </row>
    <row r="205">
      <c r="A205" s="50" t="s">
        <v>1889</v>
      </c>
      <c r="B205" s="61">
        <v>100.0</v>
      </c>
      <c r="C205" s="61">
        <v>100.0</v>
      </c>
      <c r="D205" s="9">
        <f t="array" ref="D205">xlookup(A205,'données'!E$2:E$3608,'données'!K$2:K$3608)</f>
        <v>113.6</v>
      </c>
      <c r="E205" s="5" t="b">
        <f t="shared" si="1"/>
        <v>0</v>
      </c>
    </row>
    <row r="206">
      <c r="A206" s="50" t="s">
        <v>8233</v>
      </c>
      <c r="B206" s="61">
        <v>99.0</v>
      </c>
      <c r="C206" s="61">
        <v>99.0</v>
      </c>
      <c r="D206" s="9">
        <f t="array" ref="D206">xlookup(A206,'données'!E$2:E$3608,'données'!K$2:K$3608)</f>
        <v>86.7</v>
      </c>
      <c r="E206" s="5" t="b">
        <f t="shared" si="1"/>
        <v>0</v>
      </c>
    </row>
    <row r="207">
      <c r="A207" s="50" t="s">
        <v>3708</v>
      </c>
      <c r="B207" s="61">
        <v>100.0</v>
      </c>
      <c r="C207" s="61">
        <v>100.0</v>
      </c>
      <c r="D207" s="9">
        <f t="array" ref="D207">xlookup(A207,'données'!E$2:E$3608,'données'!K$2:K$3608)</f>
        <v>143.6</v>
      </c>
      <c r="E207" s="5" t="b">
        <f t="shared" si="1"/>
        <v>0</v>
      </c>
    </row>
    <row r="208">
      <c r="A208" s="50" t="s">
        <v>8230</v>
      </c>
      <c r="B208" s="61">
        <v>87.0</v>
      </c>
      <c r="C208" s="61">
        <v>86.0</v>
      </c>
      <c r="D208" s="9">
        <f t="array" ref="D208">xlookup(A208,'données'!E$2:E$3608,'données'!K$2:K$3608)</f>
        <v>97.2</v>
      </c>
      <c r="E208" s="5" t="b">
        <f t="shared" si="1"/>
        <v>0</v>
      </c>
    </row>
    <row r="209">
      <c r="A209" s="50" t="s">
        <v>8227</v>
      </c>
      <c r="B209" s="61">
        <v>91.0</v>
      </c>
      <c r="C209" s="50"/>
      <c r="D209" s="9">
        <f t="array" ref="D209">xlookup(A209,'données'!E$2:E$3608,'données'!K$2:K$3608)</f>
        <v>95</v>
      </c>
      <c r="E209" s="5" t="b">
        <f t="shared" si="1"/>
        <v>0</v>
      </c>
    </row>
    <row r="210">
      <c r="A210" s="50" t="s">
        <v>6839</v>
      </c>
      <c r="B210" s="61">
        <v>97.0</v>
      </c>
      <c r="C210" s="61">
        <v>97.0</v>
      </c>
      <c r="D210" s="9">
        <f t="array" ref="D210">xlookup(A210,'données'!E$2:E$3608,'données'!K$2:K$3608)</f>
        <v>86.3</v>
      </c>
      <c r="E210" s="5" t="b">
        <f t="shared" si="1"/>
        <v>0</v>
      </c>
    </row>
    <row r="211">
      <c r="A211" s="50" t="s">
        <v>5295</v>
      </c>
      <c r="B211" s="61">
        <v>98.0</v>
      </c>
      <c r="C211" s="50"/>
      <c r="D211" s="9">
        <f t="array" ref="D211">xlookup(A211,'données'!E$2:E$3608,'données'!K$2:K$3608)</f>
        <v>100.5</v>
      </c>
      <c r="E211" s="5" t="b">
        <f t="shared" si="1"/>
        <v>0</v>
      </c>
    </row>
    <row r="212">
      <c r="A212" s="50" t="s">
        <v>1887</v>
      </c>
      <c r="B212" s="61">
        <v>97.0</v>
      </c>
      <c r="C212" s="50"/>
      <c r="D212" s="9">
        <f t="array" ref="D212">xlookup(A212,'données'!E$2:E$3608,'données'!K$2:K$3608)</f>
        <v>90.1</v>
      </c>
      <c r="E212" s="5" t="b">
        <f t="shared" si="1"/>
        <v>0</v>
      </c>
    </row>
    <row r="213">
      <c r="A213" s="50" t="s">
        <v>8224</v>
      </c>
      <c r="B213" s="61">
        <v>100.0</v>
      </c>
      <c r="C213" s="50"/>
      <c r="D213" s="9">
        <f t="array" ref="D213">xlookup(A213,'données'!E$2:E$3608,'données'!K$2:K$3608)</f>
        <v>93.9</v>
      </c>
      <c r="E213" s="5" t="b">
        <f t="shared" si="1"/>
        <v>0</v>
      </c>
    </row>
    <row r="214">
      <c r="A214" s="50" t="s">
        <v>5293</v>
      </c>
      <c r="B214" s="61">
        <v>90.0</v>
      </c>
      <c r="C214" s="61">
        <v>89.0</v>
      </c>
      <c r="D214" s="9">
        <f t="array" ref="D214">xlookup(A214,'données'!E$2:E$3608,'données'!K$2:K$3608)</f>
        <v>78.2</v>
      </c>
      <c r="E214" s="5" t="b">
        <f t="shared" si="1"/>
        <v>0</v>
      </c>
    </row>
    <row r="215">
      <c r="A215" s="50" t="s">
        <v>5291</v>
      </c>
      <c r="B215" s="61">
        <v>99.0</v>
      </c>
      <c r="C215" s="50"/>
      <c r="D215" s="9">
        <f t="array" ref="D215">xlookup(A215,'données'!E$2:E$3608,'données'!K$2:K$3608)</f>
        <v>94.5</v>
      </c>
      <c r="E215" s="5" t="b">
        <f t="shared" si="1"/>
        <v>0</v>
      </c>
    </row>
    <row r="216">
      <c r="A216" s="50" t="s">
        <v>3701</v>
      </c>
      <c r="B216" s="61">
        <v>91.0</v>
      </c>
      <c r="C216" s="61">
        <v>93.0</v>
      </c>
      <c r="D216" s="9">
        <f t="array" ref="D216">xlookup(A216,'données'!E$2:E$3608,'données'!K$2:K$3608)</f>
        <v>90.5</v>
      </c>
      <c r="E216" s="5" t="b">
        <f t="shared" si="1"/>
        <v>0</v>
      </c>
    </row>
    <row r="217">
      <c r="A217" s="50" t="s">
        <v>5290</v>
      </c>
      <c r="B217" s="61">
        <v>95.0</v>
      </c>
      <c r="C217" s="50"/>
      <c r="D217" s="9">
        <f t="array" ref="D217">xlookup(A217,'données'!E$2:E$3608,'données'!K$2:K$3608)</f>
        <v>82.4</v>
      </c>
      <c r="E217" s="5" t="b">
        <f t="shared" si="1"/>
        <v>0</v>
      </c>
    </row>
    <row r="218">
      <c r="A218" s="50" t="s">
        <v>8223</v>
      </c>
      <c r="B218" s="61">
        <v>99.0</v>
      </c>
      <c r="C218" s="61">
        <v>100.0</v>
      </c>
      <c r="D218" s="9">
        <f t="array" ref="D218">xlookup(A218,'données'!E$2:E$3608,'données'!K$2:K$3608)</f>
        <v>83.6</v>
      </c>
      <c r="E218" s="5" t="b">
        <f t="shared" si="1"/>
        <v>0</v>
      </c>
    </row>
    <row r="219">
      <c r="A219" s="50" t="s">
        <v>3699</v>
      </c>
      <c r="B219" s="61">
        <v>87.0</v>
      </c>
      <c r="C219" s="50"/>
      <c r="D219" s="9">
        <f t="array" ref="D219">xlookup(A219,'données'!E$2:E$3608,'données'!K$2:K$3608)</f>
        <v>109.7</v>
      </c>
      <c r="E219" s="5" t="b">
        <f t="shared" si="1"/>
        <v>0</v>
      </c>
    </row>
    <row r="220">
      <c r="A220" s="50" t="s">
        <v>8221</v>
      </c>
      <c r="B220" s="61">
        <v>100.0</v>
      </c>
      <c r="C220" s="61">
        <v>100.0</v>
      </c>
      <c r="D220" s="9">
        <f t="array" ref="D220">xlookup(A220,'données'!E$2:E$3608,'données'!K$2:K$3608)</f>
        <v>103.1</v>
      </c>
      <c r="E220" s="5" t="b">
        <f t="shared" si="1"/>
        <v>0</v>
      </c>
    </row>
    <row r="221">
      <c r="A221" s="50" t="s">
        <v>6835</v>
      </c>
      <c r="B221" s="61">
        <v>89.0</v>
      </c>
      <c r="C221" s="61">
        <v>95.0</v>
      </c>
      <c r="D221" s="9">
        <f t="array" ref="D221">xlookup(A221,'données'!E$2:E$3608,'données'!K$2:K$3608)</f>
        <v>81.4</v>
      </c>
      <c r="E221" s="5" t="b">
        <f t="shared" si="1"/>
        <v>0</v>
      </c>
    </row>
    <row r="222">
      <c r="A222" s="50" t="s">
        <v>6832</v>
      </c>
      <c r="B222" s="61">
        <v>96.0</v>
      </c>
      <c r="C222" s="61">
        <v>96.0</v>
      </c>
      <c r="D222" s="9">
        <f t="array" ref="D222">xlookup(A222,'données'!E$2:E$3608,'données'!K$2:K$3608)</f>
        <v>100.9</v>
      </c>
      <c r="E222" s="5" t="b">
        <f t="shared" si="1"/>
        <v>0</v>
      </c>
    </row>
    <row r="223">
      <c r="A223" s="50" t="s">
        <v>8218</v>
      </c>
      <c r="B223" s="61">
        <v>90.0</v>
      </c>
      <c r="C223" s="61">
        <v>92.0</v>
      </c>
      <c r="D223" s="9">
        <f t="array" ref="D223">xlookup(A223,'données'!E$2:E$3608,'données'!K$2:K$3608)</f>
        <v>85.8</v>
      </c>
      <c r="E223" s="5" t="b">
        <f t="shared" si="1"/>
        <v>0</v>
      </c>
    </row>
    <row r="224">
      <c r="A224" s="50" t="s">
        <v>3696</v>
      </c>
      <c r="B224" s="61">
        <v>97.0</v>
      </c>
      <c r="C224" s="61">
        <v>98.0</v>
      </c>
      <c r="D224" s="9">
        <f t="array" ref="D224">xlookup(A224,'données'!E$2:E$3608,'données'!K$2:K$3608)</f>
        <v>112.8</v>
      </c>
      <c r="E224" s="5" t="b">
        <f t="shared" si="1"/>
        <v>0</v>
      </c>
    </row>
    <row r="225">
      <c r="A225" s="50" t="s">
        <v>8216</v>
      </c>
      <c r="B225" s="61">
        <v>97.0</v>
      </c>
      <c r="C225" s="61">
        <v>97.0</v>
      </c>
      <c r="D225" s="9">
        <f t="array" ref="D225">xlookup(A225,'données'!E$2:E$3608,'données'!K$2:K$3608)</f>
        <v>98.4</v>
      </c>
      <c r="E225" s="5" t="b">
        <f t="shared" si="1"/>
        <v>0</v>
      </c>
    </row>
    <row r="226">
      <c r="A226" s="50" t="s">
        <v>8214</v>
      </c>
      <c r="B226" s="61">
        <v>100.0</v>
      </c>
      <c r="C226" s="61">
        <v>100.0</v>
      </c>
      <c r="D226" s="9">
        <f t="array" ref="D226">xlookup(A226,'données'!E$2:E$3608,'données'!K$2:K$3608)</f>
        <v>137.1</v>
      </c>
      <c r="E226" s="5" t="b">
        <f t="shared" si="1"/>
        <v>0</v>
      </c>
    </row>
    <row r="227">
      <c r="A227" s="50" t="s">
        <v>6830</v>
      </c>
      <c r="B227" s="61">
        <v>96.0</v>
      </c>
      <c r="C227" s="61">
        <v>97.0</v>
      </c>
      <c r="D227" s="9">
        <f t="array" ref="D227">xlookup(A227,'données'!E$2:E$3608,'données'!K$2:K$3608)</f>
        <v>85</v>
      </c>
      <c r="E227" s="5" t="b">
        <f t="shared" si="1"/>
        <v>0</v>
      </c>
    </row>
    <row r="228">
      <c r="A228" s="50" t="s">
        <v>1885</v>
      </c>
      <c r="B228" s="61">
        <v>95.0</v>
      </c>
      <c r="C228" s="61">
        <v>96.0</v>
      </c>
      <c r="D228" s="9">
        <f t="array" ref="D228">xlookup(A228,'données'!E$2:E$3608,'données'!K$2:K$3608)</f>
        <v>95.4</v>
      </c>
      <c r="E228" s="5" t="b">
        <f t="shared" si="1"/>
        <v>0</v>
      </c>
    </row>
    <row r="229">
      <c r="A229" s="50" t="s">
        <v>3693</v>
      </c>
      <c r="B229" s="61">
        <v>96.0</v>
      </c>
      <c r="C229" s="61">
        <v>98.0</v>
      </c>
      <c r="D229" s="9">
        <f t="array" ref="D229">xlookup(A229,'données'!E$2:E$3608,'données'!K$2:K$3608)</f>
        <v>78.9</v>
      </c>
      <c r="E229" s="5" t="b">
        <f t="shared" si="1"/>
        <v>0</v>
      </c>
    </row>
    <row r="230">
      <c r="A230" s="50" t="s">
        <v>6827</v>
      </c>
      <c r="B230" s="61">
        <v>89.0</v>
      </c>
      <c r="C230" s="61">
        <v>90.0</v>
      </c>
      <c r="D230" s="9">
        <f t="array" ref="D230">xlookup(A230,'données'!E$2:E$3608,'données'!K$2:K$3608)</f>
        <v>77.5</v>
      </c>
      <c r="E230" s="5" t="b">
        <f t="shared" si="1"/>
        <v>0</v>
      </c>
    </row>
    <row r="231">
      <c r="A231" s="50" t="s">
        <v>6825</v>
      </c>
      <c r="B231" s="61">
        <v>93.0</v>
      </c>
      <c r="C231" s="61">
        <v>93.0</v>
      </c>
      <c r="D231" s="9">
        <f t="array" ref="D231">xlookup(A231,'données'!E$2:E$3608,'données'!K$2:K$3608)</f>
        <v>128.4</v>
      </c>
      <c r="E231" s="5" t="b">
        <f t="shared" si="1"/>
        <v>0</v>
      </c>
    </row>
    <row r="232">
      <c r="A232" s="50" t="s">
        <v>6823</v>
      </c>
      <c r="B232" s="61">
        <v>100.0</v>
      </c>
      <c r="C232" s="61">
        <v>100.0</v>
      </c>
      <c r="D232" s="9">
        <f t="array" ref="D232">xlookup(A232,'données'!E$2:E$3608,'données'!K$2:K$3608)</f>
        <v>127</v>
      </c>
      <c r="E232" s="5" t="b">
        <f t="shared" si="1"/>
        <v>0</v>
      </c>
    </row>
    <row r="233">
      <c r="A233" s="50" t="s">
        <v>8212</v>
      </c>
      <c r="B233" s="61">
        <v>99.0</v>
      </c>
      <c r="C233" s="61">
        <v>99.0</v>
      </c>
      <c r="D233" s="9">
        <f t="array" ref="D233">xlookup(A233,'données'!E$2:E$3608,'données'!K$2:K$3608)</f>
        <v>121.1</v>
      </c>
      <c r="E233" s="5" t="b">
        <f t="shared" si="1"/>
        <v>0</v>
      </c>
    </row>
    <row r="234">
      <c r="A234" s="50" t="s">
        <v>5288</v>
      </c>
      <c r="B234" s="61">
        <v>100.0</v>
      </c>
      <c r="C234" s="61">
        <v>100.0</v>
      </c>
      <c r="D234" s="9">
        <f t="array" ref="D234">xlookup(A234,'données'!E$2:E$3608,'données'!K$2:K$3608)</f>
        <v>110.3</v>
      </c>
      <c r="E234" s="5" t="b">
        <f t="shared" si="1"/>
        <v>0</v>
      </c>
    </row>
    <row r="235">
      <c r="A235" s="50" t="s">
        <v>1883</v>
      </c>
      <c r="B235" s="61">
        <v>100.0</v>
      </c>
      <c r="C235" s="50"/>
      <c r="D235" s="9">
        <f t="array" ref="D235">xlookup(A235,'données'!E$2:E$3608,'données'!K$2:K$3608)</f>
        <v>114</v>
      </c>
      <c r="E235" s="5" t="b">
        <f t="shared" si="1"/>
        <v>0</v>
      </c>
    </row>
    <row r="236">
      <c r="A236" s="50" t="s">
        <v>8208</v>
      </c>
      <c r="B236" s="61">
        <v>78.0</v>
      </c>
      <c r="C236" s="50"/>
      <c r="D236" s="9">
        <f t="array" ref="D236">xlookup(A236,'données'!E$2:E$3608,'données'!K$2:K$3608)</f>
        <v>81.5</v>
      </c>
      <c r="E236" s="5" t="b">
        <f t="shared" si="1"/>
        <v>0</v>
      </c>
    </row>
    <row r="237">
      <c r="A237" s="50" t="s">
        <v>5285</v>
      </c>
      <c r="B237" s="61">
        <v>92.0</v>
      </c>
      <c r="C237" s="61">
        <v>91.0</v>
      </c>
      <c r="D237" s="9">
        <f t="array" ref="D237">xlookup(A237,'données'!E$2:E$3608,'données'!K$2:K$3608)</f>
        <v>77.5</v>
      </c>
      <c r="E237" s="5" t="b">
        <f t="shared" si="1"/>
        <v>0</v>
      </c>
    </row>
    <row r="238">
      <c r="A238" s="50" t="s">
        <v>5282</v>
      </c>
      <c r="B238" s="61">
        <v>98.0</v>
      </c>
      <c r="C238" s="61">
        <v>98.0</v>
      </c>
      <c r="D238" s="9">
        <f t="array" ref="D238">xlookup(A238,'données'!E$2:E$3608,'données'!K$2:K$3608)</f>
        <v>110.6</v>
      </c>
      <c r="E238" s="5" t="b">
        <f t="shared" si="1"/>
        <v>0</v>
      </c>
    </row>
    <row r="239">
      <c r="A239" s="50" t="s">
        <v>3688</v>
      </c>
      <c r="B239" s="61">
        <v>95.0</v>
      </c>
      <c r="C239" s="61">
        <v>98.0</v>
      </c>
      <c r="D239" s="9">
        <f t="array" ref="D239">xlookup(A239,'données'!E$2:E$3608,'données'!K$2:K$3608)</f>
        <v>92.3</v>
      </c>
      <c r="E239" s="5" t="b">
        <f t="shared" si="1"/>
        <v>0</v>
      </c>
    </row>
    <row r="240">
      <c r="A240" s="50" t="s">
        <v>6821</v>
      </c>
      <c r="B240" s="61">
        <v>97.0</v>
      </c>
      <c r="C240" s="61">
        <v>97.0</v>
      </c>
      <c r="D240" s="9">
        <f t="array" ref="D240">xlookup(A240,'données'!E$2:E$3608,'données'!K$2:K$3608)</f>
        <v>110.2</v>
      </c>
      <c r="E240" s="5" t="b">
        <f t="shared" si="1"/>
        <v>0</v>
      </c>
    </row>
    <row r="241">
      <c r="A241" s="50" t="s">
        <v>1878</v>
      </c>
      <c r="B241" s="61">
        <v>94.0</v>
      </c>
      <c r="C241" s="61">
        <v>95.0</v>
      </c>
      <c r="D241" s="9">
        <f t="array" ref="D241">xlookup(A241,'données'!E$2:E$3608,'données'!K$2:K$3608)</f>
        <v>78.3</v>
      </c>
      <c r="E241" s="5" t="b">
        <f t="shared" si="1"/>
        <v>0</v>
      </c>
    </row>
    <row r="242">
      <c r="A242" s="50" t="s">
        <v>1875</v>
      </c>
      <c r="B242" s="61">
        <v>92.0</v>
      </c>
      <c r="C242" s="61">
        <v>96.0</v>
      </c>
      <c r="D242" s="9">
        <f t="array" ref="D242">xlookup(A242,'données'!E$2:E$3608,'données'!K$2:K$3608)</f>
        <v>99.2</v>
      </c>
      <c r="E242" s="5" t="b">
        <f t="shared" si="1"/>
        <v>0</v>
      </c>
    </row>
    <row r="243">
      <c r="A243" s="50" t="s">
        <v>1869</v>
      </c>
      <c r="B243" s="61">
        <v>100.0</v>
      </c>
      <c r="C243" s="61">
        <v>100.0</v>
      </c>
      <c r="D243" s="9">
        <f t="array" ref="D243">xlookup(A243,'données'!E$2:E$3608,'données'!K$2:K$3608)</f>
        <v>135.9</v>
      </c>
      <c r="E243" s="5" t="b">
        <f t="shared" si="1"/>
        <v>0</v>
      </c>
    </row>
    <row r="244">
      <c r="A244" s="50" t="s">
        <v>1867</v>
      </c>
      <c r="B244" s="61">
        <v>100.0</v>
      </c>
      <c r="C244" s="61">
        <v>100.0</v>
      </c>
      <c r="D244" s="9">
        <f t="array" ref="D244">xlookup(A244,'données'!E$2:E$3608,'données'!K$2:K$3608)</f>
        <v>129.9</v>
      </c>
      <c r="E244" s="5" t="b">
        <f t="shared" si="1"/>
        <v>0</v>
      </c>
    </row>
    <row r="245">
      <c r="A245" s="50" t="s">
        <v>1864</v>
      </c>
      <c r="B245" s="61">
        <v>100.0</v>
      </c>
      <c r="C245" s="61">
        <v>100.0</v>
      </c>
      <c r="D245" s="9">
        <f t="array" ref="D245">xlookup(A245,'données'!E$2:E$3608,'données'!K$2:K$3608)</f>
        <v>98</v>
      </c>
      <c r="E245" s="5" t="b">
        <f t="shared" si="1"/>
        <v>0</v>
      </c>
    </row>
    <row r="246">
      <c r="A246" s="50" t="s">
        <v>6814</v>
      </c>
      <c r="B246" s="61">
        <v>100.0</v>
      </c>
      <c r="C246" s="61">
        <v>100.0</v>
      </c>
      <c r="D246" s="9">
        <f t="array" ref="D246">xlookup(A246,'données'!E$2:E$3608,'données'!K$2:K$3608)</f>
        <v>125.3</v>
      </c>
      <c r="E246" s="5" t="b">
        <f t="shared" si="1"/>
        <v>0</v>
      </c>
    </row>
    <row r="247">
      <c r="A247" s="50" t="s">
        <v>5278</v>
      </c>
      <c r="B247" s="61">
        <v>97.0</v>
      </c>
      <c r="C247" s="61">
        <v>96.0</v>
      </c>
      <c r="D247" s="9">
        <f t="array" ref="D247">xlookup(A247,'données'!E$2:E$3608,'données'!K$2:K$3608)</f>
        <v>105.9</v>
      </c>
      <c r="E247" s="5" t="b">
        <f t="shared" si="1"/>
        <v>0</v>
      </c>
    </row>
    <row r="248">
      <c r="A248" s="50" t="s">
        <v>5276</v>
      </c>
      <c r="B248" s="61">
        <v>100.0</v>
      </c>
      <c r="C248" s="61">
        <v>100.0</v>
      </c>
      <c r="D248" s="9">
        <f t="array" ref="D248">xlookup(A248,'données'!E$2:E$3608,'données'!K$2:K$3608)</f>
        <v>117.7</v>
      </c>
      <c r="E248" s="5" t="b">
        <f t="shared" si="1"/>
        <v>0</v>
      </c>
    </row>
    <row r="249">
      <c r="A249" s="50" t="s">
        <v>1859</v>
      </c>
      <c r="B249" s="61">
        <v>96.0</v>
      </c>
      <c r="C249" s="61">
        <v>96.0</v>
      </c>
      <c r="D249" s="9">
        <f t="array" ref="D249">xlookup(A249,'données'!E$2:E$3608,'données'!K$2:K$3608)</f>
        <v>79.8</v>
      </c>
      <c r="E249" s="5" t="b">
        <f t="shared" si="1"/>
        <v>0</v>
      </c>
    </row>
    <row r="250">
      <c r="A250" s="50" t="s">
        <v>5272</v>
      </c>
      <c r="B250" s="61">
        <v>96.0</v>
      </c>
      <c r="C250" s="61">
        <v>97.0</v>
      </c>
      <c r="D250" s="9">
        <f t="array" ref="D250">xlookup(A250,'données'!E$2:E$3608,'données'!K$2:K$3608)</f>
        <v>97.2</v>
      </c>
      <c r="E250" s="5" t="b">
        <f t="shared" si="1"/>
        <v>0</v>
      </c>
    </row>
    <row r="251">
      <c r="A251" s="50" t="s">
        <v>3677</v>
      </c>
      <c r="B251" s="61">
        <v>98.0</v>
      </c>
      <c r="C251" s="61">
        <v>99.0</v>
      </c>
      <c r="D251" s="9">
        <f t="array" ref="D251">xlookup(A251,'données'!E$2:E$3608,'données'!K$2:K$3608)</f>
        <v>113.1</v>
      </c>
      <c r="E251" s="5" t="b">
        <f t="shared" si="1"/>
        <v>0</v>
      </c>
    </row>
    <row r="252">
      <c r="A252" s="50" t="s">
        <v>6811</v>
      </c>
      <c r="B252" s="61">
        <v>85.0</v>
      </c>
      <c r="C252" s="61">
        <v>85.0</v>
      </c>
      <c r="D252" s="9">
        <f t="array" ref="D252">xlookup(A252,'données'!E$2:E$3608,'données'!K$2:K$3608)</f>
        <v>95.7</v>
      </c>
      <c r="E252" s="5" t="b">
        <f t="shared" si="1"/>
        <v>0</v>
      </c>
    </row>
    <row r="253">
      <c r="A253" s="50" t="s">
        <v>6805</v>
      </c>
      <c r="B253" s="61">
        <v>94.0</v>
      </c>
      <c r="C253" s="61">
        <v>93.0</v>
      </c>
      <c r="D253" s="9">
        <f t="array" ref="D253">xlookup(A253,'données'!E$2:E$3608,'données'!K$2:K$3608)</f>
        <v>107</v>
      </c>
      <c r="E253" s="5" t="b">
        <f t="shared" si="1"/>
        <v>0</v>
      </c>
    </row>
    <row r="254">
      <c r="A254" s="50" t="s">
        <v>6802</v>
      </c>
      <c r="B254" s="61">
        <v>91.0</v>
      </c>
      <c r="C254" s="61">
        <v>93.0</v>
      </c>
      <c r="D254" s="9">
        <f t="array" ref="D254">xlookup(A254,'données'!E$2:E$3608,'données'!K$2:K$3608)</f>
        <v>93.4</v>
      </c>
      <c r="E254" s="5" t="b">
        <f t="shared" si="1"/>
        <v>0</v>
      </c>
    </row>
    <row r="255">
      <c r="A255" s="50" t="s">
        <v>3673</v>
      </c>
      <c r="B255" s="61">
        <v>96.0</v>
      </c>
      <c r="C255" s="61">
        <v>97.0</v>
      </c>
      <c r="D255" s="9">
        <f t="array" ref="D255">xlookup(A255,'données'!E$2:E$3608,'données'!K$2:K$3608)</f>
        <v>81.3</v>
      </c>
      <c r="E255" s="5" t="b">
        <f t="shared" si="1"/>
        <v>0</v>
      </c>
    </row>
    <row r="256">
      <c r="A256" s="50" t="s">
        <v>5266</v>
      </c>
      <c r="B256" s="61">
        <v>94.0</v>
      </c>
      <c r="C256" s="61">
        <v>98.0</v>
      </c>
      <c r="D256" s="9">
        <f t="array" ref="D256">xlookup(A256,'données'!E$2:E$3608,'données'!K$2:K$3608)</f>
        <v>81.4</v>
      </c>
      <c r="E256" s="5" t="b">
        <f t="shared" si="1"/>
        <v>0</v>
      </c>
    </row>
    <row r="257">
      <c r="A257" s="50" t="s">
        <v>6799</v>
      </c>
      <c r="B257" s="61">
        <v>96.0</v>
      </c>
      <c r="C257" s="61">
        <v>96.0</v>
      </c>
      <c r="D257" s="9">
        <f t="array" ref="D257">xlookup(A257,'données'!E$2:E$3608,'données'!K$2:K$3608)</f>
        <v>92.2</v>
      </c>
      <c r="E257" s="5" t="b">
        <f t="shared" si="1"/>
        <v>0</v>
      </c>
    </row>
    <row r="258">
      <c r="A258" s="50" t="s">
        <v>3671</v>
      </c>
      <c r="B258" s="61">
        <v>96.0</v>
      </c>
      <c r="C258" s="61">
        <v>96.0</v>
      </c>
      <c r="D258" s="9">
        <f t="array" ref="D258">xlookup(A258,'données'!E$2:E$3608,'données'!K$2:K$3608)</f>
        <v>99.5</v>
      </c>
      <c r="E258" s="5" t="b">
        <f t="shared" si="1"/>
        <v>0</v>
      </c>
    </row>
    <row r="259">
      <c r="A259" s="50" t="s">
        <v>1853</v>
      </c>
      <c r="B259" s="61">
        <v>95.0</v>
      </c>
      <c r="C259" s="61">
        <v>97.0</v>
      </c>
      <c r="D259" s="9">
        <f t="array" ref="D259">xlookup(A259,'données'!E$2:E$3608,'données'!K$2:K$3608)</f>
        <v>101.9</v>
      </c>
      <c r="E259" s="5" t="b">
        <f t="shared" si="1"/>
        <v>0</v>
      </c>
    </row>
    <row r="260">
      <c r="A260" s="50" t="s">
        <v>6796</v>
      </c>
      <c r="B260" s="61">
        <v>93.0</v>
      </c>
      <c r="C260" s="61">
        <v>93.0</v>
      </c>
      <c r="D260" s="9">
        <f t="array" ref="D260">xlookup(A260,'données'!E$2:E$3608,'données'!K$2:K$3608)</f>
        <v>82.6</v>
      </c>
      <c r="E260" s="5" t="b">
        <f t="shared" si="1"/>
        <v>0</v>
      </c>
    </row>
    <row r="261">
      <c r="A261" s="50" t="s">
        <v>6794</v>
      </c>
      <c r="B261" s="61">
        <v>97.0</v>
      </c>
      <c r="C261" s="61">
        <v>98.0</v>
      </c>
      <c r="D261" s="9">
        <f t="array" ref="D261">xlookup(A261,'données'!E$2:E$3608,'données'!K$2:K$3608)</f>
        <v>85</v>
      </c>
      <c r="E261" s="5" t="b">
        <f t="shared" si="1"/>
        <v>0</v>
      </c>
    </row>
    <row r="262">
      <c r="A262" s="50" t="s">
        <v>3668</v>
      </c>
      <c r="B262" s="61">
        <v>97.0</v>
      </c>
      <c r="C262" s="61">
        <v>98.0</v>
      </c>
      <c r="D262" s="9">
        <f t="array" ref="D262">xlookup(A262,'données'!E$2:E$3608,'données'!K$2:K$3608)</f>
        <v>87.1</v>
      </c>
      <c r="E262" s="5" t="b">
        <f t="shared" si="1"/>
        <v>0</v>
      </c>
    </row>
    <row r="263">
      <c r="A263" s="50" t="s">
        <v>5265</v>
      </c>
      <c r="B263" s="61">
        <v>96.0</v>
      </c>
      <c r="C263" s="61">
        <v>96.0</v>
      </c>
      <c r="D263" s="9">
        <f t="array" ref="D263">xlookup(A263,'données'!E$2:E$3608,'données'!K$2:K$3608)</f>
        <v>77.3</v>
      </c>
      <c r="E263" s="5" t="b">
        <f t="shared" si="1"/>
        <v>0</v>
      </c>
    </row>
    <row r="264">
      <c r="A264" s="50" t="s">
        <v>8205</v>
      </c>
      <c r="B264" s="61">
        <v>93.0</v>
      </c>
      <c r="C264" s="61">
        <v>96.0</v>
      </c>
      <c r="D264" s="9">
        <f t="array" ref="D264">xlookup(A264,'données'!E$2:E$3608,'données'!K$2:K$3608)</f>
        <v>83.5</v>
      </c>
      <c r="E264" s="5" t="b">
        <f t="shared" si="1"/>
        <v>0</v>
      </c>
    </row>
    <row r="265">
      <c r="A265" s="50" t="s">
        <v>8204</v>
      </c>
      <c r="B265" s="61">
        <v>91.0</v>
      </c>
      <c r="C265" s="61">
        <v>93.0</v>
      </c>
      <c r="D265" s="9">
        <f t="array" ref="D265">xlookup(A265,'données'!E$2:E$3608,'données'!K$2:K$3608)</f>
        <v>121.2</v>
      </c>
      <c r="E265" s="5" t="b">
        <f t="shared" si="1"/>
        <v>0</v>
      </c>
    </row>
    <row r="266">
      <c r="A266" s="50" t="s">
        <v>3665</v>
      </c>
      <c r="B266" s="61">
        <v>93.0</v>
      </c>
      <c r="C266" s="61">
        <v>89.0</v>
      </c>
      <c r="D266" s="9">
        <f t="array" ref="D266">xlookup(A266,'données'!E$2:E$3608,'données'!K$2:K$3608)</f>
        <v>122.8</v>
      </c>
      <c r="E266" s="5" t="b">
        <f t="shared" si="1"/>
        <v>0</v>
      </c>
    </row>
    <row r="267">
      <c r="A267" s="50" t="s">
        <v>8202</v>
      </c>
      <c r="B267" s="61">
        <v>96.0</v>
      </c>
      <c r="C267" s="61">
        <v>97.0</v>
      </c>
      <c r="D267" s="9">
        <f t="array" ref="D267">xlookup(A267,'données'!E$2:E$3608,'données'!K$2:K$3608)</f>
        <v>122.5</v>
      </c>
      <c r="E267" s="5" t="b">
        <f t="shared" si="1"/>
        <v>0</v>
      </c>
    </row>
    <row r="268">
      <c r="A268" s="50" t="s">
        <v>3659</v>
      </c>
      <c r="B268" s="61">
        <v>96.0</v>
      </c>
      <c r="C268" s="61">
        <v>98.0</v>
      </c>
      <c r="D268" s="9">
        <f t="array" ref="D268">xlookup(A268,'données'!E$2:E$3608,'données'!K$2:K$3608)</f>
        <v>127.1</v>
      </c>
      <c r="E268" s="5" t="b">
        <f t="shared" si="1"/>
        <v>0</v>
      </c>
    </row>
    <row r="269">
      <c r="A269" s="50" t="s">
        <v>5263</v>
      </c>
      <c r="B269" s="61">
        <v>97.0</v>
      </c>
      <c r="C269" s="61">
        <v>99.0</v>
      </c>
      <c r="D269" s="9">
        <f t="array" ref="D269">xlookup(A269,'données'!E$2:E$3608,'données'!K$2:K$3608)</f>
        <v>130.6</v>
      </c>
      <c r="E269" s="5" t="b">
        <f t="shared" si="1"/>
        <v>0</v>
      </c>
    </row>
    <row r="270">
      <c r="A270" s="50" t="s">
        <v>8197</v>
      </c>
      <c r="B270" s="61">
        <v>95.0</v>
      </c>
      <c r="C270" s="61">
        <v>95.0</v>
      </c>
      <c r="D270" s="9">
        <f t="array" ref="D270">xlookup(A270,'données'!E$2:E$3608,'données'!K$2:K$3608)</f>
        <v>116.4</v>
      </c>
      <c r="E270" s="5" t="b">
        <f t="shared" si="1"/>
        <v>0</v>
      </c>
    </row>
    <row r="271">
      <c r="A271" s="50" t="s">
        <v>1843</v>
      </c>
      <c r="B271" s="61">
        <v>91.0</v>
      </c>
      <c r="C271" s="61">
        <v>95.0</v>
      </c>
      <c r="D271" s="9">
        <f t="array" ref="D271">xlookup(A271,'données'!E$2:E$3608,'données'!K$2:K$3608)</f>
        <v>96.6</v>
      </c>
      <c r="E271" s="5" t="b">
        <f t="shared" si="1"/>
        <v>0</v>
      </c>
    </row>
    <row r="272">
      <c r="A272" s="50" t="s">
        <v>1838</v>
      </c>
      <c r="B272" s="61">
        <v>100.0</v>
      </c>
      <c r="C272" s="61">
        <v>100.0</v>
      </c>
      <c r="D272" s="9">
        <f t="array" ref="D272">xlookup(A272,'données'!E$2:E$3608,'données'!K$2:K$3608)</f>
        <v>138.3</v>
      </c>
      <c r="E272" s="5" t="b">
        <f t="shared" si="1"/>
        <v>0</v>
      </c>
    </row>
    <row r="273">
      <c r="A273" s="50" t="s">
        <v>5257</v>
      </c>
      <c r="B273" s="61">
        <v>92.0</v>
      </c>
      <c r="C273" s="61">
        <v>95.0</v>
      </c>
      <c r="D273" s="9">
        <f t="array" ref="D273">xlookup(A273,'données'!E$2:E$3608,'données'!K$2:K$3608)</f>
        <v>92.6</v>
      </c>
      <c r="E273" s="5" t="b">
        <f t="shared" si="1"/>
        <v>0</v>
      </c>
    </row>
    <row r="274">
      <c r="A274" s="50" t="s">
        <v>8191</v>
      </c>
      <c r="B274" s="61">
        <v>99.0</v>
      </c>
      <c r="C274" s="61">
        <v>99.0</v>
      </c>
      <c r="D274" s="9">
        <f t="array" ref="D274">xlookup(A274,'données'!E$2:E$3608,'données'!K$2:K$3608)</f>
        <v>134.2</v>
      </c>
      <c r="E274" s="5" t="b">
        <f t="shared" si="1"/>
        <v>0</v>
      </c>
    </row>
    <row r="275">
      <c r="A275" s="50" t="s">
        <v>8187</v>
      </c>
      <c r="B275" s="61">
        <v>100.0</v>
      </c>
      <c r="C275" s="61">
        <v>100.0</v>
      </c>
      <c r="D275" s="9">
        <f t="array" ref="D275">xlookup(A275,'données'!E$2:E$3608,'données'!K$2:K$3608)</f>
        <v>144.5</v>
      </c>
      <c r="E275" s="5" t="b">
        <f t="shared" si="1"/>
        <v>0</v>
      </c>
    </row>
    <row r="276">
      <c r="A276" s="50" t="s">
        <v>3654</v>
      </c>
      <c r="B276" s="61">
        <v>98.0</v>
      </c>
      <c r="C276" s="61">
        <v>98.0</v>
      </c>
      <c r="D276" s="9">
        <f t="array" ref="D276">xlookup(A276,'données'!E$2:E$3608,'données'!K$2:K$3608)</f>
        <v>108.4</v>
      </c>
      <c r="E276" s="5" t="b">
        <f t="shared" si="1"/>
        <v>0</v>
      </c>
    </row>
    <row r="277">
      <c r="A277" s="50" t="s">
        <v>3652</v>
      </c>
      <c r="B277" s="61">
        <v>99.0</v>
      </c>
      <c r="C277" s="61">
        <v>99.0</v>
      </c>
      <c r="D277" s="9">
        <f t="array" ref="D277">xlookup(A277,'données'!E$2:E$3608,'données'!K$2:K$3608)</f>
        <v>154</v>
      </c>
      <c r="E277" s="5" t="b">
        <f t="shared" si="1"/>
        <v>0</v>
      </c>
    </row>
    <row r="278">
      <c r="A278" s="50" t="s">
        <v>8184</v>
      </c>
      <c r="B278" s="61">
        <v>97.0</v>
      </c>
      <c r="C278" s="61">
        <v>98.0</v>
      </c>
      <c r="D278" s="9">
        <f t="array" ref="D278">xlookup(A278,'données'!E$2:E$3608,'données'!K$2:K$3608)</f>
        <v>120.1</v>
      </c>
      <c r="E278" s="5" t="b">
        <f t="shared" si="1"/>
        <v>0</v>
      </c>
    </row>
    <row r="279">
      <c r="A279" s="50" t="s">
        <v>5253</v>
      </c>
      <c r="B279" s="61">
        <v>95.0</v>
      </c>
      <c r="C279" s="61">
        <v>96.0</v>
      </c>
      <c r="D279" s="9">
        <f t="array" ref="D279">xlookup(A279,'données'!E$2:E$3608,'données'!K$2:K$3608)</f>
        <v>108.1</v>
      </c>
      <c r="E279" s="5" t="b">
        <f t="shared" si="1"/>
        <v>0</v>
      </c>
    </row>
    <row r="280">
      <c r="A280" s="50" t="s">
        <v>8181</v>
      </c>
      <c r="B280" s="61">
        <v>93.0</v>
      </c>
      <c r="C280" s="61">
        <v>100.0</v>
      </c>
      <c r="D280" s="9">
        <f t="array" ref="D280">xlookup(A280,'données'!E$2:E$3608,'données'!K$2:K$3608)</f>
        <v>94.5</v>
      </c>
      <c r="E280" s="5" t="b">
        <f t="shared" si="1"/>
        <v>0</v>
      </c>
    </row>
    <row r="281">
      <c r="A281" s="50" t="s">
        <v>1836</v>
      </c>
      <c r="B281" s="61">
        <v>100.0</v>
      </c>
      <c r="C281" s="61">
        <v>100.0</v>
      </c>
      <c r="D281" s="9">
        <f t="array" ref="D281">xlookup(A281,'données'!E$2:E$3608,'données'!K$2:K$3608)</f>
        <v>144</v>
      </c>
      <c r="E281" s="5" t="b">
        <f t="shared" si="1"/>
        <v>0</v>
      </c>
    </row>
    <row r="282">
      <c r="A282" s="50" t="s">
        <v>5250</v>
      </c>
      <c r="B282" s="61">
        <v>100.0</v>
      </c>
      <c r="C282" s="61">
        <v>100.0</v>
      </c>
      <c r="D282" s="9">
        <f t="array" ref="D282">xlookup(A282,'données'!E$2:E$3608,'données'!K$2:K$3608)</f>
        <v>123.9</v>
      </c>
      <c r="E282" s="5" t="b">
        <f t="shared" si="1"/>
        <v>0</v>
      </c>
    </row>
    <row r="283">
      <c r="A283" s="50" t="s">
        <v>6784</v>
      </c>
      <c r="B283" s="61">
        <v>100.0</v>
      </c>
      <c r="C283" s="61">
        <v>100.0</v>
      </c>
      <c r="D283" s="9">
        <f t="array" ref="D283">xlookup(A283,'données'!E$2:E$3608,'données'!K$2:K$3608)</f>
        <v>149.4</v>
      </c>
      <c r="E283" s="5" t="b">
        <f t="shared" si="1"/>
        <v>0</v>
      </c>
    </row>
    <row r="284">
      <c r="A284" s="50" t="s">
        <v>1835</v>
      </c>
      <c r="B284" s="61">
        <v>100.0</v>
      </c>
      <c r="C284" s="61">
        <v>100.0</v>
      </c>
      <c r="D284" s="9">
        <f t="array" ref="D284">xlookup(A284,'données'!E$2:E$3608,'données'!K$2:K$3608)</f>
        <v>152.1</v>
      </c>
      <c r="E284" s="5" t="b">
        <f t="shared" si="1"/>
        <v>0</v>
      </c>
    </row>
    <row r="285">
      <c r="A285" s="50" t="s">
        <v>1833</v>
      </c>
      <c r="B285" s="61">
        <v>100.0</v>
      </c>
      <c r="C285" s="61">
        <v>100.0</v>
      </c>
      <c r="D285" s="9">
        <f t="array" ref="D285">xlookup(A285,'données'!E$2:E$3608,'données'!K$2:K$3608)</f>
        <v>151.3</v>
      </c>
      <c r="E285" s="5" t="b">
        <f t="shared" si="1"/>
        <v>0</v>
      </c>
    </row>
    <row r="286">
      <c r="A286" s="50" t="s">
        <v>5249</v>
      </c>
      <c r="B286" s="61">
        <v>100.0</v>
      </c>
      <c r="C286" s="61">
        <v>100.0</v>
      </c>
      <c r="D286" s="9">
        <f t="array" ref="D286">xlookup(A286,'données'!E$2:E$3608,'données'!K$2:K$3608)</f>
        <v>139</v>
      </c>
      <c r="E286" s="5" t="b">
        <f t="shared" si="1"/>
        <v>0</v>
      </c>
    </row>
    <row r="287">
      <c r="A287" s="50" t="s">
        <v>5248</v>
      </c>
      <c r="B287" s="61">
        <v>100.0</v>
      </c>
      <c r="C287" s="61">
        <v>100.0</v>
      </c>
      <c r="D287" s="9">
        <f t="array" ref="D287">xlookup(A287,'données'!E$2:E$3608,'données'!K$2:K$3608)</f>
        <v>148.1</v>
      </c>
      <c r="E287" s="5" t="b">
        <f t="shared" si="1"/>
        <v>0</v>
      </c>
    </row>
    <row r="288">
      <c r="A288" s="50" t="s">
        <v>1830</v>
      </c>
      <c r="B288" s="61">
        <v>100.0</v>
      </c>
      <c r="C288" s="61">
        <v>100.0</v>
      </c>
      <c r="D288" s="9">
        <f t="array" ref="D288">xlookup(A288,'données'!E$2:E$3608,'données'!K$2:K$3608)</f>
        <v>148.4</v>
      </c>
      <c r="E288" s="5" t="b">
        <f t="shared" si="1"/>
        <v>0</v>
      </c>
    </row>
    <row r="289">
      <c r="A289" s="50" t="s">
        <v>5245</v>
      </c>
      <c r="B289" s="61">
        <v>100.0</v>
      </c>
      <c r="C289" s="61">
        <v>100.0</v>
      </c>
      <c r="D289" s="9">
        <f t="array" ref="D289">xlookup(A289,'données'!E$2:E$3608,'données'!K$2:K$3608)</f>
        <v>151.3</v>
      </c>
      <c r="E289" s="5" t="b">
        <f t="shared" si="1"/>
        <v>0</v>
      </c>
    </row>
    <row r="290">
      <c r="A290" s="50" t="s">
        <v>6782</v>
      </c>
      <c r="B290" s="61">
        <v>100.0</v>
      </c>
      <c r="C290" s="61">
        <v>100.0</v>
      </c>
      <c r="D290" s="9">
        <f t="array" ref="D290">xlookup(A290,'données'!E$2:E$3608,'données'!K$2:K$3608)</f>
        <v>143.5</v>
      </c>
      <c r="E290" s="5" t="b">
        <f t="shared" si="1"/>
        <v>0</v>
      </c>
    </row>
    <row r="291">
      <c r="A291" s="50" t="s">
        <v>8177</v>
      </c>
      <c r="B291" s="61">
        <v>100.0</v>
      </c>
      <c r="C291" s="61">
        <v>100.0</v>
      </c>
      <c r="D291" s="9">
        <f t="array" ref="D291">xlookup(A291,'données'!E$2:E$3608,'données'!K$2:K$3608)</f>
        <v>145.4</v>
      </c>
      <c r="E291" s="5" t="b">
        <f t="shared" si="1"/>
        <v>0</v>
      </c>
    </row>
    <row r="292">
      <c r="A292" s="50" t="s">
        <v>6780</v>
      </c>
      <c r="B292" s="61">
        <v>100.0</v>
      </c>
      <c r="C292" s="61">
        <v>100.0</v>
      </c>
      <c r="D292" s="9">
        <f t="array" ref="D292">xlookup(A292,'données'!E$2:E$3608,'données'!K$2:K$3608)</f>
        <v>151.5</v>
      </c>
      <c r="E292" s="5" t="b">
        <f t="shared" si="1"/>
        <v>0</v>
      </c>
    </row>
    <row r="293">
      <c r="A293" s="50" t="s">
        <v>3649</v>
      </c>
      <c r="B293" s="61">
        <v>100.0</v>
      </c>
      <c r="C293" s="61">
        <v>100.0</v>
      </c>
      <c r="D293" s="9">
        <f t="array" ref="D293">xlookup(A293,'données'!E$2:E$3608,'données'!K$2:K$3608)</f>
        <v>145.2</v>
      </c>
      <c r="E293" s="5" t="b">
        <f t="shared" si="1"/>
        <v>0</v>
      </c>
    </row>
    <row r="294">
      <c r="A294" s="50" t="s">
        <v>8176</v>
      </c>
      <c r="B294" s="61">
        <v>100.0</v>
      </c>
      <c r="C294" s="61">
        <v>100.0</v>
      </c>
      <c r="D294" s="9">
        <f t="array" ref="D294">xlookup(A294,'données'!E$2:E$3608,'données'!K$2:K$3608)</f>
        <v>144.9</v>
      </c>
      <c r="E294" s="5" t="b">
        <f t="shared" si="1"/>
        <v>0</v>
      </c>
    </row>
    <row r="295">
      <c r="A295" s="50" t="s">
        <v>3647</v>
      </c>
      <c r="B295" s="61">
        <v>98.0</v>
      </c>
      <c r="C295" s="61">
        <v>96.0</v>
      </c>
      <c r="D295" s="9">
        <f t="array" ref="D295">xlookup(A295,'données'!E$2:E$3608,'données'!K$2:K$3608)</f>
        <v>108.2</v>
      </c>
      <c r="E295" s="5" t="b">
        <f t="shared" si="1"/>
        <v>0</v>
      </c>
    </row>
    <row r="296">
      <c r="A296" s="50" t="s">
        <v>5244</v>
      </c>
      <c r="B296" s="61">
        <v>100.0</v>
      </c>
      <c r="C296" s="61">
        <v>100.0</v>
      </c>
      <c r="D296" s="9">
        <f t="array" ref="D296">xlookup(A296,'données'!E$2:E$3608,'données'!K$2:K$3608)</f>
        <v>151.2</v>
      </c>
      <c r="E296" s="5" t="b">
        <f t="shared" si="1"/>
        <v>0</v>
      </c>
    </row>
    <row r="297">
      <c r="A297" s="50" t="s">
        <v>8175</v>
      </c>
      <c r="B297" s="61">
        <v>98.0</v>
      </c>
      <c r="C297" s="61">
        <v>98.0</v>
      </c>
      <c r="D297" s="9">
        <f t="array" ref="D297">xlookup(A297,'données'!E$2:E$3608,'données'!K$2:K$3608)</f>
        <v>147.1</v>
      </c>
      <c r="E297" s="5" t="b">
        <f t="shared" si="1"/>
        <v>0</v>
      </c>
    </row>
    <row r="298">
      <c r="A298" s="50" t="s">
        <v>3644</v>
      </c>
      <c r="B298" s="61">
        <v>99.0</v>
      </c>
      <c r="C298" s="61">
        <v>100.0</v>
      </c>
      <c r="D298" s="9">
        <f t="array" ref="D298">xlookup(A298,'données'!E$2:E$3608,'données'!K$2:K$3608)</f>
        <v>137.4</v>
      </c>
      <c r="E298" s="5" t="b">
        <f t="shared" si="1"/>
        <v>0</v>
      </c>
    </row>
    <row r="299">
      <c r="A299" s="50" t="s">
        <v>6777</v>
      </c>
      <c r="B299" s="61">
        <v>98.0</v>
      </c>
      <c r="C299" s="61">
        <v>99.0</v>
      </c>
      <c r="D299" s="9">
        <f t="array" ref="D299">xlookup(A299,'données'!E$2:E$3608,'données'!K$2:K$3608)</f>
        <v>138.8</v>
      </c>
      <c r="E299" s="5" t="b">
        <f t="shared" si="1"/>
        <v>0</v>
      </c>
    </row>
    <row r="300">
      <c r="A300" s="50" t="s">
        <v>6775</v>
      </c>
      <c r="B300" s="61">
        <v>96.0</v>
      </c>
      <c r="C300" s="61">
        <v>98.0</v>
      </c>
      <c r="D300" s="9">
        <f t="array" ref="D300">xlookup(A300,'données'!E$2:E$3608,'données'!K$2:K$3608)</f>
        <v>134</v>
      </c>
      <c r="E300" s="5" t="b">
        <f t="shared" si="1"/>
        <v>0</v>
      </c>
    </row>
    <row r="301">
      <c r="A301" s="50" t="s">
        <v>8174</v>
      </c>
      <c r="B301" s="61">
        <v>97.0</v>
      </c>
      <c r="C301" s="61">
        <v>97.0</v>
      </c>
      <c r="D301" s="9">
        <f t="array" ref="D301">xlookup(A301,'données'!E$2:E$3608,'données'!K$2:K$3608)</f>
        <v>132.1</v>
      </c>
      <c r="E301" s="5" t="b">
        <f t="shared" si="1"/>
        <v>0</v>
      </c>
    </row>
    <row r="302">
      <c r="A302" s="50" t="s">
        <v>6770</v>
      </c>
      <c r="B302" s="61">
        <v>99.0</v>
      </c>
      <c r="C302" s="61">
        <v>99.0</v>
      </c>
      <c r="D302" s="9">
        <f t="array" ref="D302">xlookup(A302,'données'!E$2:E$3608,'données'!K$2:K$3608)</f>
        <v>135.8</v>
      </c>
      <c r="E302" s="5" t="b">
        <f t="shared" si="1"/>
        <v>0</v>
      </c>
    </row>
    <row r="303">
      <c r="A303" s="50" t="s">
        <v>6768</v>
      </c>
      <c r="B303" s="61">
        <v>93.0</v>
      </c>
      <c r="C303" s="61">
        <v>97.0</v>
      </c>
      <c r="D303" s="9">
        <f t="array" ref="D303">xlookup(A303,'données'!E$2:E$3608,'données'!K$2:K$3608)</f>
        <v>114.6</v>
      </c>
      <c r="E303" s="5" t="b">
        <f t="shared" si="1"/>
        <v>0</v>
      </c>
    </row>
    <row r="304">
      <c r="A304" s="50" t="s">
        <v>1828</v>
      </c>
      <c r="B304" s="61">
        <v>99.0</v>
      </c>
      <c r="C304" s="61">
        <v>99.0</v>
      </c>
      <c r="D304" s="9">
        <f t="array" ref="D304">xlookup(A304,'données'!E$2:E$3608,'données'!K$2:K$3608)</f>
        <v>141.5</v>
      </c>
      <c r="E304" s="5" t="b">
        <f t="shared" si="1"/>
        <v>0</v>
      </c>
    </row>
    <row r="305">
      <c r="A305" s="50" t="s">
        <v>1825</v>
      </c>
      <c r="B305" s="61">
        <v>98.0</v>
      </c>
      <c r="C305" s="61">
        <v>98.0</v>
      </c>
      <c r="D305" s="9">
        <f t="array" ref="D305">xlookup(A305,'données'!E$2:E$3608,'données'!K$2:K$3608)</f>
        <v>142.3</v>
      </c>
      <c r="E305" s="5" t="b">
        <f t="shared" si="1"/>
        <v>0</v>
      </c>
    </row>
    <row r="306">
      <c r="A306" s="50" t="s">
        <v>1822</v>
      </c>
      <c r="B306" s="61">
        <v>98.0</v>
      </c>
      <c r="C306" s="61">
        <v>100.0</v>
      </c>
      <c r="D306" s="9">
        <f t="array" ref="D306">xlookup(A306,'données'!E$2:E$3608,'données'!K$2:K$3608)</f>
        <v>116.2</v>
      </c>
      <c r="E306" s="5" t="b">
        <f t="shared" si="1"/>
        <v>0</v>
      </c>
    </row>
    <row r="307">
      <c r="A307" s="50" t="s">
        <v>1819</v>
      </c>
      <c r="B307" s="61">
        <v>98.0</v>
      </c>
      <c r="C307" s="61">
        <v>98.0</v>
      </c>
      <c r="D307" s="9">
        <f t="array" ref="D307">xlookup(A307,'données'!E$2:E$3608,'données'!K$2:K$3608)</f>
        <v>132.8</v>
      </c>
      <c r="E307" s="5" t="b">
        <f t="shared" si="1"/>
        <v>0</v>
      </c>
    </row>
    <row r="308">
      <c r="A308" s="50" t="s">
        <v>8164</v>
      </c>
      <c r="B308" s="61">
        <v>99.0</v>
      </c>
      <c r="C308" s="61">
        <v>99.0</v>
      </c>
      <c r="D308" s="9">
        <f t="array" ref="D308">xlookup(A308,'données'!E$2:E$3608,'données'!K$2:K$3608)</f>
        <v>146.9</v>
      </c>
      <c r="E308" s="5" t="b">
        <f t="shared" si="1"/>
        <v>0</v>
      </c>
    </row>
    <row r="309">
      <c r="A309" s="50" t="s">
        <v>8162</v>
      </c>
      <c r="B309" s="61">
        <v>94.0</v>
      </c>
      <c r="C309" s="61">
        <v>96.0</v>
      </c>
      <c r="D309" s="9">
        <f t="array" ref="D309">xlookup(A309,'données'!E$2:E$3608,'données'!K$2:K$3608)</f>
        <v>95.2</v>
      </c>
      <c r="E309" s="5" t="b">
        <f t="shared" si="1"/>
        <v>0</v>
      </c>
    </row>
    <row r="310">
      <c r="A310" s="50" t="s">
        <v>8160</v>
      </c>
      <c r="B310" s="61">
        <v>93.0</v>
      </c>
      <c r="C310" s="61">
        <v>98.0</v>
      </c>
      <c r="D310" s="9">
        <f t="array" ref="D310">xlookup(A310,'données'!E$2:E$3608,'données'!K$2:K$3608)</f>
        <v>124.5</v>
      </c>
      <c r="E310" s="5" t="b">
        <f t="shared" si="1"/>
        <v>0</v>
      </c>
    </row>
    <row r="311">
      <c r="A311" s="50" t="s">
        <v>5240</v>
      </c>
      <c r="B311" s="61">
        <v>95.0</v>
      </c>
      <c r="C311" s="61">
        <v>95.0</v>
      </c>
      <c r="D311" s="9">
        <f t="array" ref="D311">xlookup(A311,'données'!E$2:E$3608,'données'!K$2:K$3608)</f>
        <v>96.7</v>
      </c>
      <c r="E311" s="5" t="b">
        <f t="shared" si="1"/>
        <v>0</v>
      </c>
    </row>
    <row r="312">
      <c r="A312" s="50" t="s">
        <v>6766</v>
      </c>
      <c r="B312" s="61">
        <v>93.0</v>
      </c>
      <c r="C312" s="61">
        <v>94.0</v>
      </c>
      <c r="D312" s="9">
        <f t="array" ref="D312">xlookup(A312,'données'!E$2:E$3608,'données'!K$2:K$3608)</f>
        <v>93.4</v>
      </c>
      <c r="E312" s="5" t="b">
        <f t="shared" si="1"/>
        <v>0</v>
      </c>
    </row>
    <row r="313">
      <c r="A313" s="50" t="s">
        <v>1816</v>
      </c>
      <c r="B313" s="61">
        <v>94.0</v>
      </c>
      <c r="C313" s="61">
        <v>98.0</v>
      </c>
      <c r="D313" s="9">
        <f t="array" ref="D313">xlookup(A313,'données'!E$2:E$3608,'données'!K$2:K$3608)</f>
        <v>122.6</v>
      </c>
      <c r="E313" s="5" t="b">
        <f t="shared" si="1"/>
        <v>0</v>
      </c>
    </row>
    <row r="314">
      <c r="A314" s="50" t="s">
        <v>8159</v>
      </c>
      <c r="B314" s="61">
        <v>97.0</v>
      </c>
      <c r="C314" s="61">
        <v>97.0</v>
      </c>
      <c r="D314" s="9">
        <f t="array" ref="D314">xlookup(A314,'données'!E$2:E$3608,'données'!K$2:K$3608)</f>
        <v>125.7</v>
      </c>
      <c r="E314" s="5" t="b">
        <f t="shared" si="1"/>
        <v>0</v>
      </c>
    </row>
    <row r="315">
      <c r="A315" s="50" t="s">
        <v>8158</v>
      </c>
      <c r="B315" s="61">
        <v>97.0</v>
      </c>
      <c r="C315" s="61">
        <v>96.0</v>
      </c>
      <c r="D315" s="9">
        <f t="array" ref="D315">xlookup(A315,'données'!E$2:E$3608,'données'!K$2:K$3608)</f>
        <v>131.2</v>
      </c>
      <c r="E315" s="5" t="b">
        <f t="shared" si="1"/>
        <v>0</v>
      </c>
    </row>
    <row r="316">
      <c r="A316" s="50" t="s">
        <v>5238</v>
      </c>
      <c r="B316" s="61">
        <v>98.0</v>
      </c>
      <c r="C316" s="61">
        <v>98.0</v>
      </c>
      <c r="D316" s="9">
        <f t="array" ref="D316">xlookup(A316,'données'!E$2:E$3608,'données'!K$2:K$3608)</f>
        <v>107.5</v>
      </c>
      <c r="E316" s="5" t="b">
        <f t="shared" si="1"/>
        <v>0</v>
      </c>
    </row>
    <row r="317">
      <c r="A317" s="50" t="s">
        <v>3637</v>
      </c>
      <c r="B317" s="61">
        <v>95.0</v>
      </c>
      <c r="C317" s="61">
        <v>97.0</v>
      </c>
      <c r="D317" s="9">
        <f t="array" ref="D317">xlookup(A317,'données'!E$2:E$3608,'données'!K$2:K$3608)</f>
        <v>129.9</v>
      </c>
      <c r="E317" s="5" t="b">
        <f t="shared" si="1"/>
        <v>0</v>
      </c>
    </row>
    <row r="318">
      <c r="A318" s="50" t="s">
        <v>1813</v>
      </c>
      <c r="B318" s="61">
        <v>100.0</v>
      </c>
      <c r="C318" s="61">
        <v>100.0</v>
      </c>
      <c r="D318" s="9">
        <f t="array" ref="D318">xlookup(A318,'données'!E$2:E$3608,'données'!K$2:K$3608)</f>
        <v>134.1</v>
      </c>
      <c r="E318" s="5" t="b">
        <f t="shared" si="1"/>
        <v>0</v>
      </c>
    </row>
    <row r="319">
      <c r="A319" s="50" t="s">
        <v>5233</v>
      </c>
      <c r="B319" s="61">
        <v>99.0</v>
      </c>
      <c r="C319" s="61">
        <v>100.0</v>
      </c>
      <c r="D319" s="9">
        <f t="array" ref="D319">xlookup(A319,'données'!E$2:E$3608,'données'!K$2:K$3608)</f>
        <v>126.4</v>
      </c>
      <c r="E319" s="5" t="b">
        <f t="shared" si="1"/>
        <v>0</v>
      </c>
    </row>
    <row r="320">
      <c r="A320" s="50" t="s">
        <v>5231</v>
      </c>
      <c r="B320" s="61">
        <v>100.0</v>
      </c>
      <c r="C320" s="61">
        <v>100.0</v>
      </c>
      <c r="D320" s="9">
        <f t="array" ref="D320">xlookup(A320,'données'!E$2:E$3608,'données'!K$2:K$3608)</f>
        <v>129.1</v>
      </c>
      <c r="E320" s="5" t="b">
        <f t="shared" si="1"/>
        <v>0</v>
      </c>
    </row>
    <row r="321">
      <c r="A321" s="50" t="s">
        <v>3634</v>
      </c>
      <c r="B321" s="61">
        <v>96.0</v>
      </c>
      <c r="C321" s="61">
        <v>95.0</v>
      </c>
      <c r="D321" s="9">
        <f t="array" ref="D321">xlookup(A321,'données'!E$2:E$3608,'données'!K$2:K$3608)</f>
        <v>121.7</v>
      </c>
      <c r="E321" s="5" t="b">
        <f t="shared" si="1"/>
        <v>0</v>
      </c>
    </row>
    <row r="322">
      <c r="A322" s="50" t="s">
        <v>3632</v>
      </c>
      <c r="B322" s="61">
        <v>100.0</v>
      </c>
      <c r="C322" s="61">
        <v>100.0</v>
      </c>
      <c r="D322" s="9">
        <f t="array" ref="D322">xlookup(A322,'données'!E$2:E$3608,'données'!K$2:K$3608)</f>
        <v>125.7</v>
      </c>
      <c r="E322" s="5" t="b">
        <f t="shared" si="1"/>
        <v>0</v>
      </c>
    </row>
    <row r="323">
      <c r="A323" s="50" t="s">
        <v>1810</v>
      </c>
      <c r="B323" s="61">
        <v>95.0</v>
      </c>
      <c r="C323" s="61">
        <v>94.0</v>
      </c>
      <c r="D323" s="9">
        <f t="array" ref="D323">xlookup(A323,'données'!E$2:E$3608,'données'!K$2:K$3608)</f>
        <v>102.7</v>
      </c>
      <c r="E323" s="5" t="b">
        <f t="shared" si="1"/>
        <v>0</v>
      </c>
    </row>
    <row r="324">
      <c r="A324" s="50" t="s">
        <v>3630</v>
      </c>
      <c r="B324" s="61">
        <v>100.0</v>
      </c>
      <c r="C324" s="61">
        <v>99.0</v>
      </c>
      <c r="D324" s="9">
        <f t="array" ref="D324">xlookup(A324,'données'!E$2:E$3608,'données'!K$2:K$3608)</f>
        <v>134.1</v>
      </c>
      <c r="E324" s="5" t="b">
        <f t="shared" si="1"/>
        <v>0</v>
      </c>
    </row>
    <row r="325">
      <c r="A325" s="50" t="s">
        <v>6760</v>
      </c>
      <c r="B325" s="61">
        <v>98.0</v>
      </c>
      <c r="C325" s="61">
        <v>99.0</v>
      </c>
      <c r="D325" s="9">
        <f t="array" ref="D325">xlookup(A325,'données'!E$2:E$3608,'données'!K$2:K$3608)</f>
        <v>142.3</v>
      </c>
      <c r="E325" s="5" t="b">
        <f t="shared" si="1"/>
        <v>0</v>
      </c>
    </row>
    <row r="326">
      <c r="A326" s="50" t="s">
        <v>3627</v>
      </c>
      <c r="B326" s="61">
        <v>96.0</v>
      </c>
      <c r="C326" s="61">
        <v>97.0</v>
      </c>
      <c r="D326" s="9">
        <f t="array" ref="D326">xlookup(A326,'données'!E$2:E$3608,'données'!K$2:K$3608)</f>
        <v>118</v>
      </c>
      <c r="E326" s="5" t="b">
        <f t="shared" si="1"/>
        <v>0</v>
      </c>
    </row>
    <row r="327">
      <c r="A327" s="50" t="s">
        <v>1807</v>
      </c>
      <c r="B327" s="61">
        <v>98.0</v>
      </c>
      <c r="C327" s="61">
        <v>98.0</v>
      </c>
      <c r="D327" s="9">
        <f t="array" ref="D327">xlookup(A327,'données'!E$2:E$3608,'données'!K$2:K$3608)</f>
        <v>120.8</v>
      </c>
      <c r="E327" s="5" t="b">
        <f t="shared" si="1"/>
        <v>0</v>
      </c>
    </row>
    <row r="328">
      <c r="A328" s="50" t="s">
        <v>8154</v>
      </c>
      <c r="B328" s="61">
        <v>95.0</v>
      </c>
      <c r="C328" s="61">
        <v>96.0</v>
      </c>
      <c r="D328" s="9">
        <f t="array" ref="D328">xlookup(A328,'données'!E$2:E$3608,'données'!K$2:K$3608)</f>
        <v>108.4</v>
      </c>
      <c r="E328" s="5" t="b">
        <f t="shared" si="1"/>
        <v>0</v>
      </c>
    </row>
    <row r="329">
      <c r="A329" s="50" t="s">
        <v>6758</v>
      </c>
      <c r="B329" s="61">
        <v>96.0</v>
      </c>
      <c r="C329" s="61">
        <v>98.0</v>
      </c>
      <c r="D329" s="9">
        <f t="array" ref="D329">xlookup(A329,'données'!E$2:E$3608,'données'!K$2:K$3608)</f>
        <v>108.7</v>
      </c>
      <c r="E329" s="5" t="b">
        <f t="shared" si="1"/>
        <v>0</v>
      </c>
    </row>
    <row r="330">
      <c r="A330" s="50" t="s">
        <v>8153</v>
      </c>
      <c r="B330" s="61">
        <v>100.0</v>
      </c>
      <c r="C330" s="61">
        <v>100.0</v>
      </c>
      <c r="D330" s="9">
        <f t="array" ref="D330">xlookup(A330,'données'!E$2:E$3608,'données'!K$2:K$3608)</f>
        <v>132.4</v>
      </c>
      <c r="E330" s="5" t="b">
        <f t="shared" si="1"/>
        <v>0</v>
      </c>
    </row>
    <row r="331">
      <c r="A331" s="50" t="s">
        <v>5228</v>
      </c>
      <c r="B331" s="61">
        <v>94.0</v>
      </c>
      <c r="C331" s="61">
        <v>94.0</v>
      </c>
      <c r="D331" s="9">
        <f t="array" ref="D331">xlookup(A331,'données'!E$2:E$3608,'données'!K$2:K$3608)</f>
        <v>105.2</v>
      </c>
      <c r="E331" s="5" t="b">
        <f t="shared" si="1"/>
        <v>0</v>
      </c>
    </row>
    <row r="332">
      <c r="A332" s="50" t="s">
        <v>5225</v>
      </c>
      <c r="B332" s="61">
        <v>96.0</v>
      </c>
      <c r="C332" s="61">
        <v>97.0</v>
      </c>
      <c r="D332" s="9">
        <f t="array" ref="D332">xlookup(A332,'données'!E$2:E$3608,'données'!K$2:K$3608)</f>
        <v>105.5</v>
      </c>
      <c r="E332" s="5" t="b">
        <f t="shared" si="1"/>
        <v>0</v>
      </c>
    </row>
    <row r="333">
      <c r="A333" s="50" t="s">
        <v>5222</v>
      </c>
      <c r="B333" s="61">
        <v>98.0</v>
      </c>
      <c r="C333" s="61">
        <v>99.0</v>
      </c>
      <c r="D333" s="9">
        <f t="array" ref="D333">xlookup(A333,'données'!E$2:E$3608,'données'!K$2:K$3608)</f>
        <v>147.3</v>
      </c>
      <c r="E333" s="5" t="b">
        <f t="shared" si="1"/>
        <v>0</v>
      </c>
    </row>
    <row r="334">
      <c r="A334" s="50" t="s">
        <v>5220</v>
      </c>
      <c r="B334" s="61">
        <v>97.0</v>
      </c>
      <c r="C334" s="61">
        <v>97.0</v>
      </c>
      <c r="D334" s="9">
        <f t="array" ref="D334">xlookup(A334,'données'!E$2:E$3608,'données'!K$2:K$3608)</f>
        <v>96.4</v>
      </c>
      <c r="E334" s="5" t="b">
        <f t="shared" si="1"/>
        <v>0</v>
      </c>
    </row>
    <row r="335">
      <c r="A335" s="50" t="s">
        <v>5219</v>
      </c>
      <c r="B335" s="61">
        <v>98.0</v>
      </c>
      <c r="C335" s="61">
        <v>98.0</v>
      </c>
      <c r="D335" s="9">
        <f t="array" ref="D335">xlookup(A335,'données'!E$2:E$3608,'données'!K$2:K$3608)</f>
        <v>128.1</v>
      </c>
      <c r="E335" s="5" t="b">
        <f t="shared" si="1"/>
        <v>0</v>
      </c>
    </row>
    <row r="336">
      <c r="A336" s="50" t="s">
        <v>6756</v>
      </c>
      <c r="B336" s="61">
        <v>96.0</v>
      </c>
      <c r="C336" s="61">
        <v>97.0</v>
      </c>
      <c r="D336" s="9">
        <f t="array" ref="D336">xlookup(A336,'données'!E$2:E$3608,'données'!K$2:K$3608)</f>
        <v>118.9</v>
      </c>
      <c r="E336" s="5" t="b">
        <f t="shared" si="1"/>
        <v>0</v>
      </c>
    </row>
    <row r="337">
      <c r="A337" s="50" t="s">
        <v>5211</v>
      </c>
      <c r="B337" s="61">
        <v>97.0</v>
      </c>
      <c r="C337" s="61">
        <v>96.0</v>
      </c>
      <c r="D337" s="9">
        <f t="array" ref="D337">xlookup(A337,'données'!E$2:E$3608,'données'!K$2:K$3608)</f>
        <v>117.2</v>
      </c>
      <c r="E337" s="5" t="b">
        <f t="shared" si="1"/>
        <v>0</v>
      </c>
    </row>
    <row r="338">
      <c r="A338" s="50" t="s">
        <v>6751</v>
      </c>
      <c r="B338" s="61">
        <v>97.0</v>
      </c>
      <c r="C338" s="61">
        <v>98.0</v>
      </c>
      <c r="D338" s="9">
        <f t="array" ref="D338">xlookup(A338,'données'!E$2:E$3608,'données'!K$2:K$3608)</f>
        <v>106.9</v>
      </c>
      <c r="E338" s="5" t="b">
        <f t="shared" si="1"/>
        <v>0</v>
      </c>
    </row>
    <row r="339">
      <c r="A339" s="50" t="s">
        <v>1802</v>
      </c>
      <c r="B339" s="61">
        <v>95.0</v>
      </c>
      <c r="C339" s="61">
        <v>97.0</v>
      </c>
      <c r="D339" s="9">
        <f t="array" ref="D339">xlookup(A339,'données'!E$2:E$3608,'données'!K$2:K$3608)</f>
        <v>99.6</v>
      </c>
      <c r="E339" s="5" t="b">
        <f t="shared" si="1"/>
        <v>0</v>
      </c>
    </row>
    <row r="340">
      <c r="A340" s="50" t="s">
        <v>5209</v>
      </c>
      <c r="B340" s="61">
        <v>97.0</v>
      </c>
      <c r="C340" s="61">
        <v>97.0</v>
      </c>
      <c r="D340" s="9">
        <f t="array" ref="D340">xlookup(A340,'données'!E$2:E$3608,'données'!K$2:K$3608)</f>
        <v>118.2</v>
      </c>
      <c r="E340" s="5" t="b">
        <f t="shared" si="1"/>
        <v>0</v>
      </c>
    </row>
    <row r="341">
      <c r="A341" s="50" t="s">
        <v>1796</v>
      </c>
      <c r="B341" s="61">
        <v>92.0</v>
      </c>
      <c r="C341" s="61">
        <v>94.0</v>
      </c>
      <c r="D341" s="9">
        <f t="array" ref="D341">xlookup(A341,'données'!E$2:E$3608,'données'!K$2:K$3608)</f>
        <v>111.2</v>
      </c>
      <c r="E341" s="5" t="b">
        <f t="shared" si="1"/>
        <v>0</v>
      </c>
    </row>
    <row r="342">
      <c r="A342" s="50" t="s">
        <v>3621</v>
      </c>
      <c r="B342" s="61">
        <v>100.0</v>
      </c>
      <c r="C342" s="61">
        <v>100.0</v>
      </c>
      <c r="D342" s="9">
        <f t="array" ref="D342">xlookup(A342,'données'!E$2:E$3608,'données'!K$2:K$3608)</f>
        <v>129</v>
      </c>
      <c r="E342" s="5" t="b">
        <f t="shared" si="1"/>
        <v>0</v>
      </c>
    </row>
    <row r="343">
      <c r="A343" s="50" t="s">
        <v>3618</v>
      </c>
      <c r="B343" s="61">
        <v>99.0</v>
      </c>
      <c r="C343" s="61">
        <v>99.0</v>
      </c>
      <c r="D343" s="9">
        <f t="array" ref="D343">xlookup(A343,'données'!E$2:E$3608,'données'!K$2:K$3608)</f>
        <v>133.2</v>
      </c>
      <c r="E343" s="5" t="b">
        <f t="shared" si="1"/>
        <v>0</v>
      </c>
    </row>
    <row r="344">
      <c r="A344" s="50" t="s">
        <v>1790</v>
      </c>
      <c r="B344" s="61">
        <v>100.0</v>
      </c>
      <c r="C344" s="61">
        <v>100.0</v>
      </c>
      <c r="D344" s="9">
        <f t="array" ref="D344">xlookup(A344,'données'!E$2:E$3608,'données'!K$2:K$3608)</f>
        <v>143</v>
      </c>
      <c r="E344" s="5" t="b">
        <f t="shared" si="1"/>
        <v>0</v>
      </c>
    </row>
    <row r="345">
      <c r="A345" s="50" t="s">
        <v>8150</v>
      </c>
      <c r="B345" s="61">
        <v>98.0</v>
      </c>
      <c r="C345" s="61">
        <v>97.0</v>
      </c>
      <c r="D345" s="9">
        <f t="array" ref="D345">xlookup(A345,'données'!E$2:E$3608,'données'!K$2:K$3608)</f>
        <v>127.3</v>
      </c>
      <c r="E345" s="5" t="b">
        <f t="shared" si="1"/>
        <v>0</v>
      </c>
    </row>
    <row r="346">
      <c r="A346" s="50" t="s">
        <v>8148</v>
      </c>
      <c r="B346" s="61">
        <v>100.0</v>
      </c>
      <c r="C346" s="61">
        <v>100.0</v>
      </c>
      <c r="D346" s="9">
        <f t="array" ref="D346">xlookup(A346,'données'!E$2:E$3608,'données'!K$2:K$3608)</f>
        <v>150.6</v>
      </c>
      <c r="E346" s="5" t="b">
        <f t="shared" si="1"/>
        <v>0</v>
      </c>
    </row>
    <row r="347">
      <c r="A347" s="50" t="s">
        <v>8147</v>
      </c>
      <c r="B347" s="61">
        <v>100.0</v>
      </c>
      <c r="C347" s="61">
        <v>100.0</v>
      </c>
      <c r="D347" s="9">
        <f t="array" ref="D347">xlookup(A347,'données'!E$2:E$3608,'données'!K$2:K$3608)</f>
        <v>131.8</v>
      </c>
      <c r="E347" s="5" t="b">
        <f t="shared" si="1"/>
        <v>0</v>
      </c>
    </row>
    <row r="348">
      <c r="A348" s="50" t="s">
        <v>5208</v>
      </c>
      <c r="B348" s="61">
        <v>100.0</v>
      </c>
      <c r="C348" s="61">
        <v>100.0</v>
      </c>
      <c r="D348" s="9">
        <f t="array" ref="D348">xlookup(A348,'données'!E$2:E$3608,'données'!K$2:K$3608)</f>
        <v>133.2</v>
      </c>
      <c r="E348" s="5" t="b">
        <f t="shared" si="1"/>
        <v>0</v>
      </c>
    </row>
    <row r="349">
      <c r="A349" s="50" t="s">
        <v>1788</v>
      </c>
      <c r="B349" s="61">
        <v>97.0</v>
      </c>
      <c r="C349" s="61">
        <v>100.0</v>
      </c>
      <c r="D349" s="9">
        <f t="array" ref="D349">xlookup(A349,'données'!E$2:E$3608,'données'!K$2:K$3608)</f>
        <v>126.4</v>
      </c>
      <c r="E349" s="5" t="b">
        <f t="shared" si="1"/>
        <v>0</v>
      </c>
    </row>
    <row r="350">
      <c r="A350" s="50" t="s">
        <v>5206</v>
      </c>
      <c r="B350" s="61">
        <v>98.0</v>
      </c>
      <c r="C350" s="61">
        <v>97.0</v>
      </c>
      <c r="D350" s="9">
        <f t="array" ref="D350">xlookup(A350,'données'!E$2:E$3608,'données'!K$2:K$3608)</f>
        <v>119.3</v>
      </c>
      <c r="E350" s="5" t="b">
        <f t="shared" si="1"/>
        <v>0</v>
      </c>
    </row>
    <row r="351">
      <c r="A351" s="50" t="s">
        <v>8142</v>
      </c>
      <c r="B351" s="61">
        <v>96.0</v>
      </c>
      <c r="C351" s="61">
        <v>98.0</v>
      </c>
      <c r="D351" s="9">
        <f t="array" ref="D351">xlookup(A351,'données'!E$2:E$3608,'données'!K$2:K$3608)</f>
        <v>100.6</v>
      </c>
      <c r="E351" s="5" t="b">
        <f t="shared" si="1"/>
        <v>0</v>
      </c>
    </row>
    <row r="352">
      <c r="A352" s="50" t="s">
        <v>3616</v>
      </c>
      <c r="B352" s="61">
        <v>98.0</v>
      </c>
      <c r="C352" s="61">
        <v>99.0</v>
      </c>
      <c r="D352" s="9">
        <f t="array" ref="D352">xlookup(A352,'données'!E$2:E$3608,'données'!K$2:K$3608)</f>
        <v>115.6</v>
      </c>
      <c r="E352" s="5" t="b">
        <f t="shared" si="1"/>
        <v>0</v>
      </c>
    </row>
    <row r="353">
      <c r="A353" s="50" t="s">
        <v>8132</v>
      </c>
      <c r="B353" s="61">
        <v>100.0</v>
      </c>
      <c r="C353" s="61">
        <v>100.0</v>
      </c>
      <c r="D353" s="9">
        <f t="array" ref="D353">xlookup(A353,'données'!E$2:E$3608,'données'!K$2:K$3608)</f>
        <v>152.6</v>
      </c>
      <c r="E353" s="5" t="b">
        <f t="shared" si="1"/>
        <v>0</v>
      </c>
    </row>
    <row r="354">
      <c r="A354" s="50" t="s">
        <v>6743</v>
      </c>
      <c r="B354" s="61">
        <v>93.0</v>
      </c>
      <c r="C354" s="61">
        <v>95.0</v>
      </c>
      <c r="D354" s="9">
        <f t="array" ref="D354">xlookup(A354,'données'!E$2:E$3608,'données'!K$2:K$3608)</f>
        <v>110.4</v>
      </c>
      <c r="E354" s="5" t="b">
        <f t="shared" si="1"/>
        <v>0</v>
      </c>
    </row>
    <row r="355">
      <c r="A355" s="50" t="s">
        <v>5201</v>
      </c>
      <c r="B355" s="61">
        <v>92.0</v>
      </c>
      <c r="C355" s="61">
        <v>94.0</v>
      </c>
      <c r="D355" s="9">
        <f t="array" ref="D355">xlookup(A355,'données'!E$2:E$3608,'données'!K$2:K$3608)</f>
        <v>100.4</v>
      </c>
      <c r="E355" s="5" t="b">
        <f t="shared" si="1"/>
        <v>0</v>
      </c>
    </row>
    <row r="356">
      <c r="A356" s="50" t="s">
        <v>3613</v>
      </c>
      <c r="B356" s="61">
        <v>96.0</v>
      </c>
      <c r="C356" s="61">
        <v>99.0</v>
      </c>
      <c r="D356" s="9">
        <f t="array" ref="D356">xlookup(A356,'données'!E$2:E$3608,'données'!K$2:K$3608)</f>
        <v>114.8</v>
      </c>
      <c r="E356" s="5" t="b">
        <f t="shared" si="1"/>
        <v>0</v>
      </c>
    </row>
    <row r="357">
      <c r="A357" s="50" t="s">
        <v>3610</v>
      </c>
      <c r="B357" s="61">
        <v>97.0</v>
      </c>
      <c r="C357" s="61">
        <v>96.0</v>
      </c>
      <c r="D357" s="9">
        <f t="array" ref="D357">xlookup(A357,'données'!E$2:E$3608,'données'!K$2:K$3608)</f>
        <v>103.3</v>
      </c>
      <c r="E357" s="5" t="b">
        <f t="shared" si="1"/>
        <v>0</v>
      </c>
    </row>
    <row r="358">
      <c r="A358" s="50" t="s">
        <v>5196</v>
      </c>
      <c r="B358" s="61">
        <v>99.0</v>
      </c>
      <c r="C358" s="61">
        <v>99.0</v>
      </c>
      <c r="D358" s="9">
        <f t="array" ref="D358">xlookup(A358,'données'!E$2:E$3608,'données'!K$2:K$3608)</f>
        <v>133.8</v>
      </c>
      <c r="E358" s="5" t="b">
        <f t="shared" si="1"/>
        <v>0</v>
      </c>
    </row>
    <row r="359">
      <c r="A359" s="50" t="s">
        <v>6741</v>
      </c>
      <c r="B359" s="61">
        <v>100.0</v>
      </c>
      <c r="C359" s="61">
        <v>100.0</v>
      </c>
      <c r="D359" s="9">
        <f t="array" ref="D359">xlookup(A359,'données'!E$2:E$3608,'données'!K$2:K$3608)</f>
        <v>111.9</v>
      </c>
      <c r="E359" s="5" t="b">
        <f t="shared" si="1"/>
        <v>0</v>
      </c>
    </row>
    <row r="360">
      <c r="A360" s="50" t="s">
        <v>6740</v>
      </c>
      <c r="B360" s="61">
        <v>96.0</v>
      </c>
      <c r="C360" s="61">
        <v>95.0</v>
      </c>
      <c r="D360" s="9">
        <f t="array" ref="D360">xlookup(A360,'données'!E$2:E$3608,'données'!K$2:K$3608)</f>
        <v>105.5</v>
      </c>
      <c r="E360" s="5" t="b">
        <f t="shared" si="1"/>
        <v>0</v>
      </c>
    </row>
    <row r="361">
      <c r="A361" s="50" t="s">
        <v>1779</v>
      </c>
      <c r="B361" s="61">
        <v>99.0</v>
      </c>
      <c r="C361" s="61">
        <v>99.0</v>
      </c>
      <c r="D361" s="9">
        <f t="array" ref="D361">xlookup(A361,'données'!E$2:E$3608,'données'!K$2:K$3608)</f>
        <v>116.1</v>
      </c>
      <c r="E361" s="5" t="b">
        <f t="shared" si="1"/>
        <v>0</v>
      </c>
    </row>
    <row r="362">
      <c r="A362" s="50" t="s">
        <v>8128</v>
      </c>
      <c r="B362" s="61">
        <v>98.0</v>
      </c>
      <c r="C362" s="61">
        <v>99.0</v>
      </c>
      <c r="D362" s="9">
        <f t="array" ref="D362">xlookup(A362,'données'!E$2:E$3608,'données'!K$2:K$3608)</f>
        <v>115.6</v>
      </c>
      <c r="E362" s="5" t="b">
        <f t="shared" si="1"/>
        <v>0</v>
      </c>
    </row>
    <row r="363">
      <c r="A363" s="50" t="s">
        <v>8126</v>
      </c>
      <c r="B363" s="61">
        <v>96.0</v>
      </c>
      <c r="C363" s="61">
        <v>97.0</v>
      </c>
      <c r="D363" s="9">
        <f t="array" ref="D363">xlookup(A363,'données'!E$2:E$3608,'données'!K$2:K$3608)</f>
        <v>101.2</v>
      </c>
      <c r="E363" s="5" t="b">
        <f t="shared" si="1"/>
        <v>0</v>
      </c>
    </row>
    <row r="364">
      <c r="A364" s="50" t="s">
        <v>5194</v>
      </c>
      <c r="B364" s="61">
        <v>95.0</v>
      </c>
      <c r="C364" s="61">
        <v>95.0</v>
      </c>
      <c r="D364" s="9">
        <f t="array" ref="D364">xlookup(A364,'données'!E$2:E$3608,'données'!K$2:K$3608)</f>
        <v>103.4</v>
      </c>
      <c r="E364" s="5" t="b">
        <f t="shared" si="1"/>
        <v>0</v>
      </c>
    </row>
    <row r="365">
      <c r="A365" s="50" t="s">
        <v>8123</v>
      </c>
      <c r="B365" s="61">
        <v>100.0</v>
      </c>
      <c r="C365" s="61">
        <v>100.0</v>
      </c>
      <c r="D365" s="9">
        <f t="array" ref="D365">xlookup(A365,'données'!E$2:E$3608,'données'!K$2:K$3608)</f>
        <v>109.4</v>
      </c>
      <c r="E365" s="5" t="b">
        <f t="shared" si="1"/>
        <v>0</v>
      </c>
    </row>
    <row r="366">
      <c r="A366" s="50" t="s">
        <v>1774</v>
      </c>
      <c r="B366" s="61">
        <v>100.0</v>
      </c>
      <c r="C366" s="61">
        <v>100.0</v>
      </c>
      <c r="D366" s="9">
        <f t="array" ref="D366">xlookup(A366,'données'!E$2:E$3608,'données'!K$2:K$3608)</f>
        <v>117.2</v>
      </c>
      <c r="E366" s="5" t="b">
        <f t="shared" si="1"/>
        <v>0</v>
      </c>
    </row>
    <row r="367">
      <c r="A367" s="50" t="s">
        <v>3603</v>
      </c>
      <c r="B367" s="61">
        <v>100.0</v>
      </c>
      <c r="C367" s="61">
        <v>100.0</v>
      </c>
      <c r="D367" s="9">
        <f t="array" ref="D367">xlookup(A367,'données'!E$2:E$3608,'données'!K$2:K$3608)</f>
        <v>120.1</v>
      </c>
      <c r="E367" s="5" t="b">
        <f t="shared" si="1"/>
        <v>0</v>
      </c>
    </row>
    <row r="368">
      <c r="A368" s="50" t="s">
        <v>1770</v>
      </c>
      <c r="B368" s="61">
        <v>98.0</v>
      </c>
      <c r="C368" s="61">
        <v>98.0</v>
      </c>
      <c r="D368" s="9">
        <f t="array" ref="D368">xlookup(A368,'données'!E$2:E$3608,'données'!K$2:K$3608)</f>
        <v>103</v>
      </c>
      <c r="E368" s="5" t="b">
        <f t="shared" si="1"/>
        <v>0</v>
      </c>
    </row>
    <row r="369">
      <c r="A369" s="50" t="s">
        <v>1767</v>
      </c>
      <c r="B369" s="61">
        <v>98.0</v>
      </c>
      <c r="C369" s="61">
        <v>99.0</v>
      </c>
      <c r="D369" s="9">
        <f t="array" ref="D369">xlookup(A369,'données'!E$2:E$3608,'données'!K$2:K$3608)</f>
        <v>109.5</v>
      </c>
      <c r="E369" s="5" t="b">
        <f t="shared" si="1"/>
        <v>0</v>
      </c>
    </row>
    <row r="370">
      <c r="A370" s="50" t="s">
        <v>1764</v>
      </c>
      <c r="B370" s="61">
        <v>95.0</v>
      </c>
      <c r="C370" s="61">
        <v>96.0</v>
      </c>
      <c r="D370" s="9">
        <f t="array" ref="D370">xlookup(A370,'données'!E$2:E$3608,'données'!K$2:K$3608)</f>
        <v>103.8</v>
      </c>
      <c r="E370" s="5" t="b">
        <f t="shared" si="1"/>
        <v>0</v>
      </c>
    </row>
    <row r="371">
      <c r="A371" s="50" t="s">
        <v>5192</v>
      </c>
      <c r="B371" s="61">
        <v>99.0</v>
      </c>
      <c r="C371" s="61">
        <v>99.0</v>
      </c>
      <c r="D371" s="9">
        <f t="array" ref="D371">xlookup(A371,'données'!E$2:E$3608,'données'!K$2:K$3608)</f>
        <v>119.4</v>
      </c>
      <c r="E371" s="5" t="b">
        <f t="shared" si="1"/>
        <v>0</v>
      </c>
    </row>
    <row r="372">
      <c r="A372" s="50" t="s">
        <v>3599</v>
      </c>
      <c r="B372" s="61">
        <v>96.0</v>
      </c>
      <c r="C372" s="61">
        <v>97.0</v>
      </c>
      <c r="D372" s="9">
        <f t="array" ref="D372">xlookup(A372,'données'!E$2:E$3608,'données'!K$2:K$3608)</f>
        <v>111.8</v>
      </c>
      <c r="E372" s="5" t="b">
        <f t="shared" si="1"/>
        <v>0</v>
      </c>
    </row>
    <row r="373">
      <c r="A373" s="50" t="s">
        <v>3597</v>
      </c>
      <c r="B373" s="61">
        <v>99.0</v>
      </c>
      <c r="C373" s="61">
        <v>99.0</v>
      </c>
      <c r="D373" s="9">
        <f t="array" ref="D373">xlookup(A373,'données'!E$2:E$3608,'données'!K$2:K$3608)</f>
        <v>114.4</v>
      </c>
      <c r="E373" s="5" t="b">
        <f t="shared" si="1"/>
        <v>0</v>
      </c>
    </row>
    <row r="374">
      <c r="A374" s="50" t="s">
        <v>3595</v>
      </c>
      <c r="B374" s="61">
        <v>100.0</v>
      </c>
      <c r="C374" s="61">
        <v>100.0</v>
      </c>
      <c r="D374" s="9">
        <f t="array" ref="D374">xlookup(A374,'données'!E$2:E$3608,'données'!K$2:K$3608)</f>
        <v>124.3</v>
      </c>
      <c r="E374" s="5" t="b">
        <f t="shared" si="1"/>
        <v>0</v>
      </c>
    </row>
    <row r="375">
      <c r="A375" s="50" t="s">
        <v>3592</v>
      </c>
      <c r="B375" s="61">
        <v>100.0</v>
      </c>
      <c r="C375" s="61">
        <v>100.0</v>
      </c>
      <c r="D375" s="9">
        <f t="array" ref="D375">xlookup(A375,'données'!E$2:E$3608,'données'!K$2:K$3608)</f>
        <v>115.3</v>
      </c>
      <c r="E375" s="5" t="b">
        <f t="shared" si="1"/>
        <v>0</v>
      </c>
    </row>
    <row r="376">
      <c r="A376" s="50" t="s">
        <v>5187</v>
      </c>
      <c r="B376" s="61">
        <v>100.0</v>
      </c>
      <c r="C376" s="61">
        <v>100.0</v>
      </c>
      <c r="D376" s="9">
        <f t="array" ref="D376">xlookup(A376,'données'!E$2:E$3608,'données'!K$2:K$3608)</f>
        <v>109.5</v>
      </c>
      <c r="E376" s="5" t="b">
        <f t="shared" si="1"/>
        <v>0</v>
      </c>
    </row>
    <row r="377">
      <c r="A377" s="50" t="s">
        <v>8115</v>
      </c>
      <c r="B377" s="61">
        <v>96.0</v>
      </c>
      <c r="C377" s="61">
        <v>99.0</v>
      </c>
      <c r="D377" s="9">
        <f t="array" ref="D377">xlookup(A377,'données'!E$2:E$3608,'données'!K$2:K$3608)</f>
        <v>101.8</v>
      </c>
      <c r="E377" s="5" t="b">
        <f t="shared" si="1"/>
        <v>0</v>
      </c>
    </row>
    <row r="378">
      <c r="A378" s="50" t="s">
        <v>1749</v>
      </c>
      <c r="B378" s="61">
        <v>95.0</v>
      </c>
      <c r="C378" s="61">
        <v>96.0</v>
      </c>
      <c r="D378" s="9">
        <f t="array" ref="D378">xlookup(A378,'données'!E$2:E$3608,'données'!K$2:K$3608)</f>
        <v>104.4</v>
      </c>
      <c r="E378" s="5" t="b">
        <f t="shared" si="1"/>
        <v>0</v>
      </c>
    </row>
    <row r="379">
      <c r="A379" s="50" t="s">
        <v>5184</v>
      </c>
      <c r="B379" s="61">
        <v>95.0</v>
      </c>
      <c r="C379" s="61">
        <v>95.0</v>
      </c>
      <c r="D379" s="9">
        <f t="array" ref="D379">xlookup(A379,'données'!E$2:E$3608,'données'!K$2:K$3608)</f>
        <v>111.5</v>
      </c>
      <c r="E379" s="5" t="b">
        <f t="shared" si="1"/>
        <v>0</v>
      </c>
    </row>
    <row r="380">
      <c r="A380" s="50" t="s">
        <v>6734</v>
      </c>
      <c r="B380" s="61">
        <v>97.0</v>
      </c>
      <c r="C380" s="61">
        <v>97.0</v>
      </c>
      <c r="D380" s="9">
        <f t="array" ref="D380">xlookup(A380,'données'!E$2:E$3608,'données'!K$2:K$3608)</f>
        <v>123.1</v>
      </c>
      <c r="E380" s="5" t="b">
        <f t="shared" si="1"/>
        <v>0</v>
      </c>
    </row>
    <row r="381">
      <c r="A381" s="50" t="s">
        <v>1746</v>
      </c>
      <c r="B381" s="61">
        <v>98.0</v>
      </c>
      <c r="C381" s="61">
        <v>96.0</v>
      </c>
      <c r="D381" s="9">
        <f t="array" ref="D381">xlookup(A381,'données'!E$2:E$3608,'données'!K$2:K$3608)</f>
        <v>114.5</v>
      </c>
      <c r="E381" s="5" t="b">
        <f t="shared" si="1"/>
        <v>0</v>
      </c>
    </row>
    <row r="382">
      <c r="A382" s="50" t="s">
        <v>5182</v>
      </c>
      <c r="B382" s="61">
        <v>99.0</v>
      </c>
      <c r="C382" s="61">
        <v>99.0</v>
      </c>
      <c r="D382" s="9">
        <f t="array" ref="D382">xlookup(A382,'données'!E$2:E$3608,'données'!K$2:K$3608)</f>
        <v>116.7</v>
      </c>
      <c r="E382" s="5" t="b">
        <f t="shared" si="1"/>
        <v>0</v>
      </c>
    </row>
    <row r="383">
      <c r="A383" s="50" t="s">
        <v>6730</v>
      </c>
      <c r="B383" s="61">
        <v>95.0</v>
      </c>
      <c r="C383" s="61">
        <v>96.0</v>
      </c>
      <c r="D383" s="9">
        <f t="array" ref="D383">xlookup(A383,'données'!E$2:E$3608,'données'!K$2:K$3608)</f>
        <v>102.6</v>
      </c>
      <c r="E383" s="5" t="b">
        <f t="shared" si="1"/>
        <v>0</v>
      </c>
    </row>
    <row r="384">
      <c r="A384" s="50" t="s">
        <v>6728</v>
      </c>
      <c r="B384" s="61">
        <v>98.0</v>
      </c>
      <c r="C384" s="61">
        <v>98.0</v>
      </c>
      <c r="D384" s="9">
        <f t="array" ref="D384">xlookup(A384,'données'!E$2:E$3608,'données'!K$2:K$3608)</f>
        <v>105.5</v>
      </c>
      <c r="E384" s="5" t="b">
        <f t="shared" si="1"/>
        <v>0</v>
      </c>
    </row>
    <row r="385">
      <c r="A385" s="50" t="s">
        <v>6723</v>
      </c>
      <c r="B385" s="61">
        <v>99.0</v>
      </c>
      <c r="C385" s="61">
        <v>99.0</v>
      </c>
      <c r="D385" s="9">
        <f t="array" ref="D385">xlookup(A385,'données'!E$2:E$3608,'données'!K$2:K$3608)</f>
        <v>134.3</v>
      </c>
      <c r="E385" s="5" t="b">
        <f t="shared" si="1"/>
        <v>0</v>
      </c>
    </row>
    <row r="386">
      <c r="A386" s="50" t="s">
        <v>5180</v>
      </c>
      <c r="B386" s="61">
        <v>94.0</v>
      </c>
      <c r="C386" s="61">
        <v>95.0</v>
      </c>
      <c r="D386" s="9">
        <f t="array" ref="D386">xlookup(A386,'données'!E$2:E$3608,'données'!K$2:K$3608)</f>
        <v>109</v>
      </c>
      <c r="E386" s="5" t="b">
        <f t="shared" si="1"/>
        <v>0</v>
      </c>
    </row>
    <row r="387">
      <c r="A387" s="50" t="s">
        <v>6719</v>
      </c>
      <c r="B387" s="61">
        <v>100.0</v>
      </c>
      <c r="C387" s="61">
        <v>100.0</v>
      </c>
      <c r="D387" s="9">
        <f t="array" ref="D387">xlookup(A387,'données'!E$2:E$3608,'données'!K$2:K$3608)</f>
        <v>129.6</v>
      </c>
      <c r="E387" s="5" t="b">
        <f t="shared" si="1"/>
        <v>0</v>
      </c>
    </row>
    <row r="388">
      <c r="A388" s="50" t="s">
        <v>8109</v>
      </c>
      <c r="B388" s="61">
        <v>94.0</v>
      </c>
      <c r="C388" s="61">
        <v>98.0</v>
      </c>
      <c r="D388" s="9">
        <f t="array" ref="D388">xlookup(A388,'données'!E$2:E$3608,'données'!K$2:K$3608)</f>
        <v>124.2</v>
      </c>
      <c r="E388" s="5" t="b">
        <f t="shared" si="1"/>
        <v>0</v>
      </c>
    </row>
    <row r="389">
      <c r="A389" s="50" t="s">
        <v>5177</v>
      </c>
      <c r="B389" s="61">
        <v>99.0</v>
      </c>
      <c r="C389" s="61">
        <v>100.0</v>
      </c>
      <c r="D389" s="9">
        <f t="array" ref="D389">xlookup(A389,'données'!E$2:E$3608,'données'!K$2:K$3608)</f>
        <v>109.7</v>
      </c>
      <c r="E389" s="5" t="b">
        <f t="shared" si="1"/>
        <v>0</v>
      </c>
    </row>
    <row r="390">
      <c r="A390" s="50" t="s">
        <v>6712</v>
      </c>
      <c r="B390" s="61">
        <v>98.0</v>
      </c>
      <c r="C390" s="61">
        <v>98.0</v>
      </c>
      <c r="D390" s="9">
        <f t="array" ref="D390">xlookup(A390,'données'!E$2:E$3608,'données'!K$2:K$3608)</f>
        <v>117.1</v>
      </c>
      <c r="E390" s="5" t="b">
        <f t="shared" si="1"/>
        <v>0</v>
      </c>
    </row>
    <row r="391">
      <c r="A391" s="50" t="s">
        <v>6710</v>
      </c>
      <c r="B391" s="61">
        <v>94.0</v>
      </c>
      <c r="C391" s="61">
        <v>95.0</v>
      </c>
      <c r="D391" s="9">
        <f t="array" ref="D391">xlookup(A391,'données'!E$2:E$3608,'données'!K$2:K$3608)</f>
        <v>112.3</v>
      </c>
      <c r="E391" s="5" t="b">
        <f t="shared" si="1"/>
        <v>0</v>
      </c>
    </row>
    <row r="392">
      <c r="A392" s="50" t="s">
        <v>8107</v>
      </c>
      <c r="B392" s="61">
        <v>94.0</v>
      </c>
      <c r="C392" s="61">
        <v>91.0</v>
      </c>
      <c r="D392" s="9">
        <f t="array" ref="D392">xlookup(A392,'données'!E$2:E$3608,'données'!K$2:K$3608)</f>
        <v>94.6</v>
      </c>
      <c r="E392" s="5" t="b">
        <f t="shared" si="1"/>
        <v>0</v>
      </c>
    </row>
    <row r="393">
      <c r="A393" s="50" t="s">
        <v>8106</v>
      </c>
      <c r="B393" s="61">
        <v>97.0</v>
      </c>
      <c r="C393" s="61">
        <v>99.0</v>
      </c>
      <c r="D393" s="9">
        <f t="array" ref="D393">xlookup(A393,'données'!E$2:E$3608,'données'!K$2:K$3608)</f>
        <v>113.2</v>
      </c>
      <c r="E393" s="5" t="b">
        <f t="shared" si="1"/>
        <v>0</v>
      </c>
    </row>
    <row r="394">
      <c r="A394" s="50" t="s">
        <v>6708</v>
      </c>
      <c r="B394" s="61">
        <v>97.0</v>
      </c>
      <c r="C394" s="61">
        <v>97.0</v>
      </c>
      <c r="D394" s="9">
        <f t="array" ref="D394">xlookup(A394,'données'!E$2:E$3608,'données'!K$2:K$3608)</f>
        <v>125.9</v>
      </c>
      <c r="E394" s="5" t="b">
        <f t="shared" si="1"/>
        <v>0</v>
      </c>
    </row>
    <row r="395">
      <c r="A395" s="50" t="s">
        <v>3584</v>
      </c>
      <c r="B395" s="61">
        <v>98.0</v>
      </c>
      <c r="C395" s="61">
        <v>98.0</v>
      </c>
      <c r="D395" s="9">
        <f t="array" ref="D395">xlookup(A395,'données'!E$2:E$3608,'données'!K$2:K$3608)</f>
        <v>117.4</v>
      </c>
      <c r="E395" s="5" t="b">
        <f t="shared" si="1"/>
        <v>0</v>
      </c>
    </row>
    <row r="396">
      <c r="A396" s="50" t="s">
        <v>6705</v>
      </c>
      <c r="B396" s="61">
        <v>95.0</v>
      </c>
      <c r="C396" s="61">
        <v>95.0</v>
      </c>
      <c r="D396" s="9">
        <f t="array" ref="D396">xlookup(A396,'données'!E$2:E$3608,'données'!K$2:K$3608)</f>
        <v>103.9</v>
      </c>
      <c r="E396" s="5" t="b">
        <f t="shared" si="1"/>
        <v>0</v>
      </c>
    </row>
    <row r="397">
      <c r="A397" s="50" t="s">
        <v>1734</v>
      </c>
      <c r="B397" s="61">
        <v>82.0</v>
      </c>
      <c r="C397" s="50"/>
      <c r="D397" s="9">
        <f t="array" ref="D397">xlookup(A397,'données'!E$2:E$3608,'données'!K$2:K$3608)</f>
        <v>107.8</v>
      </c>
      <c r="E397" s="5" t="b">
        <f t="shared" si="1"/>
        <v>0</v>
      </c>
    </row>
    <row r="398">
      <c r="A398" s="50" t="s">
        <v>8099</v>
      </c>
      <c r="B398" s="61">
        <v>97.0</v>
      </c>
      <c r="C398" s="61">
        <v>99.0</v>
      </c>
      <c r="D398" s="9">
        <f t="array" ref="D398">xlookup(A398,'données'!E$2:E$3608,'données'!K$2:K$3608)</f>
        <v>125.6</v>
      </c>
      <c r="E398" s="5" t="b">
        <f t="shared" si="1"/>
        <v>0</v>
      </c>
    </row>
    <row r="399">
      <c r="A399" s="50" t="s">
        <v>5174</v>
      </c>
      <c r="B399" s="61">
        <v>99.0</v>
      </c>
      <c r="C399" s="61">
        <v>99.0</v>
      </c>
      <c r="D399" s="9">
        <f t="array" ref="D399">xlookup(A399,'données'!E$2:E$3608,'données'!K$2:K$3608)</f>
        <v>127</v>
      </c>
      <c r="E399" s="5" t="b">
        <f t="shared" si="1"/>
        <v>0</v>
      </c>
    </row>
    <row r="400">
      <c r="A400" s="50" t="s">
        <v>5172</v>
      </c>
      <c r="B400" s="61">
        <v>100.0</v>
      </c>
      <c r="C400" s="61">
        <v>100.0</v>
      </c>
      <c r="D400" s="9">
        <f t="array" ref="D400">xlookup(A400,'données'!E$2:E$3608,'données'!K$2:K$3608)</f>
        <v>137.9</v>
      </c>
      <c r="E400" s="5" t="b">
        <f t="shared" si="1"/>
        <v>0</v>
      </c>
    </row>
    <row r="401">
      <c r="A401" s="50" t="s">
        <v>8093</v>
      </c>
      <c r="B401" s="61">
        <v>97.0</v>
      </c>
      <c r="C401" s="50"/>
      <c r="D401" s="9">
        <f t="array" ref="D401">xlookup(A401,'données'!E$2:E$3608,'données'!K$2:K$3608)</f>
        <v>106.9</v>
      </c>
      <c r="E401" s="5" t="b">
        <f t="shared" si="1"/>
        <v>0</v>
      </c>
    </row>
    <row r="402">
      <c r="A402" s="50" t="s">
        <v>6703</v>
      </c>
      <c r="B402" s="61">
        <v>100.0</v>
      </c>
      <c r="C402" s="61">
        <v>100.0</v>
      </c>
      <c r="D402" s="9">
        <f t="array" ref="D402">xlookup(A402,'données'!E$2:E$3608,'données'!K$2:K$3608)</f>
        <v>124.8</v>
      </c>
      <c r="E402" s="5" t="b">
        <f t="shared" si="1"/>
        <v>0</v>
      </c>
    </row>
    <row r="403">
      <c r="A403" s="50" t="s">
        <v>3579</v>
      </c>
      <c r="B403" s="61">
        <v>92.0</v>
      </c>
      <c r="C403" s="61">
        <v>96.0</v>
      </c>
      <c r="D403" s="9">
        <f t="array" ref="D403">xlookup(A403,'données'!E$2:E$3608,'données'!K$2:K$3608)</f>
        <v>103</v>
      </c>
      <c r="E403" s="5" t="b">
        <f t="shared" si="1"/>
        <v>0</v>
      </c>
    </row>
    <row r="404">
      <c r="A404" s="50" t="s">
        <v>3578</v>
      </c>
      <c r="B404" s="61">
        <v>94.0</v>
      </c>
      <c r="C404" s="61">
        <v>99.0</v>
      </c>
      <c r="D404" s="9">
        <f t="array" ref="D404">xlookup(A404,'données'!E$2:E$3608,'données'!K$2:K$3608)</f>
        <v>116.1</v>
      </c>
      <c r="E404" s="5" t="b">
        <f t="shared" si="1"/>
        <v>0</v>
      </c>
    </row>
    <row r="405">
      <c r="A405" s="50" t="s">
        <v>5168</v>
      </c>
      <c r="B405" s="61">
        <v>96.0</v>
      </c>
      <c r="C405" s="61">
        <v>97.0</v>
      </c>
      <c r="D405" s="9">
        <f t="array" ref="D405">xlookup(A405,'données'!E$2:E$3608,'données'!K$2:K$3608)</f>
        <v>123.9</v>
      </c>
      <c r="E405" s="5" t="b">
        <f t="shared" si="1"/>
        <v>0</v>
      </c>
    </row>
    <row r="406">
      <c r="A406" s="50" t="s">
        <v>1732</v>
      </c>
      <c r="B406" s="61">
        <v>96.0</v>
      </c>
      <c r="C406" s="61">
        <v>98.0</v>
      </c>
      <c r="D406" s="9">
        <f t="array" ref="D406">xlookup(A406,'données'!E$2:E$3608,'données'!K$2:K$3608)</f>
        <v>121.6</v>
      </c>
      <c r="E406" s="5" t="b">
        <f t="shared" si="1"/>
        <v>0</v>
      </c>
    </row>
    <row r="407">
      <c r="A407" s="50" t="s">
        <v>1730</v>
      </c>
      <c r="B407" s="61">
        <v>94.0</v>
      </c>
      <c r="C407" s="61">
        <v>96.0</v>
      </c>
      <c r="D407" s="9">
        <f t="array" ref="D407">xlookup(A407,'données'!E$2:E$3608,'données'!K$2:K$3608)</f>
        <v>110.3</v>
      </c>
      <c r="E407" s="5" t="b">
        <f t="shared" si="1"/>
        <v>0</v>
      </c>
    </row>
    <row r="408">
      <c r="A408" s="50" t="s">
        <v>5166</v>
      </c>
      <c r="B408" s="61">
        <v>98.0</v>
      </c>
      <c r="C408" s="61">
        <v>99.0</v>
      </c>
      <c r="D408" s="9">
        <f t="array" ref="D408">xlookup(A408,'données'!E$2:E$3608,'données'!K$2:K$3608)</f>
        <v>104.4</v>
      </c>
      <c r="E408" s="5" t="b">
        <f t="shared" si="1"/>
        <v>0</v>
      </c>
    </row>
    <row r="409">
      <c r="A409" s="50" t="s">
        <v>3573</v>
      </c>
      <c r="B409" s="61">
        <v>98.0</v>
      </c>
      <c r="C409" s="61">
        <v>97.0</v>
      </c>
      <c r="D409" s="9">
        <f t="array" ref="D409">xlookup(A409,'données'!E$2:E$3608,'données'!K$2:K$3608)</f>
        <v>109.3</v>
      </c>
      <c r="E409" s="5" t="b">
        <f t="shared" si="1"/>
        <v>0</v>
      </c>
    </row>
    <row r="410">
      <c r="A410" s="50" t="s">
        <v>5162</v>
      </c>
      <c r="B410" s="61">
        <v>99.0</v>
      </c>
      <c r="C410" s="61">
        <v>99.0</v>
      </c>
      <c r="D410" s="9">
        <f t="array" ref="D410">xlookup(A410,'données'!E$2:E$3608,'données'!K$2:K$3608)</f>
        <v>103.3</v>
      </c>
      <c r="E410" s="5" t="b">
        <f t="shared" si="1"/>
        <v>0</v>
      </c>
    </row>
    <row r="411">
      <c r="A411" s="50" t="s">
        <v>8090</v>
      </c>
      <c r="B411" s="61">
        <v>98.0</v>
      </c>
      <c r="C411" s="61">
        <v>98.0</v>
      </c>
      <c r="D411" s="9">
        <f t="array" ref="D411">xlookup(A411,'données'!E$2:E$3608,'données'!K$2:K$3608)</f>
        <v>114</v>
      </c>
      <c r="E411" s="5" t="b">
        <f t="shared" si="1"/>
        <v>0</v>
      </c>
    </row>
    <row r="412">
      <c r="A412" s="50" t="s">
        <v>1726</v>
      </c>
      <c r="B412" s="61">
        <v>99.0</v>
      </c>
      <c r="C412" s="61">
        <v>99.0</v>
      </c>
      <c r="D412" s="9">
        <f t="array" ref="D412">xlookup(A412,'données'!E$2:E$3608,'données'!K$2:K$3608)</f>
        <v>126</v>
      </c>
      <c r="E412" s="5" t="b">
        <f t="shared" si="1"/>
        <v>0</v>
      </c>
    </row>
    <row r="413">
      <c r="A413" s="50" t="s">
        <v>3571</v>
      </c>
      <c r="B413" s="61">
        <v>98.0</v>
      </c>
      <c r="C413" s="61">
        <v>98.0</v>
      </c>
      <c r="D413" s="9">
        <f t="array" ref="D413">xlookup(A413,'données'!E$2:E$3608,'données'!K$2:K$3608)</f>
        <v>117.1</v>
      </c>
      <c r="E413" s="5" t="b">
        <f t="shared" si="1"/>
        <v>0</v>
      </c>
    </row>
    <row r="414">
      <c r="A414" s="50" t="s">
        <v>5157</v>
      </c>
      <c r="B414" s="61">
        <v>97.0</v>
      </c>
      <c r="C414" s="61">
        <v>97.0</v>
      </c>
      <c r="D414" s="9">
        <f t="array" ref="D414">xlookup(A414,'données'!E$2:E$3608,'données'!K$2:K$3608)</f>
        <v>103.4</v>
      </c>
      <c r="E414" s="5" t="b">
        <f t="shared" si="1"/>
        <v>0</v>
      </c>
    </row>
    <row r="415">
      <c r="A415" s="50" t="s">
        <v>3568</v>
      </c>
      <c r="B415" s="61">
        <v>100.0</v>
      </c>
      <c r="C415" s="61">
        <v>100.0</v>
      </c>
      <c r="D415" s="9">
        <f t="array" ref="D415">xlookup(A415,'données'!E$2:E$3608,'données'!K$2:K$3608)</f>
        <v>119.4</v>
      </c>
      <c r="E415" s="5" t="b">
        <f t="shared" si="1"/>
        <v>0</v>
      </c>
    </row>
    <row r="416">
      <c r="A416" s="50" t="s">
        <v>8084</v>
      </c>
      <c r="B416" s="61">
        <v>94.0</v>
      </c>
      <c r="C416" s="61">
        <v>95.0</v>
      </c>
      <c r="D416" s="9">
        <f t="array" ref="D416">xlookup(A416,'données'!E$2:E$3608,'données'!K$2:K$3608)</f>
        <v>109.6</v>
      </c>
      <c r="E416" s="5" t="b">
        <f t="shared" si="1"/>
        <v>0</v>
      </c>
    </row>
    <row r="417">
      <c r="A417" s="50" t="s">
        <v>3565</v>
      </c>
      <c r="B417" s="61">
        <v>99.0</v>
      </c>
      <c r="C417" s="61">
        <v>99.0</v>
      </c>
      <c r="D417" s="9">
        <f t="array" ref="D417">xlookup(A417,'données'!E$2:E$3608,'données'!K$2:K$3608)</f>
        <v>110</v>
      </c>
      <c r="E417" s="5" t="b">
        <f t="shared" si="1"/>
        <v>0</v>
      </c>
    </row>
    <row r="418">
      <c r="A418" s="50" t="s">
        <v>5153</v>
      </c>
      <c r="B418" s="61">
        <v>100.0</v>
      </c>
      <c r="C418" s="61">
        <v>100.0</v>
      </c>
      <c r="D418" s="9">
        <f t="array" ref="D418">xlookup(A418,'données'!E$2:E$3608,'données'!K$2:K$3608)</f>
        <v>110</v>
      </c>
      <c r="E418" s="5" t="b">
        <f t="shared" si="1"/>
        <v>0</v>
      </c>
    </row>
    <row r="419">
      <c r="A419" s="50" t="s">
        <v>5151</v>
      </c>
      <c r="B419" s="61">
        <v>98.0</v>
      </c>
      <c r="C419" s="61">
        <v>99.0</v>
      </c>
      <c r="D419" s="9">
        <f t="array" ref="D419">xlookup(A419,'données'!E$2:E$3608,'données'!K$2:K$3608)</f>
        <v>114.8</v>
      </c>
      <c r="E419" s="5" t="b">
        <f t="shared" si="1"/>
        <v>0</v>
      </c>
    </row>
    <row r="420">
      <c r="A420" s="50" t="s">
        <v>5149</v>
      </c>
      <c r="B420" s="61">
        <v>99.0</v>
      </c>
      <c r="C420" s="61">
        <v>100.0</v>
      </c>
      <c r="D420" s="9">
        <f t="array" ref="D420">xlookup(A420,'données'!E$2:E$3608,'données'!K$2:K$3608)</f>
        <v>111.1</v>
      </c>
      <c r="E420" s="5" t="b">
        <f t="shared" si="1"/>
        <v>0</v>
      </c>
    </row>
    <row r="421">
      <c r="A421" s="50" t="s">
        <v>8082</v>
      </c>
      <c r="B421" s="61">
        <v>100.0</v>
      </c>
      <c r="C421" s="61">
        <v>100.0</v>
      </c>
      <c r="D421" s="9">
        <f t="array" ref="D421">xlookup(A421,'données'!E$2:E$3608,'données'!K$2:K$3608)</f>
        <v>120.6</v>
      </c>
      <c r="E421" s="5" t="b">
        <f t="shared" si="1"/>
        <v>0</v>
      </c>
    </row>
    <row r="422">
      <c r="A422" s="50" t="s">
        <v>1723</v>
      </c>
      <c r="B422" s="61">
        <v>100.0</v>
      </c>
      <c r="C422" s="61">
        <v>100.0</v>
      </c>
      <c r="D422" s="9">
        <f t="array" ref="D422">xlookup(A422,'données'!E$2:E$3608,'données'!K$2:K$3608)</f>
        <v>118.7</v>
      </c>
      <c r="E422" s="5" t="b">
        <f t="shared" si="1"/>
        <v>0</v>
      </c>
    </row>
    <row r="423">
      <c r="A423" s="50" t="s">
        <v>6698</v>
      </c>
      <c r="B423" s="61">
        <v>100.0</v>
      </c>
      <c r="C423" s="61">
        <v>100.0</v>
      </c>
      <c r="D423" s="9">
        <f t="array" ref="D423">xlookup(A423,'données'!E$2:E$3608,'données'!K$2:K$3608)</f>
        <v>119.9</v>
      </c>
      <c r="E423" s="5" t="b">
        <f t="shared" si="1"/>
        <v>0</v>
      </c>
    </row>
    <row r="424">
      <c r="A424" s="50" t="s">
        <v>1720</v>
      </c>
      <c r="B424" s="61">
        <v>100.0</v>
      </c>
      <c r="C424" s="61">
        <v>100.0</v>
      </c>
      <c r="D424" s="9">
        <f t="array" ref="D424">xlookup(A424,'données'!E$2:E$3608,'données'!K$2:K$3608)</f>
        <v>103</v>
      </c>
      <c r="E424" s="5" t="b">
        <f t="shared" si="1"/>
        <v>0</v>
      </c>
    </row>
    <row r="425">
      <c r="A425" s="50" t="s">
        <v>1718</v>
      </c>
      <c r="B425" s="61">
        <v>99.0</v>
      </c>
      <c r="C425" s="61">
        <v>99.0</v>
      </c>
      <c r="D425" s="9">
        <f t="array" ref="D425">xlookup(A425,'données'!E$2:E$3608,'données'!K$2:K$3608)</f>
        <v>110.3</v>
      </c>
      <c r="E425" s="5" t="b">
        <f t="shared" si="1"/>
        <v>0</v>
      </c>
    </row>
    <row r="426">
      <c r="A426" s="50" t="s">
        <v>1715</v>
      </c>
      <c r="B426" s="61">
        <v>100.0</v>
      </c>
      <c r="C426" s="61">
        <v>99.0</v>
      </c>
      <c r="D426" s="9">
        <f t="array" ref="D426">xlookup(A426,'données'!E$2:E$3608,'données'!K$2:K$3608)</f>
        <v>115.8</v>
      </c>
      <c r="E426" s="5" t="b">
        <f t="shared" si="1"/>
        <v>0</v>
      </c>
    </row>
    <row r="427">
      <c r="A427" s="50" t="s">
        <v>6697</v>
      </c>
      <c r="B427" s="61">
        <v>98.0</v>
      </c>
      <c r="C427" s="61">
        <v>100.0</v>
      </c>
      <c r="D427" s="9">
        <f t="array" ref="D427">xlookup(A427,'données'!E$2:E$3608,'données'!K$2:K$3608)</f>
        <v>108.6</v>
      </c>
      <c r="E427" s="5" t="b">
        <f t="shared" si="1"/>
        <v>0</v>
      </c>
    </row>
    <row r="428">
      <c r="A428" s="50" t="s">
        <v>3560</v>
      </c>
      <c r="B428" s="61">
        <v>97.0</v>
      </c>
      <c r="C428" s="61">
        <v>98.0</v>
      </c>
      <c r="D428" s="9">
        <f t="array" ref="D428">xlookup(A428,'données'!E$2:E$3608,'données'!K$2:K$3608)</f>
        <v>113.1</v>
      </c>
      <c r="E428" s="5" t="b">
        <f t="shared" si="1"/>
        <v>0</v>
      </c>
    </row>
    <row r="429">
      <c r="A429" s="50" t="s">
        <v>6695</v>
      </c>
      <c r="B429" s="61">
        <v>95.0</v>
      </c>
      <c r="C429" s="61">
        <v>95.0</v>
      </c>
      <c r="D429" s="9">
        <f t="array" ref="D429">xlookup(A429,'données'!E$2:E$3608,'données'!K$2:K$3608)</f>
        <v>114.5</v>
      </c>
      <c r="E429" s="5" t="b">
        <f t="shared" si="1"/>
        <v>0</v>
      </c>
    </row>
    <row r="430">
      <c r="A430" s="50" t="s">
        <v>5145</v>
      </c>
      <c r="B430" s="61">
        <v>95.0</v>
      </c>
      <c r="C430" s="61">
        <v>99.0</v>
      </c>
      <c r="D430" s="9">
        <f t="array" ref="D430">xlookup(A430,'données'!E$2:E$3608,'données'!K$2:K$3608)</f>
        <v>109.2</v>
      </c>
      <c r="E430" s="5" t="b">
        <f t="shared" si="1"/>
        <v>0</v>
      </c>
    </row>
    <row r="431">
      <c r="A431" s="50" t="s">
        <v>1709</v>
      </c>
      <c r="B431" s="61">
        <v>99.0</v>
      </c>
      <c r="C431" s="61">
        <v>99.0</v>
      </c>
      <c r="D431" s="9">
        <f t="array" ref="D431">xlookup(A431,'données'!E$2:E$3608,'données'!K$2:K$3608)</f>
        <v>103.3</v>
      </c>
      <c r="E431" s="5" t="b">
        <f t="shared" si="1"/>
        <v>0</v>
      </c>
    </row>
    <row r="432">
      <c r="A432" s="50" t="s">
        <v>3557</v>
      </c>
      <c r="B432" s="61">
        <v>93.0</v>
      </c>
      <c r="C432" s="61">
        <v>97.0</v>
      </c>
      <c r="D432" s="9">
        <f t="array" ref="D432">xlookup(A432,'données'!E$2:E$3608,'données'!K$2:K$3608)</f>
        <v>96.7</v>
      </c>
      <c r="E432" s="5" t="b">
        <f t="shared" si="1"/>
        <v>0</v>
      </c>
    </row>
    <row r="433">
      <c r="A433" s="50" t="s">
        <v>6692</v>
      </c>
      <c r="B433" s="61">
        <v>100.0</v>
      </c>
      <c r="C433" s="61">
        <v>100.0</v>
      </c>
      <c r="D433" s="9">
        <f t="array" ref="D433">xlookup(A433,'données'!E$2:E$3608,'données'!K$2:K$3608)</f>
        <v>101.8</v>
      </c>
      <c r="E433" s="5" t="b">
        <f t="shared" si="1"/>
        <v>0</v>
      </c>
    </row>
    <row r="434">
      <c r="A434" s="50" t="s">
        <v>3554</v>
      </c>
      <c r="B434" s="61">
        <v>98.0</v>
      </c>
      <c r="C434" s="61">
        <v>98.0</v>
      </c>
      <c r="D434" s="9">
        <f t="array" ref="D434">xlookup(A434,'données'!E$2:E$3608,'données'!K$2:K$3608)</f>
        <v>113.9</v>
      </c>
      <c r="E434" s="5" t="b">
        <f t="shared" si="1"/>
        <v>0</v>
      </c>
    </row>
    <row r="435">
      <c r="A435" s="50" t="s">
        <v>6689</v>
      </c>
      <c r="B435" s="61">
        <v>97.0</v>
      </c>
      <c r="C435" s="61">
        <v>99.0</v>
      </c>
      <c r="D435" s="9">
        <f t="array" ref="D435">xlookup(A435,'données'!E$2:E$3608,'données'!K$2:K$3608)</f>
        <v>105</v>
      </c>
      <c r="E435" s="5" t="b">
        <f t="shared" si="1"/>
        <v>0</v>
      </c>
    </row>
    <row r="436">
      <c r="A436" s="50" t="s">
        <v>5143</v>
      </c>
      <c r="B436" s="61">
        <v>96.0</v>
      </c>
      <c r="C436" s="50"/>
      <c r="D436" s="9">
        <f t="array" ref="D436">xlookup(A436,'données'!E$2:E$3608,'données'!K$2:K$3608)</f>
        <v>122.1</v>
      </c>
      <c r="E436" s="5" t="b">
        <f t="shared" si="1"/>
        <v>0</v>
      </c>
    </row>
    <row r="437">
      <c r="A437" s="50" t="s">
        <v>8079</v>
      </c>
      <c r="B437" s="61">
        <v>95.0</v>
      </c>
      <c r="C437" s="61">
        <v>95.0</v>
      </c>
      <c r="D437" s="9">
        <f t="array" ref="D437">xlookup(A437,'données'!E$2:E$3608,'données'!K$2:K$3608)</f>
        <v>98.7</v>
      </c>
      <c r="E437" s="5" t="b">
        <f t="shared" si="1"/>
        <v>0</v>
      </c>
    </row>
    <row r="438">
      <c r="A438" s="50" t="s">
        <v>3551</v>
      </c>
      <c r="B438" s="61">
        <v>98.0</v>
      </c>
      <c r="C438" s="61">
        <v>98.0</v>
      </c>
      <c r="D438" s="9">
        <f t="array" ref="D438">xlookup(A438,'données'!E$2:E$3608,'données'!K$2:K$3608)</f>
        <v>123.4</v>
      </c>
      <c r="E438" s="5" t="b">
        <f t="shared" si="1"/>
        <v>0</v>
      </c>
    </row>
    <row r="439">
      <c r="A439" s="50" t="s">
        <v>6681</v>
      </c>
      <c r="B439" s="61">
        <v>100.0</v>
      </c>
      <c r="C439" s="61">
        <v>100.0</v>
      </c>
      <c r="D439" s="9">
        <f t="array" ref="D439">xlookup(A439,'données'!E$2:E$3608,'données'!K$2:K$3608)</f>
        <v>123</v>
      </c>
      <c r="E439" s="5" t="b">
        <f t="shared" si="1"/>
        <v>0</v>
      </c>
    </row>
    <row r="440">
      <c r="A440" s="50" t="s">
        <v>3549</v>
      </c>
      <c r="B440" s="61">
        <v>99.0</v>
      </c>
      <c r="C440" s="61">
        <v>99.0</v>
      </c>
      <c r="D440" s="9">
        <f t="array" ref="D440">xlookup(A440,'données'!E$2:E$3608,'données'!K$2:K$3608)</f>
        <v>120.4</v>
      </c>
      <c r="E440" s="5" t="b">
        <f t="shared" si="1"/>
        <v>0</v>
      </c>
    </row>
    <row r="441">
      <c r="A441" s="50" t="s">
        <v>5142</v>
      </c>
      <c r="B441" s="61">
        <v>99.0</v>
      </c>
      <c r="C441" s="61">
        <v>100.0</v>
      </c>
      <c r="D441" s="9">
        <f t="array" ref="D441">xlookup(A441,'données'!E$2:E$3608,'données'!K$2:K$3608)</f>
        <v>118.7</v>
      </c>
      <c r="E441" s="5" t="b">
        <f t="shared" si="1"/>
        <v>0</v>
      </c>
    </row>
    <row r="442">
      <c r="A442" s="50" t="s">
        <v>1705</v>
      </c>
      <c r="B442" s="61">
        <v>100.0</v>
      </c>
      <c r="C442" s="61">
        <v>100.0</v>
      </c>
      <c r="D442" s="9">
        <f t="array" ref="D442">xlookup(A442,'données'!E$2:E$3608,'données'!K$2:K$3608)</f>
        <v>125.4</v>
      </c>
      <c r="E442" s="5" t="b">
        <f t="shared" si="1"/>
        <v>0</v>
      </c>
    </row>
    <row r="443">
      <c r="A443" s="50" t="s">
        <v>3544</v>
      </c>
      <c r="B443" s="61">
        <v>97.0</v>
      </c>
      <c r="C443" s="61">
        <v>98.0</v>
      </c>
      <c r="D443" s="9">
        <f t="array" ref="D443">xlookup(A443,'données'!E$2:E$3608,'données'!K$2:K$3608)</f>
        <v>104.8</v>
      </c>
      <c r="E443" s="5" t="b">
        <f t="shared" si="1"/>
        <v>0</v>
      </c>
    </row>
    <row r="444">
      <c r="A444" s="50" t="s">
        <v>5137</v>
      </c>
      <c r="B444" s="61">
        <v>96.0</v>
      </c>
      <c r="C444" s="61">
        <v>98.0</v>
      </c>
      <c r="D444" s="9">
        <f t="array" ref="D444">xlookup(A444,'données'!E$2:E$3608,'données'!K$2:K$3608)</f>
        <v>119.6</v>
      </c>
      <c r="E444" s="5" t="b">
        <f t="shared" si="1"/>
        <v>0</v>
      </c>
    </row>
    <row r="445">
      <c r="A445" s="50" t="s">
        <v>3541</v>
      </c>
      <c r="B445" s="61">
        <v>97.0</v>
      </c>
      <c r="C445" s="61">
        <v>98.0</v>
      </c>
      <c r="D445" s="9">
        <f t="array" ref="D445">xlookup(A445,'données'!E$2:E$3608,'données'!K$2:K$3608)</f>
        <v>107.6</v>
      </c>
      <c r="E445" s="5" t="b">
        <f t="shared" si="1"/>
        <v>0</v>
      </c>
    </row>
    <row r="446">
      <c r="A446" s="50" t="s">
        <v>8068</v>
      </c>
      <c r="B446" s="61">
        <v>98.0</v>
      </c>
      <c r="C446" s="61">
        <v>99.0</v>
      </c>
      <c r="D446" s="9">
        <f t="array" ref="D446">xlookup(A446,'données'!E$2:E$3608,'données'!K$2:K$3608)</f>
        <v>104</v>
      </c>
      <c r="E446" s="5" t="b">
        <f t="shared" si="1"/>
        <v>0</v>
      </c>
    </row>
    <row r="447">
      <c r="A447" s="50" t="s">
        <v>8066</v>
      </c>
      <c r="B447" s="61">
        <v>99.0</v>
      </c>
      <c r="C447" s="61">
        <v>99.0</v>
      </c>
      <c r="D447" s="9">
        <f t="array" ref="D447">xlookup(A447,'données'!E$2:E$3608,'données'!K$2:K$3608)</f>
        <v>110.3</v>
      </c>
      <c r="E447" s="5" t="b">
        <f t="shared" si="1"/>
        <v>0</v>
      </c>
    </row>
    <row r="448">
      <c r="A448" s="50" t="s">
        <v>6677</v>
      </c>
      <c r="B448" s="61">
        <v>90.0</v>
      </c>
      <c r="C448" s="61">
        <v>90.0</v>
      </c>
      <c r="D448" s="9">
        <f t="array" ref="D448">xlookup(A448,'données'!E$2:E$3608,'données'!K$2:K$3608)</f>
        <v>81</v>
      </c>
      <c r="E448" s="5" t="b">
        <f t="shared" si="1"/>
        <v>0</v>
      </c>
    </row>
    <row r="449">
      <c r="A449" s="50" t="s">
        <v>5135</v>
      </c>
      <c r="B449" s="61">
        <v>93.0</v>
      </c>
      <c r="C449" s="61">
        <v>95.0</v>
      </c>
      <c r="D449" s="9">
        <f t="array" ref="D449">xlookup(A449,'données'!E$2:E$3608,'données'!K$2:K$3608)</f>
        <v>102.7</v>
      </c>
      <c r="E449" s="5" t="b">
        <f t="shared" si="1"/>
        <v>0</v>
      </c>
    </row>
    <row r="450">
      <c r="A450" s="50" t="s">
        <v>6675</v>
      </c>
      <c r="B450" s="61">
        <v>99.0</v>
      </c>
      <c r="C450" s="61">
        <v>99.0</v>
      </c>
      <c r="D450" s="9">
        <f t="array" ref="D450">xlookup(A450,'données'!E$2:E$3608,'données'!K$2:K$3608)</f>
        <v>111.4</v>
      </c>
      <c r="E450" s="5" t="b">
        <f t="shared" si="1"/>
        <v>0</v>
      </c>
    </row>
    <row r="451">
      <c r="A451" s="50" t="s">
        <v>6673</v>
      </c>
      <c r="B451" s="61">
        <v>96.0</v>
      </c>
      <c r="C451" s="61">
        <v>98.0</v>
      </c>
      <c r="D451" s="9">
        <f t="array" ref="D451">xlookup(A451,'données'!E$2:E$3608,'données'!K$2:K$3608)</f>
        <v>107.9</v>
      </c>
      <c r="E451" s="5" t="b">
        <f t="shared" si="1"/>
        <v>0</v>
      </c>
    </row>
    <row r="452">
      <c r="A452" s="50" t="s">
        <v>3538</v>
      </c>
      <c r="B452" s="61">
        <v>100.0</v>
      </c>
      <c r="C452" s="61">
        <v>100.0</v>
      </c>
      <c r="D452" s="9">
        <f t="array" ref="D452">xlookup(A452,'données'!E$2:E$3608,'données'!K$2:K$3608)</f>
        <v>114.2</v>
      </c>
      <c r="E452" s="5" t="b">
        <f t="shared" si="1"/>
        <v>0</v>
      </c>
    </row>
    <row r="453">
      <c r="A453" s="50" t="s">
        <v>5133</v>
      </c>
      <c r="B453" s="61">
        <v>99.0</v>
      </c>
      <c r="C453" s="61">
        <v>100.0</v>
      </c>
      <c r="D453" s="9">
        <f t="array" ref="D453">xlookup(A453,'données'!E$2:E$3608,'données'!K$2:K$3608)</f>
        <v>119.9</v>
      </c>
      <c r="E453" s="5" t="b">
        <f t="shared" si="1"/>
        <v>0</v>
      </c>
    </row>
    <row r="454">
      <c r="A454" s="50" t="s">
        <v>8064</v>
      </c>
      <c r="B454" s="61">
        <v>98.0</v>
      </c>
      <c r="C454" s="61">
        <v>98.0</v>
      </c>
      <c r="D454" s="9">
        <f t="array" ref="D454">xlookup(A454,'données'!E$2:E$3608,'données'!K$2:K$3608)</f>
        <v>124</v>
      </c>
      <c r="E454" s="5" t="b">
        <f t="shared" si="1"/>
        <v>0</v>
      </c>
    </row>
    <row r="455">
      <c r="A455" s="50" t="s">
        <v>1701</v>
      </c>
      <c r="B455" s="61">
        <v>96.0</v>
      </c>
      <c r="C455" s="61">
        <v>97.0</v>
      </c>
      <c r="D455" s="9">
        <f t="array" ref="D455">xlookup(A455,'données'!E$2:E$3608,'données'!K$2:K$3608)</f>
        <v>122.3</v>
      </c>
      <c r="E455" s="5" t="b">
        <f t="shared" si="1"/>
        <v>0</v>
      </c>
    </row>
    <row r="456">
      <c r="A456" s="50" t="s">
        <v>8063</v>
      </c>
      <c r="B456" s="61">
        <v>100.0</v>
      </c>
      <c r="C456" s="61">
        <v>100.0</v>
      </c>
      <c r="D456" s="9">
        <f t="array" ref="D456">xlookup(A456,'données'!E$2:E$3608,'données'!K$2:K$3608)</f>
        <v>135.2</v>
      </c>
      <c r="E456" s="5" t="b">
        <f t="shared" si="1"/>
        <v>0</v>
      </c>
    </row>
    <row r="457">
      <c r="A457" s="50" t="s">
        <v>1699</v>
      </c>
      <c r="B457" s="61">
        <v>96.0</v>
      </c>
      <c r="C457" s="50"/>
      <c r="D457" s="9">
        <f t="array" ref="D457">xlookup(A457,'données'!E$2:E$3608,'données'!K$2:K$3608)</f>
        <v>110</v>
      </c>
      <c r="E457" s="5" t="b">
        <f t="shared" si="1"/>
        <v>0</v>
      </c>
    </row>
    <row r="458">
      <c r="A458" s="50" t="s">
        <v>6671</v>
      </c>
      <c r="B458" s="61">
        <v>100.0</v>
      </c>
      <c r="C458" s="61">
        <v>100.0</v>
      </c>
      <c r="D458" s="9">
        <f t="array" ref="D458">xlookup(A458,'données'!E$2:E$3608,'données'!K$2:K$3608)</f>
        <v>124.2</v>
      </c>
      <c r="E458" s="5" t="b">
        <f t="shared" si="1"/>
        <v>0</v>
      </c>
    </row>
    <row r="459">
      <c r="A459" s="50" t="s">
        <v>8061</v>
      </c>
      <c r="B459" s="61">
        <v>97.0</v>
      </c>
      <c r="C459" s="61">
        <v>97.0</v>
      </c>
      <c r="D459" s="9">
        <f t="array" ref="D459">xlookup(A459,'données'!E$2:E$3608,'données'!K$2:K$3608)</f>
        <v>108.4</v>
      </c>
      <c r="E459" s="5" t="b">
        <f t="shared" si="1"/>
        <v>0</v>
      </c>
    </row>
    <row r="460">
      <c r="A460" s="50" t="s">
        <v>3535</v>
      </c>
      <c r="B460" s="61">
        <v>97.0</v>
      </c>
      <c r="C460" s="61">
        <v>96.0</v>
      </c>
      <c r="D460" s="9">
        <f t="array" ref="D460">xlookup(A460,'données'!E$2:E$3608,'données'!K$2:K$3608)</f>
        <v>115.9</v>
      </c>
      <c r="E460" s="5" t="b">
        <f t="shared" si="1"/>
        <v>0</v>
      </c>
    </row>
    <row r="461">
      <c r="A461" s="50" t="s">
        <v>5131</v>
      </c>
      <c r="B461" s="61">
        <v>96.0</v>
      </c>
      <c r="C461" s="61">
        <v>96.0</v>
      </c>
      <c r="D461" s="9">
        <f t="array" ref="D461">xlookup(A461,'données'!E$2:E$3608,'données'!K$2:K$3608)</f>
        <v>96.3</v>
      </c>
      <c r="E461" s="5" t="b">
        <f t="shared" si="1"/>
        <v>0</v>
      </c>
    </row>
    <row r="462">
      <c r="A462" s="50" t="s">
        <v>3532</v>
      </c>
      <c r="B462" s="61">
        <v>97.0</v>
      </c>
      <c r="C462" s="61">
        <v>98.0</v>
      </c>
      <c r="D462" s="9">
        <f t="array" ref="D462">xlookup(A462,'données'!E$2:E$3608,'données'!K$2:K$3608)</f>
        <v>105.7</v>
      </c>
      <c r="E462" s="5" t="b">
        <f t="shared" si="1"/>
        <v>0</v>
      </c>
    </row>
    <row r="463">
      <c r="A463" s="50" t="s">
        <v>8059</v>
      </c>
      <c r="B463" s="61">
        <v>100.0</v>
      </c>
      <c r="C463" s="50"/>
      <c r="D463" s="9">
        <f t="array" ref="D463">xlookup(A463,'données'!E$2:E$3608,'données'!K$2:K$3608)</f>
        <v>117.2</v>
      </c>
      <c r="E463" s="5" t="b">
        <f t="shared" si="1"/>
        <v>0</v>
      </c>
    </row>
    <row r="464">
      <c r="A464" s="50" t="s">
        <v>1691</v>
      </c>
      <c r="B464" s="61">
        <v>95.0</v>
      </c>
      <c r="C464" s="61">
        <v>96.0</v>
      </c>
      <c r="D464" s="9">
        <f t="array" ref="D464">xlookup(A464,'données'!E$2:E$3608,'données'!K$2:K$3608)</f>
        <v>122.8</v>
      </c>
      <c r="E464" s="5" t="b">
        <f t="shared" si="1"/>
        <v>0</v>
      </c>
    </row>
    <row r="465">
      <c r="A465" s="50" t="s">
        <v>8055</v>
      </c>
      <c r="B465" s="61">
        <v>100.0</v>
      </c>
      <c r="C465" s="61">
        <v>100.0</v>
      </c>
      <c r="D465" s="9">
        <f t="array" ref="D465">xlookup(A465,'données'!E$2:E$3608,'données'!K$2:K$3608)</f>
        <v>129.8</v>
      </c>
      <c r="E465" s="5" t="b">
        <f t="shared" si="1"/>
        <v>0</v>
      </c>
    </row>
    <row r="466">
      <c r="A466" s="50" t="s">
        <v>5128</v>
      </c>
      <c r="B466" s="61">
        <v>100.0</v>
      </c>
      <c r="C466" s="61">
        <v>100.0</v>
      </c>
      <c r="D466" s="9">
        <f t="array" ref="D466">xlookup(A466,'données'!E$2:E$3608,'données'!K$2:K$3608)</f>
        <v>123.4</v>
      </c>
      <c r="E466" s="5" t="b">
        <f t="shared" si="1"/>
        <v>0</v>
      </c>
    </row>
    <row r="467">
      <c r="A467" s="50" t="s">
        <v>5126</v>
      </c>
      <c r="B467" s="61">
        <v>100.0</v>
      </c>
      <c r="C467" s="61">
        <v>100.0</v>
      </c>
      <c r="D467" s="9">
        <f t="array" ref="D467">xlookup(A467,'données'!E$2:E$3608,'données'!K$2:K$3608)</f>
        <v>129.1</v>
      </c>
      <c r="E467" s="5" t="b">
        <f t="shared" si="1"/>
        <v>0</v>
      </c>
    </row>
    <row r="468">
      <c r="A468" s="50" t="s">
        <v>5125</v>
      </c>
      <c r="B468" s="61">
        <v>100.0</v>
      </c>
      <c r="C468" s="61">
        <v>100.0</v>
      </c>
      <c r="D468" s="9">
        <f t="array" ref="D468">xlookup(A468,'données'!E$2:E$3608,'données'!K$2:K$3608)</f>
        <v>127.8</v>
      </c>
      <c r="E468" s="5" t="b">
        <f t="shared" si="1"/>
        <v>0</v>
      </c>
    </row>
    <row r="469">
      <c r="A469" s="50" t="s">
        <v>8054</v>
      </c>
      <c r="B469" s="61">
        <v>99.0</v>
      </c>
      <c r="C469" s="61">
        <v>99.0</v>
      </c>
      <c r="D469" s="9">
        <f t="array" ref="D469">xlookup(A469,'données'!E$2:E$3608,'données'!K$2:K$3608)</f>
        <v>122.4</v>
      </c>
      <c r="E469" s="5" t="b">
        <f t="shared" si="1"/>
        <v>0</v>
      </c>
    </row>
    <row r="470">
      <c r="A470" s="50" t="s">
        <v>8052</v>
      </c>
      <c r="B470" s="61">
        <v>100.0</v>
      </c>
      <c r="C470" s="50"/>
      <c r="D470" s="9">
        <f t="array" ref="D470">xlookup(A470,'données'!E$2:E$3608,'données'!K$2:K$3608)</f>
        <v>94.2</v>
      </c>
      <c r="E470" s="5" t="b">
        <f t="shared" si="1"/>
        <v>0</v>
      </c>
    </row>
    <row r="471">
      <c r="A471" s="50" t="s">
        <v>3523</v>
      </c>
      <c r="B471" s="61">
        <v>96.0</v>
      </c>
      <c r="C471" s="61">
        <v>96.0</v>
      </c>
      <c r="D471" s="9">
        <f t="array" ref="D471">xlookup(A471,'données'!E$2:E$3608,'données'!K$2:K$3608)</f>
        <v>109.1</v>
      </c>
      <c r="E471" s="5" t="b">
        <f t="shared" si="1"/>
        <v>0</v>
      </c>
    </row>
    <row r="472">
      <c r="A472" s="50" t="s">
        <v>1683</v>
      </c>
      <c r="B472" s="61">
        <v>97.0</v>
      </c>
      <c r="C472" s="61">
        <v>98.0</v>
      </c>
      <c r="D472" s="9">
        <f t="array" ref="D472">xlookup(A472,'données'!E$2:E$3608,'données'!K$2:K$3608)</f>
        <v>112</v>
      </c>
      <c r="E472" s="5" t="b">
        <f t="shared" si="1"/>
        <v>0</v>
      </c>
    </row>
    <row r="473">
      <c r="A473" s="50" t="s">
        <v>1681</v>
      </c>
      <c r="B473" s="61">
        <v>95.0</v>
      </c>
      <c r="C473" s="61">
        <v>96.0</v>
      </c>
      <c r="D473" s="9">
        <f t="array" ref="D473">xlookup(A473,'données'!E$2:E$3608,'données'!K$2:K$3608)</f>
        <v>115.3</v>
      </c>
      <c r="E473" s="5" t="b">
        <f t="shared" si="1"/>
        <v>0</v>
      </c>
    </row>
    <row r="474">
      <c r="A474" s="50" t="s">
        <v>3520</v>
      </c>
      <c r="B474" s="61">
        <v>98.0</v>
      </c>
      <c r="C474" s="61">
        <v>98.0</v>
      </c>
      <c r="D474" s="9">
        <f t="array" ref="D474">xlookup(A474,'données'!E$2:E$3608,'données'!K$2:K$3608)</f>
        <v>111.3</v>
      </c>
      <c r="E474" s="5" t="b">
        <f t="shared" si="1"/>
        <v>0</v>
      </c>
    </row>
    <row r="475">
      <c r="A475" s="50" t="s">
        <v>6668</v>
      </c>
      <c r="B475" s="61">
        <v>98.0</v>
      </c>
      <c r="C475" s="61">
        <v>97.0</v>
      </c>
      <c r="D475" s="9">
        <f t="array" ref="D475">xlookup(A475,'données'!E$2:E$3608,'données'!K$2:K$3608)</f>
        <v>110.3</v>
      </c>
      <c r="E475" s="5" t="b">
        <f t="shared" si="1"/>
        <v>0</v>
      </c>
    </row>
    <row r="476">
      <c r="A476" s="50" t="s">
        <v>1679</v>
      </c>
      <c r="B476" s="61">
        <v>95.0</v>
      </c>
      <c r="C476" s="61">
        <v>97.0</v>
      </c>
      <c r="D476" s="9">
        <f t="array" ref="D476">xlookup(A476,'données'!E$2:E$3608,'données'!K$2:K$3608)</f>
        <v>107.9</v>
      </c>
      <c r="E476" s="5" t="b">
        <f t="shared" si="1"/>
        <v>0</v>
      </c>
    </row>
    <row r="477">
      <c r="A477" s="50" t="s">
        <v>6664</v>
      </c>
      <c r="B477" s="61">
        <v>94.0</v>
      </c>
      <c r="C477" s="61">
        <v>97.0</v>
      </c>
      <c r="D477" s="9">
        <f t="array" ref="D477">xlookup(A477,'données'!E$2:E$3608,'données'!K$2:K$3608)</f>
        <v>109.9</v>
      </c>
      <c r="E477" s="5" t="b">
        <f t="shared" si="1"/>
        <v>0</v>
      </c>
    </row>
    <row r="478">
      <c r="A478" s="50" t="s">
        <v>1675</v>
      </c>
      <c r="B478" s="61">
        <v>98.0</v>
      </c>
      <c r="C478" s="61">
        <v>98.0</v>
      </c>
      <c r="D478" s="9">
        <f t="array" ref="D478">xlookup(A478,'données'!E$2:E$3608,'données'!K$2:K$3608)</f>
        <v>116</v>
      </c>
      <c r="E478" s="5" t="b">
        <f t="shared" si="1"/>
        <v>0</v>
      </c>
    </row>
    <row r="479">
      <c r="A479" s="50" t="s">
        <v>5123</v>
      </c>
      <c r="B479" s="61">
        <v>90.0</v>
      </c>
      <c r="C479" s="61">
        <v>88.0</v>
      </c>
      <c r="D479" s="9">
        <f t="array" ref="D479">xlookup(A479,'données'!E$2:E$3608,'données'!K$2:K$3608)</f>
        <v>105.6</v>
      </c>
      <c r="E479" s="5" t="b">
        <f t="shared" si="1"/>
        <v>0</v>
      </c>
    </row>
    <row r="480">
      <c r="A480" s="50" t="s">
        <v>1669</v>
      </c>
      <c r="B480" s="61">
        <v>97.0</v>
      </c>
      <c r="C480" s="61">
        <v>97.0</v>
      </c>
      <c r="D480" s="9">
        <f t="array" ref="D480">xlookup(A480,'données'!E$2:E$3608,'données'!K$2:K$3608)</f>
        <v>105.1</v>
      </c>
      <c r="E480" s="5" t="b">
        <f t="shared" si="1"/>
        <v>0</v>
      </c>
    </row>
    <row r="481">
      <c r="A481" s="50" t="s">
        <v>6662</v>
      </c>
      <c r="B481" s="61">
        <v>99.0</v>
      </c>
      <c r="C481" s="61">
        <v>99.0</v>
      </c>
      <c r="D481" s="9">
        <f t="array" ref="D481">xlookup(A481,'données'!E$2:E$3608,'données'!K$2:K$3608)</f>
        <v>122.6</v>
      </c>
      <c r="E481" s="5" t="b">
        <f t="shared" si="1"/>
        <v>0</v>
      </c>
    </row>
    <row r="482">
      <c r="A482" s="50" t="s">
        <v>8050</v>
      </c>
      <c r="B482" s="61">
        <v>94.0</v>
      </c>
      <c r="C482" s="61">
        <v>96.0</v>
      </c>
      <c r="D482" s="9">
        <f t="array" ref="D482">xlookup(A482,'données'!E$2:E$3608,'données'!K$2:K$3608)</f>
        <v>107.6</v>
      </c>
      <c r="E482" s="5" t="b">
        <f t="shared" si="1"/>
        <v>0</v>
      </c>
    </row>
    <row r="483">
      <c r="A483" s="50" t="s">
        <v>5116</v>
      </c>
      <c r="B483" s="61">
        <v>94.0</v>
      </c>
      <c r="C483" s="61">
        <v>95.0</v>
      </c>
      <c r="D483" s="9">
        <f t="array" ref="D483">xlookup(A483,'données'!E$2:E$3608,'données'!K$2:K$3608)</f>
        <v>119.5</v>
      </c>
      <c r="E483" s="5" t="b">
        <f t="shared" si="1"/>
        <v>0</v>
      </c>
    </row>
    <row r="484">
      <c r="A484" s="50" t="s">
        <v>1666</v>
      </c>
      <c r="B484" s="61">
        <v>98.0</v>
      </c>
      <c r="C484" s="61">
        <v>98.0</v>
      </c>
      <c r="D484" s="9">
        <f t="array" ref="D484">xlookup(A484,'données'!E$2:E$3608,'données'!K$2:K$3608)</f>
        <v>104.5</v>
      </c>
      <c r="E484" s="5" t="b">
        <f t="shared" si="1"/>
        <v>0</v>
      </c>
    </row>
    <row r="485">
      <c r="A485" s="50" t="s">
        <v>3515</v>
      </c>
      <c r="B485" s="61">
        <v>97.0</v>
      </c>
      <c r="C485" s="61">
        <v>98.0</v>
      </c>
      <c r="D485" s="9">
        <f t="array" ref="D485">xlookup(A485,'données'!E$2:E$3608,'données'!K$2:K$3608)</f>
        <v>103.9</v>
      </c>
      <c r="E485" s="5" t="b">
        <f t="shared" si="1"/>
        <v>0</v>
      </c>
    </row>
    <row r="486">
      <c r="A486" s="50" t="s">
        <v>8042</v>
      </c>
      <c r="B486" s="61">
        <v>96.0</v>
      </c>
      <c r="C486" s="61">
        <v>97.0</v>
      </c>
      <c r="D486" s="9">
        <f t="array" ref="D486">xlookup(A486,'données'!E$2:E$3608,'données'!K$2:K$3608)</f>
        <v>113</v>
      </c>
      <c r="E486" s="5" t="b">
        <f t="shared" si="1"/>
        <v>0</v>
      </c>
    </row>
    <row r="487">
      <c r="A487" s="50" t="s">
        <v>1658</v>
      </c>
      <c r="B487" s="61">
        <v>98.0</v>
      </c>
      <c r="C487" s="61">
        <v>98.0</v>
      </c>
      <c r="D487" s="9">
        <f t="array" ref="D487">xlookup(A487,'données'!E$2:E$3608,'données'!K$2:K$3608)</f>
        <v>101.7</v>
      </c>
      <c r="E487" s="5" t="b">
        <f t="shared" si="1"/>
        <v>0</v>
      </c>
    </row>
    <row r="488">
      <c r="A488" s="50" t="s">
        <v>6654</v>
      </c>
      <c r="B488" s="61">
        <v>95.0</v>
      </c>
      <c r="C488" s="50"/>
      <c r="D488" s="9">
        <f t="array" ref="D488">xlookup(A488,'données'!E$2:E$3608,'données'!K$2:K$3608)</f>
        <v>104.3</v>
      </c>
      <c r="E488" s="5" t="b">
        <f t="shared" si="1"/>
        <v>0</v>
      </c>
    </row>
    <row r="489">
      <c r="A489" s="50" t="s">
        <v>6652</v>
      </c>
      <c r="B489" s="61">
        <v>100.0</v>
      </c>
      <c r="C489" s="61">
        <v>100.0</v>
      </c>
      <c r="D489" s="9">
        <f t="array" ref="D489">xlookup(A489,'données'!E$2:E$3608,'données'!K$2:K$3608)</f>
        <v>106.6</v>
      </c>
      <c r="E489" s="5" t="b">
        <f t="shared" si="1"/>
        <v>0</v>
      </c>
    </row>
    <row r="490">
      <c r="A490" s="50" t="s">
        <v>8038</v>
      </c>
      <c r="B490" s="61">
        <v>97.0</v>
      </c>
      <c r="C490" s="61">
        <v>97.0</v>
      </c>
      <c r="D490" s="9">
        <f t="array" ref="D490">xlookup(A490,'données'!E$2:E$3608,'données'!K$2:K$3608)</f>
        <v>119.1</v>
      </c>
      <c r="E490" s="5" t="b">
        <f t="shared" si="1"/>
        <v>0</v>
      </c>
    </row>
    <row r="491">
      <c r="A491" s="50" t="s">
        <v>3513</v>
      </c>
      <c r="B491" s="61">
        <v>100.0</v>
      </c>
      <c r="C491" s="61">
        <v>100.0</v>
      </c>
      <c r="D491" s="9">
        <f t="array" ref="D491">xlookup(A491,'données'!E$2:E$3608,'données'!K$2:K$3608)</f>
        <v>123</v>
      </c>
      <c r="E491" s="5" t="b">
        <f t="shared" si="1"/>
        <v>0</v>
      </c>
    </row>
    <row r="492">
      <c r="A492" s="50" t="s">
        <v>1656</v>
      </c>
      <c r="B492" s="61">
        <v>98.0</v>
      </c>
      <c r="C492" s="61">
        <v>100.0</v>
      </c>
      <c r="D492" s="9">
        <f t="array" ref="D492">xlookup(A492,'données'!E$2:E$3608,'données'!K$2:K$3608)</f>
        <v>118.1</v>
      </c>
      <c r="E492" s="5" t="b">
        <f t="shared" si="1"/>
        <v>0</v>
      </c>
    </row>
    <row r="493">
      <c r="A493" s="50" t="s">
        <v>6650</v>
      </c>
      <c r="B493" s="61">
        <v>96.0</v>
      </c>
      <c r="C493" s="61">
        <v>100.0</v>
      </c>
      <c r="D493" s="9">
        <f t="array" ref="D493">xlookup(A493,'données'!E$2:E$3608,'données'!K$2:K$3608)</f>
        <v>104.6</v>
      </c>
      <c r="E493" s="5" t="b">
        <f t="shared" si="1"/>
        <v>0</v>
      </c>
    </row>
    <row r="494">
      <c r="A494" s="50" t="s">
        <v>3510</v>
      </c>
      <c r="B494" s="61">
        <v>99.0</v>
      </c>
      <c r="C494" s="61">
        <v>99.0</v>
      </c>
      <c r="D494" s="9">
        <f t="array" ref="D494">xlookup(A494,'données'!E$2:E$3608,'données'!K$2:K$3608)</f>
        <v>128.3</v>
      </c>
      <c r="E494" s="5" t="b">
        <f t="shared" si="1"/>
        <v>0</v>
      </c>
    </row>
    <row r="495">
      <c r="A495" s="50" t="s">
        <v>5112</v>
      </c>
      <c r="B495" s="61">
        <v>99.0</v>
      </c>
      <c r="C495" s="61">
        <v>99.0</v>
      </c>
      <c r="D495" s="9">
        <f t="array" ref="D495">xlookup(A495,'données'!E$2:E$3608,'données'!K$2:K$3608)</f>
        <v>118.2</v>
      </c>
      <c r="E495" s="5" t="b">
        <f t="shared" si="1"/>
        <v>0</v>
      </c>
    </row>
    <row r="496">
      <c r="A496" s="50" t="s">
        <v>6647</v>
      </c>
      <c r="B496" s="61">
        <v>98.0</v>
      </c>
      <c r="C496" s="61">
        <v>98.0</v>
      </c>
      <c r="D496" s="9">
        <f t="array" ref="D496">xlookup(A496,'données'!E$2:E$3608,'données'!K$2:K$3608)</f>
        <v>107.9</v>
      </c>
      <c r="E496" s="5" t="b">
        <f t="shared" si="1"/>
        <v>0</v>
      </c>
    </row>
    <row r="497">
      <c r="A497" s="50" t="s">
        <v>8036</v>
      </c>
      <c r="B497" s="61">
        <v>98.0</v>
      </c>
      <c r="C497" s="61">
        <v>98.0</v>
      </c>
      <c r="D497" s="9">
        <f t="array" ref="D497">xlookup(A497,'données'!E$2:E$3608,'données'!K$2:K$3608)</f>
        <v>127</v>
      </c>
      <c r="E497" s="5" t="b">
        <f t="shared" si="1"/>
        <v>0</v>
      </c>
    </row>
    <row r="498">
      <c r="A498" s="50" t="s">
        <v>6646</v>
      </c>
      <c r="B498" s="61">
        <v>99.0</v>
      </c>
      <c r="C498" s="61">
        <v>99.0</v>
      </c>
      <c r="D498" s="9">
        <f t="array" ref="D498">xlookup(A498,'données'!E$2:E$3608,'données'!K$2:K$3608)</f>
        <v>122.5</v>
      </c>
      <c r="E498" s="5" t="b">
        <f t="shared" si="1"/>
        <v>0</v>
      </c>
    </row>
    <row r="499">
      <c r="A499" s="50" t="s">
        <v>1654</v>
      </c>
      <c r="B499" s="61">
        <v>94.0</v>
      </c>
      <c r="C499" s="61">
        <v>98.0</v>
      </c>
      <c r="D499" s="9">
        <f t="array" ref="D499">xlookup(A499,'données'!E$2:E$3608,'données'!K$2:K$3608)</f>
        <v>110.4</v>
      </c>
      <c r="E499" s="5" t="b">
        <f t="shared" si="1"/>
        <v>0</v>
      </c>
    </row>
    <row r="500">
      <c r="A500" s="50" t="s">
        <v>5107</v>
      </c>
      <c r="B500" s="61">
        <v>96.0</v>
      </c>
      <c r="C500" s="61">
        <v>99.0</v>
      </c>
      <c r="D500" s="9">
        <f t="array" ref="D500">xlookup(A500,'données'!E$2:E$3608,'données'!K$2:K$3608)</f>
        <v>97.8</v>
      </c>
      <c r="E500" s="5" t="b">
        <f t="shared" si="1"/>
        <v>0</v>
      </c>
    </row>
    <row r="501">
      <c r="A501" s="50" t="s">
        <v>6639</v>
      </c>
      <c r="B501" s="61">
        <v>97.0</v>
      </c>
      <c r="C501" s="61">
        <v>98.0</v>
      </c>
      <c r="D501" s="9">
        <f t="array" ref="D501">xlookup(A501,'données'!E$2:E$3608,'données'!K$2:K$3608)</f>
        <v>89.4</v>
      </c>
      <c r="E501" s="5" t="b">
        <f t="shared" si="1"/>
        <v>0</v>
      </c>
    </row>
    <row r="502">
      <c r="A502" s="50" t="s">
        <v>1648</v>
      </c>
      <c r="B502" s="61">
        <v>100.0</v>
      </c>
      <c r="C502" s="61">
        <v>100.0</v>
      </c>
      <c r="D502" s="9">
        <f t="array" ref="D502">xlookup(A502,'données'!E$2:E$3608,'données'!K$2:K$3608)</f>
        <v>120</v>
      </c>
      <c r="E502" s="5" t="b">
        <f t="shared" si="1"/>
        <v>0</v>
      </c>
    </row>
    <row r="503">
      <c r="A503" s="50" t="s">
        <v>5104</v>
      </c>
      <c r="B503" s="61">
        <v>95.0</v>
      </c>
      <c r="C503" s="61">
        <v>96.0</v>
      </c>
      <c r="D503" s="9">
        <f t="array" ref="D503">xlookup(A503,'données'!E$2:E$3608,'données'!K$2:K$3608)</f>
        <v>97.9</v>
      </c>
      <c r="E503" s="5" t="b">
        <f t="shared" si="1"/>
        <v>0</v>
      </c>
    </row>
    <row r="504">
      <c r="A504" s="50" t="s">
        <v>6636</v>
      </c>
      <c r="B504" s="61">
        <v>96.0</v>
      </c>
      <c r="C504" s="61">
        <v>98.0</v>
      </c>
      <c r="D504" s="9">
        <f t="array" ref="D504">xlookup(A504,'données'!E$2:E$3608,'données'!K$2:K$3608)</f>
        <v>97.3</v>
      </c>
      <c r="E504" s="5" t="b">
        <f t="shared" si="1"/>
        <v>0</v>
      </c>
    </row>
    <row r="505">
      <c r="A505" s="50" t="s">
        <v>3500</v>
      </c>
      <c r="B505" s="61">
        <v>96.0</v>
      </c>
      <c r="C505" s="61">
        <v>98.0</v>
      </c>
      <c r="D505" s="9">
        <f t="array" ref="D505">xlookup(A505,'données'!E$2:E$3608,'données'!K$2:K$3608)</f>
        <v>118.1</v>
      </c>
      <c r="E505" s="5" t="b">
        <f t="shared" si="1"/>
        <v>0</v>
      </c>
    </row>
    <row r="506">
      <c r="A506" s="50" t="s">
        <v>6634</v>
      </c>
      <c r="B506" s="61">
        <v>98.0</v>
      </c>
      <c r="C506" s="61">
        <v>100.0</v>
      </c>
      <c r="D506" s="9">
        <f t="array" ref="D506">xlookup(A506,'données'!E$2:E$3608,'données'!K$2:K$3608)</f>
        <v>109</v>
      </c>
      <c r="E506" s="5" t="b">
        <f t="shared" si="1"/>
        <v>0</v>
      </c>
    </row>
    <row r="507">
      <c r="A507" s="50" t="s">
        <v>1646</v>
      </c>
      <c r="B507" s="61">
        <v>99.0</v>
      </c>
      <c r="C507" s="61">
        <v>99.0</v>
      </c>
      <c r="D507" s="9">
        <f t="array" ref="D507">xlookup(A507,'données'!E$2:E$3608,'données'!K$2:K$3608)</f>
        <v>127.6</v>
      </c>
      <c r="E507" s="5" t="b">
        <f t="shared" si="1"/>
        <v>0</v>
      </c>
    </row>
    <row r="508">
      <c r="A508" s="50" t="s">
        <v>1644</v>
      </c>
      <c r="B508" s="61">
        <v>98.0</v>
      </c>
      <c r="C508" s="61">
        <v>100.0</v>
      </c>
      <c r="D508" s="9">
        <f t="array" ref="D508">xlookup(A508,'données'!E$2:E$3608,'données'!K$2:K$3608)</f>
        <v>82.9</v>
      </c>
      <c r="E508" s="5" t="b">
        <f t="shared" si="1"/>
        <v>0</v>
      </c>
    </row>
    <row r="509">
      <c r="A509" s="50" t="s">
        <v>8027</v>
      </c>
      <c r="B509" s="61">
        <v>96.0</v>
      </c>
      <c r="C509" s="50"/>
      <c r="D509" s="9">
        <f t="array" ref="D509">xlookup(A509,'données'!E$2:E$3608,'données'!K$2:K$3608)</f>
        <v>91.4</v>
      </c>
      <c r="E509" s="5" t="b">
        <f t="shared" si="1"/>
        <v>0</v>
      </c>
    </row>
    <row r="510">
      <c r="A510" s="50" t="s">
        <v>5099</v>
      </c>
      <c r="B510" s="61">
        <v>98.0</v>
      </c>
      <c r="C510" s="61">
        <v>98.0</v>
      </c>
      <c r="D510" s="9">
        <f t="array" ref="D510">xlookup(A510,'données'!E$2:E$3608,'données'!K$2:K$3608)</f>
        <v>108.7</v>
      </c>
      <c r="E510" s="5" t="b">
        <f t="shared" si="1"/>
        <v>0</v>
      </c>
    </row>
    <row r="511">
      <c r="A511" s="50" t="s">
        <v>1638</v>
      </c>
      <c r="B511" s="61">
        <v>100.0</v>
      </c>
      <c r="C511" s="61">
        <v>100.0</v>
      </c>
      <c r="D511" s="9">
        <f t="array" ref="D511">xlookup(A511,'données'!E$2:E$3608,'données'!K$2:K$3608)</f>
        <v>109.7</v>
      </c>
      <c r="E511" s="5" t="b">
        <f t="shared" si="1"/>
        <v>0</v>
      </c>
    </row>
    <row r="512">
      <c r="A512" s="50" t="s">
        <v>5097</v>
      </c>
      <c r="B512" s="61">
        <v>100.0</v>
      </c>
      <c r="C512" s="61">
        <v>100.0</v>
      </c>
      <c r="D512" s="9">
        <f t="array" ref="D512">xlookup(A512,'données'!E$2:E$3608,'données'!K$2:K$3608)</f>
        <v>127.1</v>
      </c>
      <c r="E512" s="5" t="b">
        <f t="shared" si="1"/>
        <v>0</v>
      </c>
    </row>
    <row r="513">
      <c r="A513" s="50" t="s">
        <v>5096</v>
      </c>
      <c r="B513" s="61">
        <v>99.0</v>
      </c>
      <c r="C513" s="61">
        <v>99.0</v>
      </c>
      <c r="D513" s="9">
        <f t="array" ref="D513">xlookup(A513,'données'!E$2:E$3608,'données'!K$2:K$3608)</f>
        <v>117.1</v>
      </c>
      <c r="E513" s="5" t="b">
        <f t="shared" si="1"/>
        <v>0</v>
      </c>
    </row>
    <row r="514">
      <c r="A514" s="50" t="s">
        <v>6633</v>
      </c>
      <c r="B514" s="61">
        <v>100.0</v>
      </c>
      <c r="C514" s="61">
        <v>100.0</v>
      </c>
      <c r="D514" s="9">
        <f t="array" ref="D514">xlookup(A514,'données'!E$2:E$3608,'données'!K$2:K$3608)</f>
        <v>118.4</v>
      </c>
      <c r="E514" s="5" t="b">
        <f t="shared" si="1"/>
        <v>0</v>
      </c>
    </row>
    <row r="515">
      <c r="A515" s="50" t="s">
        <v>3492</v>
      </c>
      <c r="B515" s="61">
        <v>94.0</v>
      </c>
      <c r="C515" s="61">
        <v>97.0</v>
      </c>
      <c r="D515" s="9">
        <f t="array" ref="D515">xlookup(A515,'données'!E$2:E$3608,'données'!K$2:K$3608)</f>
        <v>93.6</v>
      </c>
      <c r="E515" s="5" t="b">
        <f t="shared" si="1"/>
        <v>0</v>
      </c>
    </row>
    <row r="516">
      <c r="A516" s="50" t="s">
        <v>5092</v>
      </c>
      <c r="B516" s="61">
        <v>87.0</v>
      </c>
      <c r="C516" s="50"/>
      <c r="D516" s="9">
        <f t="array" ref="D516">xlookup(A516,'données'!E$2:E$3608,'données'!K$2:K$3608)</f>
        <v>91.5</v>
      </c>
      <c r="E516" s="5" t="b">
        <f t="shared" si="1"/>
        <v>0</v>
      </c>
    </row>
    <row r="517">
      <c r="A517" s="50" t="s">
        <v>8018</v>
      </c>
      <c r="B517" s="61">
        <v>98.0</v>
      </c>
      <c r="C517" s="61">
        <v>98.0</v>
      </c>
      <c r="D517" s="9">
        <f t="array" ref="D517">xlookup(A517,'données'!E$2:E$3608,'données'!K$2:K$3608)</f>
        <v>120.7</v>
      </c>
      <c r="E517" s="5" t="b">
        <f t="shared" si="1"/>
        <v>0</v>
      </c>
    </row>
    <row r="518">
      <c r="A518" s="50" t="s">
        <v>8016</v>
      </c>
      <c r="B518" s="61">
        <v>99.0</v>
      </c>
      <c r="C518" s="61">
        <v>99.0</v>
      </c>
      <c r="D518" s="9">
        <f t="array" ref="D518">xlookup(A518,'données'!E$2:E$3608,'données'!K$2:K$3608)</f>
        <v>122</v>
      </c>
      <c r="E518" s="5" t="b">
        <f t="shared" si="1"/>
        <v>0</v>
      </c>
    </row>
    <row r="519">
      <c r="A519" s="50" t="s">
        <v>3489</v>
      </c>
      <c r="B519" s="61">
        <v>98.0</v>
      </c>
      <c r="C519" s="61">
        <v>99.0</v>
      </c>
      <c r="D519" s="9">
        <f t="array" ref="D519">xlookup(A519,'données'!E$2:E$3608,'données'!K$2:K$3608)</f>
        <v>106.9</v>
      </c>
      <c r="E519" s="5" t="b">
        <f t="shared" si="1"/>
        <v>0</v>
      </c>
    </row>
    <row r="520">
      <c r="A520" s="50" t="s">
        <v>3486</v>
      </c>
      <c r="B520" s="61">
        <v>96.0</v>
      </c>
      <c r="C520" s="61">
        <v>98.0</v>
      </c>
      <c r="D520" s="9">
        <f t="array" ref="D520">xlookup(A520,'données'!E$2:E$3608,'données'!K$2:K$3608)</f>
        <v>103.6</v>
      </c>
      <c r="E520" s="5" t="b">
        <f t="shared" si="1"/>
        <v>0</v>
      </c>
    </row>
    <row r="521">
      <c r="A521" s="50" t="s">
        <v>1633</v>
      </c>
      <c r="B521" s="61">
        <v>97.0</v>
      </c>
      <c r="C521" s="61">
        <v>98.0</v>
      </c>
      <c r="D521" s="9">
        <f t="array" ref="D521">xlookup(A521,'données'!E$2:E$3608,'données'!K$2:K$3608)</f>
        <v>113.2</v>
      </c>
      <c r="E521" s="5" t="b">
        <f t="shared" si="1"/>
        <v>0</v>
      </c>
    </row>
    <row r="522">
      <c r="A522" s="50" t="s">
        <v>3485</v>
      </c>
      <c r="B522" s="61">
        <v>98.0</v>
      </c>
      <c r="C522" s="61">
        <v>97.0</v>
      </c>
      <c r="D522" s="9">
        <f t="array" ref="D522">xlookup(A522,'données'!E$2:E$3608,'données'!K$2:K$3608)</f>
        <v>112.3</v>
      </c>
      <c r="E522" s="5" t="b">
        <f t="shared" si="1"/>
        <v>0</v>
      </c>
    </row>
    <row r="523">
      <c r="A523" s="50" t="s">
        <v>1628</v>
      </c>
      <c r="B523" s="61">
        <v>100.0</v>
      </c>
      <c r="C523" s="61">
        <v>100.0</v>
      </c>
      <c r="D523" s="9">
        <f t="array" ref="D523">xlookup(A523,'données'!E$2:E$3608,'données'!K$2:K$3608)</f>
        <v>125.9</v>
      </c>
      <c r="E523" s="5" t="b">
        <f t="shared" si="1"/>
        <v>0</v>
      </c>
    </row>
    <row r="524">
      <c r="A524" s="50" t="s">
        <v>1626</v>
      </c>
      <c r="B524" s="61">
        <v>100.0</v>
      </c>
      <c r="C524" s="61">
        <v>100.0</v>
      </c>
      <c r="D524" s="9">
        <f t="array" ref="D524">xlookup(A524,'données'!E$2:E$3608,'données'!K$2:K$3608)</f>
        <v>106.1</v>
      </c>
      <c r="E524" s="5" t="b">
        <f t="shared" si="1"/>
        <v>0</v>
      </c>
    </row>
    <row r="525">
      <c r="A525" s="50" t="s">
        <v>3481</v>
      </c>
      <c r="B525" s="61">
        <v>99.0</v>
      </c>
      <c r="C525" s="61">
        <v>100.0</v>
      </c>
      <c r="D525" s="9">
        <f t="array" ref="D525">xlookup(A525,'données'!E$2:E$3608,'données'!K$2:K$3608)</f>
        <v>107.3</v>
      </c>
      <c r="E525" s="5" t="b">
        <f t="shared" si="1"/>
        <v>0</v>
      </c>
    </row>
    <row r="526">
      <c r="A526" s="50" t="s">
        <v>5085</v>
      </c>
      <c r="B526" s="61">
        <v>99.0</v>
      </c>
      <c r="C526" s="61">
        <v>99.0</v>
      </c>
      <c r="D526" s="9">
        <f t="array" ref="D526">xlookup(A526,'données'!E$2:E$3608,'données'!K$2:K$3608)</f>
        <v>119.2</v>
      </c>
      <c r="E526" s="5" t="b">
        <f t="shared" si="1"/>
        <v>0</v>
      </c>
    </row>
    <row r="527">
      <c r="A527" s="50" t="s">
        <v>8007</v>
      </c>
      <c r="B527" s="61">
        <v>97.0</v>
      </c>
      <c r="C527" s="61">
        <v>97.0</v>
      </c>
      <c r="D527" s="9">
        <f t="array" ref="D527">xlookup(A527,'données'!E$2:E$3608,'données'!K$2:K$3608)</f>
        <v>112.2</v>
      </c>
      <c r="E527" s="5" t="b">
        <f t="shared" si="1"/>
        <v>0</v>
      </c>
    </row>
    <row r="528">
      <c r="A528" s="50" t="s">
        <v>1623</v>
      </c>
      <c r="B528" s="61">
        <v>98.0</v>
      </c>
      <c r="C528" s="61">
        <v>98.0</v>
      </c>
      <c r="D528" s="9">
        <f t="array" ref="D528">xlookup(A528,'données'!E$2:E$3608,'données'!K$2:K$3608)</f>
        <v>122.9</v>
      </c>
      <c r="E528" s="5" t="b">
        <f t="shared" si="1"/>
        <v>0</v>
      </c>
    </row>
    <row r="529">
      <c r="A529" s="50" t="s">
        <v>6632</v>
      </c>
      <c r="B529" s="61">
        <v>97.0</v>
      </c>
      <c r="C529" s="61">
        <v>96.0</v>
      </c>
      <c r="D529" s="9">
        <f t="array" ref="D529">xlookup(A529,'données'!E$2:E$3608,'données'!K$2:K$3608)</f>
        <v>123</v>
      </c>
      <c r="E529" s="5" t="b">
        <f t="shared" si="1"/>
        <v>0</v>
      </c>
    </row>
    <row r="530">
      <c r="A530" s="50" t="s">
        <v>6629</v>
      </c>
      <c r="B530" s="61">
        <v>99.0</v>
      </c>
      <c r="C530" s="61">
        <v>99.0</v>
      </c>
      <c r="D530" s="9">
        <f t="array" ref="D530">xlookup(A530,'données'!E$2:E$3608,'données'!K$2:K$3608)</f>
        <v>113.1</v>
      </c>
      <c r="E530" s="5" t="b">
        <f t="shared" si="1"/>
        <v>0</v>
      </c>
    </row>
    <row r="531">
      <c r="A531" s="50" t="s">
        <v>8002</v>
      </c>
      <c r="B531" s="61">
        <v>99.0</v>
      </c>
      <c r="C531" s="61">
        <v>99.0</v>
      </c>
      <c r="D531" s="9">
        <f t="array" ref="D531">xlookup(A531,'données'!E$2:E$3608,'données'!K$2:K$3608)</f>
        <v>108.6</v>
      </c>
      <c r="E531" s="5" t="b">
        <f t="shared" si="1"/>
        <v>0</v>
      </c>
    </row>
    <row r="532">
      <c r="A532" s="50" t="s">
        <v>3479</v>
      </c>
      <c r="B532" s="61">
        <v>100.0</v>
      </c>
      <c r="C532" s="61">
        <v>100.0</v>
      </c>
      <c r="D532" s="9">
        <f t="array" ref="D532">xlookup(A532,'données'!E$2:E$3608,'données'!K$2:K$3608)</f>
        <v>149.3</v>
      </c>
      <c r="E532" s="5" t="b">
        <f t="shared" si="1"/>
        <v>0</v>
      </c>
    </row>
    <row r="533">
      <c r="A533" s="50" t="s">
        <v>6627</v>
      </c>
      <c r="B533" s="61">
        <v>100.0</v>
      </c>
      <c r="C533" s="61">
        <v>100.0</v>
      </c>
      <c r="D533" s="9">
        <f t="array" ref="D533">xlookup(A533,'données'!E$2:E$3608,'données'!K$2:K$3608)</f>
        <v>151.1</v>
      </c>
      <c r="E533" s="5" t="b">
        <f t="shared" si="1"/>
        <v>0</v>
      </c>
    </row>
    <row r="534">
      <c r="A534" s="50" t="s">
        <v>7999</v>
      </c>
      <c r="B534" s="61">
        <v>100.0</v>
      </c>
      <c r="C534" s="61">
        <v>100.0</v>
      </c>
      <c r="D534" s="9">
        <f t="array" ref="D534">xlookup(A534,'données'!E$2:E$3608,'données'!K$2:K$3608)</f>
        <v>159</v>
      </c>
      <c r="E534" s="5" t="b">
        <f t="shared" si="1"/>
        <v>0</v>
      </c>
    </row>
    <row r="535">
      <c r="A535" s="50" t="s">
        <v>3473</v>
      </c>
      <c r="B535" s="61">
        <v>100.0</v>
      </c>
      <c r="C535" s="61">
        <v>100.0</v>
      </c>
      <c r="D535" s="9">
        <f t="array" ref="D535">xlookup(A535,'données'!E$2:E$3608,'données'!K$2:K$3608)</f>
        <v>146.3</v>
      </c>
      <c r="E535" s="5" t="b">
        <f t="shared" si="1"/>
        <v>0</v>
      </c>
    </row>
    <row r="536">
      <c r="A536" s="50" t="s">
        <v>5083</v>
      </c>
      <c r="B536" s="61">
        <v>100.0</v>
      </c>
      <c r="C536" s="61">
        <v>100.0</v>
      </c>
      <c r="D536" s="9">
        <f t="array" ref="D536">xlookup(A536,'données'!E$2:E$3608,'données'!K$2:K$3608)</f>
        <v>150.9</v>
      </c>
      <c r="E536" s="5" t="b">
        <f t="shared" si="1"/>
        <v>0</v>
      </c>
    </row>
    <row r="537">
      <c r="A537" s="50" t="s">
        <v>1616</v>
      </c>
      <c r="B537" s="61">
        <v>100.0</v>
      </c>
      <c r="C537" s="61">
        <v>100.0</v>
      </c>
      <c r="D537" s="9">
        <f t="array" ref="D537">xlookup(A537,'données'!E$2:E$3608,'données'!K$2:K$3608)</f>
        <v>147.3</v>
      </c>
      <c r="E537" s="5" t="b">
        <f t="shared" si="1"/>
        <v>0</v>
      </c>
    </row>
    <row r="538">
      <c r="A538" s="50" t="s">
        <v>3471</v>
      </c>
      <c r="B538" s="61">
        <v>100.0</v>
      </c>
      <c r="C538" s="61">
        <v>100.0</v>
      </c>
      <c r="D538" s="9">
        <f t="array" ref="D538">xlookup(A538,'données'!E$2:E$3608,'données'!K$2:K$3608)</f>
        <v>141.2</v>
      </c>
      <c r="E538" s="5" t="b">
        <f t="shared" si="1"/>
        <v>0</v>
      </c>
    </row>
    <row r="539">
      <c r="A539" s="50" t="s">
        <v>7995</v>
      </c>
      <c r="B539" s="61">
        <v>100.0</v>
      </c>
      <c r="C539" s="61">
        <v>100.0</v>
      </c>
      <c r="D539" s="9">
        <f t="array" ref="D539">xlookup(A539,'données'!E$2:E$3608,'données'!K$2:K$3608)</f>
        <v>145.8</v>
      </c>
      <c r="E539" s="5" t="b">
        <f t="shared" si="1"/>
        <v>0</v>
      </c>
    </row>
    <row r="540">
      <c r="A540" s="50" t="s">
        <v>6625</v>
      </c>
      <c r="B540" s="61">
        <v>96.0</v>
      </c>
      <c r="C540" s="61">
        <v>100.0</v>
      </c>
      <c r="D540" s="9">
        <f t="array" ref="D540">xlookup(A540,'données'!E$2:E$3608,'données'!K$2:K$3608)</f>
        <v>126.3</v>
      </c>
      <c r="E540" s="5" t="b">
        <f t="shared" si="1"/>
        <v>0</v>
      </c>
    </row>
    <row r="541">
      <c r="A541" s="50" t="s">
        <v>6624</v>
      </c>
      <c r="B541" s="61">
        <v>100.0</v>
      </c>
      <c r="C541" s="61">
        <v>100.0</v>
      </c>
      <c r="D541" s="9">
        <f t="array" ref="D541">xlookup(A541,'données'!E$2:E$3608,'données'!K$2:K$3608)</f>
        <v>140.2</v>
      </c>
      <c r="E541" s="5" t="b">
        <f t="shared" si="1"/>
        <v>0</v>
      </c>
    </row>
    <row r="542">
      <c r="A542" s="50" t="s">
        <v>5080</v>
      </c>
      <c r="B542" s="61">
        <v>100.0</v>
      </c>
      <c r="C542" s="61">
        <v>100.0</v>
      </c>
      <c r="D542" s="9">
        <f t="array" ref="D542">xlookup(A542,'données'!E$2:E$3608,'données'!K$2:K$3608)</f>
        <v>149.7</v>
      </c>
      <c r="E542" s="5" t="b">
        <f t="shared" si="1"/>
        <v>0</v>
      </c>
    </row>
    <row r="543">
      <c r="A543" s="50" t="s">
        <v>6622</v>
      </c>
      <c r="B543" s="61">
        <v>100.0</v>
      </c>
      <c r="C543" s="61">
        <v>100.0</v>
      </c>
      <c r="D543" s="9">
        <f t="array" ref="D543">xlookup(A543,'données'!E$2:E$3608,'données'!K$2:K$3608)</f>
        <v>148.9</v>
      </c>
      <c r="E543" s="5" t="b">
        <f t="shared" si="1"/>
        <v>0</v>
      </c>
    </row>
    <row r="544">
      <c r="A544" s="50" t="s">
        <v>3468</v>
      </c>
      <c r="B544" s="61">
        <v>100.0</v>
      </c>
      <c r="C544" s="61">
        <v>100.0</v>
      </c>
      <c r="D544" s="9">
        <f t="array" ref="D544">xlookup(A544,'données'!E$2:E$3608,'données'!K$2:K$3608)</f>
        <v>145.7</v>
      </c>
      <c r="E544" s="5" t="b">
        <f t="shared" si="1"/>
        <v>0</v>
      </c>
    </row>
    <row r="545">
      <c r="A545" s="50" t="s">
        <v>6620</v>
      </c>
      <c r="B545" s="61">
        <v>100.0</v>
      </c>
      <c r="C545" s="61">
        <v>100.0</v>
      </c>
      <c r="D545" s="9">
        <f t="array" ref="D545">xlookup(A545,'données'!E$2:E$3608,'données'!K$2:K$3608)</f>
        <v>145.7</v>
      </c>
      <c r="E545" s="5" t="b">
        <f t="shared" si="1"/>
        <v>0</v>
      </c>
    </row>
    <row r="546">
      <c r="A546" s="50" t="s">
        <v>1613</v>
      </c>
      <c r="B546" s="61">
        <v>95.0</v>
      </c>
      <c r="C546" s="61">
        <v>97.0</v>
      </c>
      <c r="D546" s="9">
        <f t="array" ref="D546">xlookup(A546,'données'!E$2:E$3608,'données'!K$2:K$3608)</f>
        <v>120.6</v>
      </c>
      <c r="E546" s="5" t="b">
        <f t="shared" si="1"/>
        <v>0</v>
      </c>
    </row>
    <row r="547">
      <c r="A547" s="50" t="s">
        <v>3465</v>
      </c>
      <c r="B547" s="61">
        <v>98.0</v>
      </c>
      <c r="C547" s="61">
        <v>98.0</v>
      </c>
      <c r="D547" s="9">
        <f t="array" ref="D547">xlookup(A547,'données'!E$2:E$3608,'données'!K$2:K$3608)</f>
        <v>120.2</v>
      </c>
      <c r="E547" s="5" t="b">
        <f t="shared" si="1"/>
        <v>0</v>
      </c>
    </row>
    <row r="548">
      <c r="A548" s="50" t="s">
        <v>1610</v>
      </c>
      <c r="B548" s="61">
        <v>98.0</v>
      </c>
      <c r="C548" s="61">
        <v>98.0</v>
      </c>
      <c r="D548" s="9">
        <f t="array" ref="D548">xlookup(A548,'données'!E$2:E$3608,'données'!K$2:K$3608)</f>
        <v>131.4</v>
      </c>
      <c r="E548" s="5" t="b">
        <f t="shared" si="1"/>
        <v>0</v>
      </c>
    </row>
    <row r="549">
      <c r="A549" s="50" t="s">
        <v>7989</v>
      </c>
      <c r="B549" s="61">
        <v>98.0</v>
      </c>
      <c r="C549" s="61">
        <v>99.0</v>
      </c>
      <c r="D549" s="9">
        <f t="array" ref="D549">xlookup(A549,'données'!E$2:E$3608,'données'!K$2:K$3608)</f>
        <v>140.2</v>
      </c>
      <c r="E549" s="5" t="b">
        <f t="shared" si="1"/>
        <v>0</v>
      </c>
    </row>
    <row r="550">
      <c r="A550" s="50" t="s">
        <v>7987</v>
      </c>
      <c r="B550" s="61">
        <v>98.0</v>
      </c>
      <c r="C550" s="61">
        <v>98.0</v>
      </c>
      <c r="D550" s="9">
        <f t="array" ref="D550">xlookup(A550,'données'!E$2:E$3608,'données'!K$2:K$3608)</f>
        <v>143.2</v>
      </c>
      <c r="E550" s="5" t="b">
        <f t="shared" si="1"/>
        <v>0</v>
      </c>
    </row>
    <row r="551">
      <c r="A551" s="50" t="s">
        <v>1609</v>
      </c>
      <c r="B551" s="61">
        <v>98.0</v>
      </c>
      <c r="C551" s="61">
        <v>99.0</v>
      </c>
      <c r="D551" s="9">
        <f t="array" ref="D551">xlookup(A551,'données'!E$2:E$3608,'données'!K$2:K$3608)</f>
        <v>129.6</v>
      </c>
      <c r="E551" s="5" t="b">
        <f t="shared" si="1"/>
        <v>0</v>
      </c>
    </row>
    <row r="552">
      <c r="A552" s="50" t="s">
        <v>1607</v>
      </c>
      <c r="B552" s="61">
        <v>96.0</v>
      </c>
      <c r="C552" s="61">
        <v>95.0</v>
      </c>
      <c r="D552" s="9">
        <f t="array" ref="D552">xlookup(A552,'données'!E$2:E$3608,'données'!K$2:K$3608)</f>
        <v>129.6</v>
      </c>
      <c r="E552" s="5" t="b">
        <f t="shared" si="1"/>
        <v>0</v>
      </c>
    </row>
    <row r="553">
      <c r="A553" s="50" t="s">
        <v>3461</v>
      </c>
      <c r="B553" s="61">
        <v>99.0</v>
      </c>
      <c r="C553" s="61">
        <v>99.0</v>
      </c>
      <c r="D553" s="9">
        <f t="array" ref="D553">xlookup(A553,'données'!E$2:E$3608,'données'!K$2:K$3608)</f>
        <v>143.1</v>
      </c>
      <c r="E553" s="5" t="b">
        <f t="shared" si="1"/>
        <v>0</v>
      </c>
    </row>
    <row r="554">
      <c r="A554" s="50" t="s">
        <v>6616</v>
      </c>
      <c r="B554" s="61">
        <v>100.0</v>
      </c>
      <c r="C554" s="61">
        <v>100.0</v>
      </c>
      <c r="D554" s="9">
        <f t="array" ref="D554">xlookup(A554,'données'!E$2:E$3608,'données'!K$2:K$3608)</f>
        <v>151.7</v>
      </c>
      <c r="E554" s="5" t="b">
        <f t="shared" si="1"/>
        <v>0</v>
      </c>
    </row>
    <row r="555">
      <c r="A555" s="50" t="s">
        <v>6614</v>
      </c>
      <c r="B555" s="61">
        <v>97.0</v>
      </c>
      <c r="C555" s="61">
        <v>100.0</v>
      </c>
      <c r="D555" s="9">
        <f t="array" ref="D555">xlookup(A555,'données'!E$2:E$3608,'données'!K$2:K$3608)</f>
        <v>107</v>
      </c>
      <c r="E555" s="5" t="b">
        <f t="shared" si="1"/>
        <v>0</v>
      </c>
    </row>
    <row r="556">
      <c r="A556" s="50" t="s">
        <v>5078</v>
      </c>
      <c r="B556" s="61">
        <v>94.0</v>
      </c>
      <c r="C556" s="61">
        <v>94.0</v>
      </c>
      <c r="D556" s="9">
        <f t="array" ref="D556">xlookup(A556,'données'!E$2:E$3608,'données'!K$2:K$3608)</f>
        <v>119</v>
      </c>
      <c r="E556" s="5" t="b">
        <f t="shared" si="1"/>
        <v>0</v>
      </c>
    </row>
    <row r="557">
      <c r="A557" s="50" t="s">
        <v>7985</v>
      </c>
      <c r="B557" s="61">
        <v>96.0</v>
      </c>
      <c r="C557" s="61">
        <v>97.0</v>
      </c>
      <c r="D557" s="9">
        <f t="array" ref="D557">xlookup(A557,'données'!E$2:E$3608,'données'!K$2:K$3608)</f>
        <v>131.8</v>
      </c>
      <c r="E557" s="5" t="b">
        <f t="shared" si="1"/>
        <v>0</v>
      </c>
    </row>
    <row r="558">
      <c r="A558" s="50" t="s">
        <v>1604</v>
      </c>
      <c r="B558" s="61">
        <v>95.0</v>
      </c>
      <c r="C558" s="61">
        <v>97.0</v>
      </c>
      <c r="D558" s="9">
        <f t="array" ref="D558">xlookup(A558,'données'!E$2:E$3608,'données'!K$2:K$3608)</f>
        <v>120.7</v>
      </c>
      <c r="E558" s="5" t="b">
        <f t="shared" si="1"/>
        <v>0</v>
      </c>
    </row>
    <row r="559">
      <c r="A559" s="50" t="s">
        <v>7984</v>
      </c>
      <c r="B559" s="61">
        <v>93.0</v>
      </c>
      <c r="C559" s="61">
        <v>95.0</v>
      </c>
      <c r="D559" s="9">
        <f t="array" ref="D559">xlookup(A559,'données'!E$2:E$3608,'données'!K$2:K$3608)</f>
        <v>95.1</v>
      </c>
      <c r="E559" s="5" t="b">
        <f t="shared" si="1"/>
        <v>0</v>
      </c>
    </row>
    <row r="560">
      <c r="A560" s="50" t="s">
        <v>7983</v>
      </c>
      <c r="B560" s="61">
        <v>95.0</v>
      </c>
      <c r="C560" s="61">
        <v>97.0</v>
      </c>
      <c r="D560" s="9">
        <f t="array" ref="D560">xlookup(A560,'données'!E$2:E$3608,'données'!K$2:K$3608)</f>
        <v>100.5</v>
      </c>
      <c r="E560" s="5" t="b">
        <f t="shared" si="1"/>
        <v>0</v>
      </c>
    </row>
    <row r="561">
      <c r="A561" s="50" t="s">
        <v>6612</v>
      </c>
      <c r="B561" s="61">
        <v>98.0</v>
      </c>
      <c r="C561" s="61">
        <v>98.0</v>
      </c>
      <c r="D561" s="9">
        <f t="array" ref="D561">xlookup(A561,'données'!E$2:E$3608,'données'!K$2:K$3608)</f>
        <v>141.3</v>
      </c>
      <c r="E561" s="5" t="b">
        <f t="shared" si="1"/>
        <v>0</v>
      </c>
    </row>
    <row r="562">
      <c r="A562" s="50" t="s">
        <v>7979</v>
      </c>
      <c r="B562" s="61">
        <v>99.0</v>
      </c>
      <c r="C562" s="61">
        <v>99.0</v>
      </c>
      <c r="D562" s="9">
        <f t="array" ref="D562">xlookup(A562,'données'!E$2:E$3608,'données'!K$2:K$3608)</f>
        <v>140.6</v>
      </c>
      <c r="E562" s="5" t="b">
        <f t="shared" si="1"/>
        <v>0</v>
      </c>
    </row>
    <row r="563">
      <c r="A563" s="50" t="s">
        <v>5074</v>
      </c>
      <c r="B563" s="61">
        <v>99.0</v>
      </c>
      <c r="C563" s="61">
        <v>99.0</v>
      </c>
      <c r="D563" s="9">
        <f t="array" ref="D563">xlookup(A563,'données'!E$2:E$3608,'données'!K$2:K$3608)</f>
        <v>130</v>
      </c>
      <c r="E563" s="5" t="b">
        <f t="shared" si="1"/>
        <v>0</v>
      </c>
    </row>
    <row r="564">
      <c r="A564" s="50" t="s">
        <v>1601</v>
      </c>
      <c r="B564" s="61">
        <v>93.0</v>
      </c>
      <c r="C564" s="61">
        <v>94.0</v>
      </c>
      <c r="D564" s="9">
        <f t="array" ref="D564">xlookup(A564,'données'!E$2:E$3608,'données'!K$2:K$3608)</f>
        <v>112.6</v>
      </c>
      <c r="E564" s="5" t="b">
        <f t="shared" si="1"/>
        <v>0</v>
      </c>
    </row>
    <row r="565">
      <c r="A565" s="50" t="s">
        <v>5072</v>
      </c>
      <c r="B565" s="61">
        <v>92.0</v>
      </c>
      <c r="C565" s="61">
        <v>90.0</v>
      </c>
      <c r="D565" s="9">
        <f t="array" ref="D565">xlookup(A565,'données'!E$2:E$3608,'données'!K$2:K$3608)</f>
        <v>106.8</v>
      </c>
      <c r="E565" s="5" t="b">
        <f t="shared" si="1"/>
        <v>0</v>
      </c>
    </row>
    <row r="566">
      <c r="A566" s="50" t="s">
        <v>5070</v>
      </c>
      <c r="B566" s="61">
        <v>98.0</v>
      </c>
      <c r="C566" s="61">
        <v>98.0</v>
      </c>
      <c r="D566" s="9">
        <f t="array" ref="D566">xlookup(A566,'données'!E$2:E$3608,'données'!K$2:K$3608)</f>
        <v>119.5</v>
      </c>
      <c r="E566" s="5" t="b">
        <f t="shared" si="1"/>
        <v>0</v>
      </c>
    </row>
    <row r="567">
      <c r="A567" s="50" t="s">
        <v>1596</v>
      </c>
      <c r="B567" s="61">
        <v>100.0</v>
      </c>
      <c r="C567" s="61">
        <v>100.0</v>
      </c>
      <c r="D567" s="9">
        <f t="array" ref="D567">xlookup(A567,'données'!E$2:E$3608,'données'!K$2:K$3608)</f>
        <v>150.5</v>
      </c>
      <c r="E567" s="5" t="b">
        <f t="shared" si="1"/>
        <v>0</v>
      </c>
    </row>
    <row r="568">
      <c r="A568" s="50" t="s">
        <v>7978</v>
      </c>
      <c r="B568" s="61">
        <v>97.0</v>
      </c>
      <c r="C568" s="61">
        <v>98.0</v>
      </c>
      <c r="D568" s="9">
        <f t="array" ref="D568">xlookup(A568,'données'!E$2:E$3608,'données'!K$2:K$3608)</f>
        <v>124.1</v>
      </c>
      <c r="E568" s="5" t="b">
        <f t="shared" si="1"/>
        <v>0</v>
      </c>
    </row>
    <row r="569">
      <c r="A569" s="50" t="s">
        <v>6608</v>
      </c>
      <c r="B569" s="61">
        <v>97.0</v>
      </c>
      <c r="C569" s="61">
        <v>96.0</v>
      </c>
      <c r="D569" s="9">
        <f t="array" ref="D569">xlookup(A569,'données'!E$2:E$3608,'données'!K$2:K$3608)</f>
        <v>110.4</v>
      </c>
      <c r="E569" s="5" t="b">
        <f t="shared" si="1"/>
        <v>0</v>
      </c>
    </row>
    <row r="570">
      <c r="A570" s="50" t="s">
        <v>5068</v>
      </c>
      <c r="B570" s="61">
        <v>93.0</v>
      </c>
      <c r="C570" s="61">
        <v>92.0</v>
      </c>
      <c r="D570" s="9">
        <f t="array" ref="D570">xlookup(A570,'données'!E$2:E$3608,'données'!K$2:K$3608)</f>
        <v>113.4</v>
      </c>
      <c r="E570" s="5" t="b">
        <f t="shared" si="1"/>
        <v>0</v>
      </c>
    </row>
    <row r="571">
      <c r="A571" s="50" t="s">
        <v>6605</v>
      </c>
      <c r="B571" s="61">
        <v>100.0</v>
      </c>
      <c r="C571" s="61">
        <v>100.0</v>
      </c>
      <c r="D571" s="9">
        <f t="array" ref="D571">xlookup(A571,'données'!E$2:E$3608,'données'!K$2:K$3608)</f>
        <v>144.5</v>
      </c>
      <c r="E571" s="5" t="b">
        <f t="shared" si="1"/>
        <v>0</v>
      </c>
    </row>
    <row r="572">
      <c r="A572" s="50" t="s">
        <v>3458</v>
      </c>
      <c r="B572" s="61">
        <v>99.0</v>
      </c>
      <c r="C572" s="61">
        <v>99.0</v>
      </c>
      <c r="D572" s="9">
        <f t="array" ref="D572">xlookup(A572,'données'!E$2:E$3608,'données'!K$2:K$3608)</f>
        <v>138.3</v>
      </c>
      <c r="E572" s="5" t="b">
        <f t="shared" si="1"/>
        <v>0</v>
      </c>
    </row>
    <row r="573">
      <c r="A573" s="50" t="s">
        <v>7975</v>
      </c>
      <c r="B573" s="61">
        <v>96.0</v>
      </c>
      <c r="C573" s="61">
        <v>97.0</v>
      </c>
      <c r="D573" s="9">
        <f t="array" ref="D573">xlookup(A573,'données'!E$2:E$3608,'données'!K$2:K$3608)</f>
        <v>121.8</v>
      </c>
      <c r="E573" s="5" t="b">
        <f t="shared" si="1"/>
        <v>0</v>
      </c>
    </row>
    <row r="574">
      <c r="A574" s="50" t="s">
        <v>1593</v>
      </c>
      <c r="B574" s="61">
        <v>95.0</v>
      </c>
      <c r="C574" s="61">
        <v>98.0</v>
      </c>
      <c r="D574" s="9">
        <f t="array" ref="D574">xlookup(A574,'données'!E$2:E$3608,'données'!K$2:K$3608)</f>
        <v>122.3</v>
      </c>
      <c r="E574" s="5" t="b">
        <f t="shared" si="1"/>
        <v>0</v>
      </c>
    </row>
    <row r="575">
      <c r="A575" s="50" t="s">
        <v>5065</v>
      </c>
      <c r="B575" s="61">
        <v>97.0</v>
      </c>
      <c r="C575" s="61">
        <v>98.0</v>
      </c>
      <c r="D575" s="9">
        <f t="array" ref="D575">xlookup(A575,'données'!E$2:E$3608,'données'!K$2:K$3608)</f>
        <v>135.7</v>
      </c>
      <c r="E575" s="5" t="b">
        <f t="shared" si="1"/>
        <v>0</v>
      </c>
    </row>
    <row r="576">
      <c r="A576" s="50" t="s">
        <v>7971</v>
      </c>
      <c r="B576" s="61">
        <v>96.0</v>
      </c>
      <c r="C576" s="61">
        <v>97.0</v>
      </c>
      <c r="D576" s="9">
        <f t="array" ref="D576">xlookup(A576,'données'!E$2:E$3608,'données'!K$2:K$3608)</f>
        <v>124.3</v>
      </c>
      <c r="E576" s="5" t="b">
        <f t="shared" si="1"/>
        <v>0</v>
      </c>
    </row>
    <row r="577">
      <c r="A577" s="50" t="s">
        <v>3456</v>
      </c>
      <c r="B577" s="61">
        <v>100.0</v>
      </c>
      <c r="C577" s="61">
        <v>100.0</v>
      </c>
      <c r="D577" s="9">
        <f t="array" ref="D577">xlookup(A577,'données'!E$2:E$3608,'données'!K$2:K$3608)</f>
        <v>142.1</v>
      </c>
      <c r="E577" s="5" t="b">
        <f t="shared" si="1"/>
        <v>0</v>
      </c>
    </row>
    <row r="578">
      <c r="A578" s="50" t="s">
        <v>5062</v>
      </c>
      <c r="B578" s="61">
        <v>100.0</v>
      </c>
      <c r="C578" s="50"/>
      <c r="D578" s="9">
        <f t="array" ref="D578">xlookup(A578,'données'!E$2:E$3608,'données'!K$2:K$3608)</f>
        <v>121.2</v>
      </c>
      <c r="E578" s="5" t="b">
        <f t="shared" si="1"/>
        <v>0</v>
      </c>
    </row>
    <row r="579">
      <c r="A579" s="50" t="s">
        <v>1587</v>
      </c>
      <c r="B579" s="61">
        <v>97.0</v>
      </c>
      <c r="C579" s="61">
        <v>99.0</v>
      </c>
      <c r="D579" s="9">
        <f t="array" ref="D579">xlookup(A579,'données'!E$2:E$3608,'données'!K$2:K$3608)</f>
        <v>141.5</v>
      </c>
      <c r="E579" s="5" t="b">
        <f t="shared" si="1"/>
        <v>0</v>
      </c>
    </row>
    <row r="580">
      <c r="A580" s="50" t="s">
        <v>7969</v>
      </c>
      <c r="B580" s="61">
        <v>94.0</v>
      </c>
      <c r="C580" s="61">
        <v>97.0</v>
      </c>
      <c r="D580" s="9">
        <f t="array" ref="D580">xlookup(A580,'données'!E$2:E$3608,'données'!K$2:K$3608)</f>
        <v>90.4</v>
      </c>
      <c r="E580" s="5" t="b">
        <f t="shared" si="1"/>
        <v>0</v>
      </c>
    </row>
    <row r="581">
      <c r="A581" s="50" t="s">
        <v>3453</v>
      </c>
      <c r="B581" s="61">
        <v>100.0</v>
      </c>
      <c r="C581" s="61">
        <v>100.0</v>
      </c>
      <c r="D581" s="9">
        <f t="array" ref="D581">xlookup(A581,'données'!E$2:E$3608,'données'!K$2:K$3608)</f>
        <v>121</v>
      </c>
      <c r="E581" s="5" t="b">
        <f t="shared" si="1"/>
        <v>0</v>
      </c>
    </row>
    <row r="582">
      <c r="A582" s="50" t="s">
        <v>1584</v>
      </c>
      <c r="B582" s="61">
        <v>99.0</v>
      </c>
      <c r="C582" s="61">
        <v>99.0</v>
      </c>
      <c r="D582" s="9">
        <f t="array" ref="D582">xlookup(A582,'données'!E$2:E$3608,'données'!K$2:K$3608)</f>
        <v>126.8</v>
      </c>
      <c r="E582" s="5" t="b">
        <f t="shared" si="1"/>
        <v>0</v>
      </c>
    </row>
    <row r="583">
      <c r="A583" s="50" t="s">
        <v>3450</v>
      </c>
      <c r="B583" s="61">
        <v>97.0</v>
      </c>
      <c r="C583" s="61">
        <v>97.0</v>
      </c>
      <c r="D583" s="9">
        <f t="array" ref="D583">xlookup(A583,'données'!E$2:E$3608,'données'!K$2:K$3608)</f>
        <v>103.6</v>
      </c>
      <c r="E583" s="5" t="b">
        <f t="shared" si="1"/>
        <v>0</v>
      </c>
    </row>
    <row r="584">
      <c r="A584" s="50" t="s">
        <v>3447</v>
      </c>
      <c r="B584" s="61">
        <v>100.0</v>
      </c>
      <c r="C584" s="61">
        <v>100.0</v>
      </c>
      <c r="D584" s="9">
        <f t="array" ref="D584">xlookup(A584,'données'!E$2:E$3608,'données'!K$2:K$3608)</f>
        <v>118.4</v>
      </c>
      <c r="E584" s="5" t="b">
        <f t="shared" si="1"/>
        <v>0</v>
      </c>
    </row>
    <row r="585">
      <c r="A585" s="50" t="s">
        <v>5059</v>
      </c>
      <c r="B585" s="61">
        <v>89.0</v>
      </c>
      <c r="C585" s="61">
        <v>91.0</v>
      </c>
      <c r="D585" s="9">
        <f t="array" ref="D585">xlookup(A585,'données'!E$2:E$3608,'données'!K$2:K$3608)</f>
        <v>115.5</v>
      </c>
      <c r="E585" s="5" t="b">
        <f t="shared" si="1"/>
        <v>0</v>
      </c>
    </row>
    <row r="586">
      <c r="A586" s="50" t="s">
        <v>7964</v>
      </c>
      <c r="B586" s="61">
        <v>99.0</v>
      </c>
      <c r="C586" s="61">
        <v>99.0</v>
      </c>
      <c r="D586" s="9">
        <f t="array" ref="D586">xlookup(A586,'données'!E$2:E$3608,'données'!K$2:K$3608)</f>
        <v>95.6</v>
      </c>
      <c r="E586" s="5" t="b">
        <f t="shared" si="1"/>
        <v>0</v>
      </c>
    </row>
    <row r="587">
      <c r="A587" s="50" t="s">
        <v>1576</v>
      </c>
      <c r="B587" s="61">
        <v>98.0</v>
      </c>
      <c r="C587" s="61">
        <v>97.0</v>
      </c>
      <c r="D587" s="9">
        <f t="array" ref="D587">xlookup(A587,'données'!E$2:E$3608,'données'!K$2:K$3608)</f>
        <v>126.4</v>
      </c>
      <c r="E587" s="5" t="b">
        <f t="shared" si="1"/>
        <v>0</v>
      </c>
    </row>
    <row r="588">
      <c r="A588" s="50" t="s">
        <v>6601</v>
      </c>
      <c r="B588" s="61">
        <v>94.0</v>
      </c>
      <c r="C588" s="61">
        <v>94.0</v>
      </c>
      <c r="D588" s="9">
        <f t="array" ref="D588">xlookup(A588,'données'!E$2:E$3608,'données'!K$2:K$3608)</f>
        <v>106.2</v>
      </c>
      <c r="E588" s="5" t="b">
        <f t="shared" si="1"/>
        <v>0</v>
      </c>
    </row>
    <row r="589">
      <c r="A589" s="50" t="s">
        <v>3444</v>
      </c>
      <c r="B589" s="61">
        <v>100.0</v>
      </c>
      <c r="C589" s="61">
        <v>100.0</v>
      </c>
      <c r="D589" s="9">
        <f t="array" ref="D589">xlookup(A589,'données'!E$2:E$3608,'données'!K$2:K$3608)</f>
        <v>125.5</v>
      </c>
      <c r="E589" s="5" t="b">
        <f t="shared" si="1"/>
        <v>0</v>
      </c>
    </row>
    <row r="590">
      <c r="A590" s="50" t="s">
        <v>3441</v>
      </c>
      <c r="B590" s="61">
        <v>96.0</v>
      </c>
      <c r="C590" s="61">
        <v>95.0</v>
      </c>
      <c r="D590" s="9">
        <f t="array" ref="D590">xlookup(A590,'données'!E$2:E$3608,'données'!K$2:K$3608)</f>
        <v>121.2</v>
      </c>
      <c r="E590" s="5" t="b">
        <f t="shared" si="1"/>
        <v>0</v>
      </c>
    </row>
    <row r="591">
      <c r="A591" s="50" t="s">
        <v>5056</v>
      </c>
      <c r="B591" s="61">
        <v>97.0</v>
      </c>
      <c r="C591" s="61">
        <v>97.0</v>
      </c>
      <c r="D591" s="9">
        <f t="array" ref="D591">xlookup(A591,'données'!E$2:E$3608,'données'!K$2:K$3608)</f>
        <v>122.1</v>
      </c>
      <c r="E591" s="5" t="b">
        <f t="shared" si="1"/>
        <v>0</v>
      </c>
    </row>
    <row r="592">
      <c r="A592" s="50" t="s">
        <v>5053</v>
      </c>
      <c r="B592" s="61">
        <v>100.0</v>
      </c>
      <c r="C592" s="61">
        <v>100.0</v>
      </c>
      <c r="D592" s="9">
        <f t="array" ref="D592">xlookup(A592,'données'!E$2:E$3608,'données'!K$2:K$3608)</f>
        <v>134.9</v>
      </c>
      <c r="E592" s="5" t="b">
        <f t="shared" si="1"/>
        <v>0</v>
      </c>
    </row>
    <row r="593">
      <c r="A593" s="50" t="s">
        <v>7961</v>
      </c>
      <c r="B593" s="61">
        <v>99.0</v>
      </c>
      <c r="C593" s="61">
        <v>100.0</v>
      </c>
      <c r="D593" s="9">
        <f t="array" ref="D593">xlookup(A593,'données'!E$2:E$3608,'données'!K$2:K$3608)</f>
        <v>116.5</v>
      </c>
      <c r="E593" s="5" t="b">
        <f t="shared" si="1"/>
        <v>0</v>
      </c>
    </row>
    <row r="594">
      <c r="A594" s="50" t="s">
        <v>6598</v>
      </c>
      <c r="B594" s="61">
        <v>95.0</v>
      </c>
      <c r="C594" s="61">
        <v>95.0</v>
      </c>
      <c r="D594" s="9">
        <f t="array" ref="D594">xlookup(A594,'données'!E$2:E$3608,'données'!K$2:K$3608)</f>
        <v>106.4</v>
      </c>
      <c r="E594" s="5" t="b">
        <f t="shared" si="1"/>
        <v>0</v>
      </c>
    </row>
    <row r="595">
      <c r="A595" s="50" t="s">
        <v>1573</v>
      </c>
      <c r="B595" s="61">
        <v>89.0</v>
      </c>
      <c r="C595" s="61">
        <v>89.0</v>
      </c>
      <c r="D595" s="9">
        <f t="array" ref="D595">xlookup(A595,'données'!E$2:E$3608,'données'!K$2:K$3608)</f>
        <v>116.7</v>
      </c>
      <c r="E595" s="5" t="b">
        <f t="shared" si="1"/>
        <v>0</v>
      </c>
    </row>
    <row r="596">
      <c r="A596" s="50" t="s">
        <v>5050</v>
      </c>
      <c r="B596" s="61">
        <v>95.0</v>
      </c>
      <c r="C596" s="61">
        <v>99.0</v>
      </c>
      <c r="D596" s="9">
        <f t="array" ref="D596">xlookup(A596,'données'!E$2:E$3608,'données'!K$2:K$3608)</f>
        <v>114.6</v>
      </c>
      <c r="E596" s="5" t="b">
        <f t="shared" si="1"/>
        <v>0</v>
      </c>
    </row>
    <row r="597">
      <c r="A597" s="50" t="s">
        <v>1570</v>
      </c>
      <c r="B597" s="61">
        <v>95.0</v>
      </c>
      <c r="C597" s="61">
        <v>97.0</v>
      </c>
      <c r="D597" s="9">
        <f t="array" ref="D597">xlookup(A597,'données'!E$2:E$3608,'données'!K$2:K$3608)</f>
        <v>126.2</v>
      </c>
      <c r="E597" s="5" t="b">
        <f t="shared" si="1"/>
        <v>0</v>
      </c>
    </row>
    <row r="598">
      <c r="A598" s="50" t="s">
        <v>6596</v>
      </c>
      <c r="B598" s="61">
        <v>100.0</v>
      </c>
      <c r="C598" s="61">
        <v>100.0</v>
      </c>
      <c r="D598" s="9">
        <f t="array" ref="D598">xlookup(A598,'données'!E$2:E$3608,'données'!K$2:K$3608)</f>
        <v>128.1</v>
      </c>
      <c r="E598" s="5" t="b">
        <f t="shared" si="1"/>
        <v>0</v>
      </c>
    </row>
    <row r="599">
      <c r="A599" s="50" t="s">
        <v>6593</v>
      </c>
      <c r="B599" s="61">
        <v>99.0</v>
      </c>
      <c r="C599" s="61">
        <v>98.0</v>
      </c>
      <c r="D599" s="9">
        <f t="array" ref="D599">xlookup(A599,'données'!E$2:E$3608,'données'!K$2:K$3608)</f>
        <v>104.4</v>
      </c>
      <c r="E599" s="5" t="b">
        <f t="shared" si="1"/>
        <v>0</v>
      </c>
    </row>
    <row r="600">
      <c r="A600" s="50" t="s">
        <v>1568</v>
      </c>
      <c r="B600" s="61">
        <v>91.0</v>
      </c>
      <c r="C600" s="61">
        <v>87.0</v>
      </c>
      <c r="D600" s="9">
        <f t="array" ref="D600">xlookup(A600,'données'!E$2:E$3608,'données'!K$2:K$3608)</f>
        <v>105.6</v>
      </c>
      <c r="E600" s="5" t="b">
        <f t="shared" si="1"/>
        <v>0</v>
      </c>
    </row>
    <row r="601">
      <c r="A601" s="50" t="s">
        <v>6591</v>
      </c>
      <c r="B601" s="61">
        <v>100.0</v>
      </c>
      <c r="C601" s="61">
        <v>100.0</v>
      </c>
      <c r="D601" s="9">
        <f t="array" ref="D601">xlookup(A601,'données'!E$2:E$3608,'données'!K$2:K$3608)</f>
        <v>135.9</v>
      </c>
      <c r="E601" s="5" t="b">
        <f t="shared" si="1"/>
        <v>0</v>
      </c>
    </row>
    <row r="602">
      <c r="A602" s="50" t="s">
        <v>3433</v>
      </c>
      <c r="B602" s="61">
        <v>96.0</v>
      </c>
      <c r="C602" s="61">
        <v>97.0</v>
      </c>
      <c r="D602" s="9">
        <f t="array" ref="D602">xlookup(A602,'données'!E$2:E$3608,'données'!K$2:K$3608)</f>
        <v>114.1</v>
      </c>
      <c r="E602" s="5" t="b">
        <f t="shared" si="1"/>
        <v>0</v>
      </c>
    </row>
    <row r="603">
      <c r="A603" s="50" t="s">
        <v>1565</v>
      </c>
      <c r="B603" s="61">
        <v>95.0</v>
      </c>
      <c r="C603" s="61">
        <v>96.0</v>
      </c>
      <c r="D603" s="9">
        <f t="array" ref="D603">xlookup(A603,'données'!E$2:E$3608,'données'!K$2:K$3608)</f>
        <v>122.4</v>
      </c>
      <c r="E603" s="5" t="b">
        <f t="shared" si="1"/>
        <v>0</v>
      </c>
    </row>
    <row r="604">
      <c r="A604" s="50" t="s">
        <v>7960</v>
      </c>
      <c r="B604" s="61">
        <v>97.0</v>
      </c>
      <c r="C604" s="61">
        <v>96.0</v>
      </c>
      <c r="D604" s="9">
        <f t="array" ref="D604">xlookup(A604,'données'!E$2:E$3608,'données'!K$2:K$3608)</f>
        <v>108.3</v>
      </c>
      <c r="E604" s="5" t="b">
        <f t="shared" si="1"/>
        <v>0</v>
      </c>
    </row>
    <row r="605">
      <c r="A605" s="50" t="s">
        <v>3430</v>
      </c>
      <c r="B605" s="61">
        <v>94.0</v>
      </c>
      <c r="C605" s="61">
        <v>94.0</v>
      </c>
      <c r="D605" s="9">
        <f t="array" ref="D605">xlookup(A605,'données'!E$2:E$3608,'données'!K$2:K$3608)</f>
        <v>112.4</v>
      </c>
      <c r="E605" s="5" t="b">
        <f t="shared" si="1"/>
        <v>0</v>
      </c>
    </row>
    <row r="606">
      <c r="A606" s="50" t="s">
        <v>6589</v>
      </c>
      <c r="B606" s="61">
        <v>100.0</v>
      </c>
      <c r="C606" s="50"/>
      <c r="D606" s="9">
        <f t="array" ref="D606">xlookup(A606,'données'!E$2:E$3608,'données'!K$2:K$3608)</f>
        <v>112.5</v>
      </c>
      <c r="E606" s="5" t="b">
        <f t="shared" si="1"/>
        <v>0</v>
      </c>
    </row>
    <row r="607">
      <c r="A607" s="50" t="s">
        <v>1562</v>
      </c>
      <c r="B607" s="61">
        <v>94.0</v>
      </c>
      <c r="C607" s="61">
        <v>94.0</v>
      </c>
      <c r="D607" s="9">
        <f t="array" ref="D607">xlookup(A607,'données'!E$2:E$3608,'données'!K$2:K$3608)</f>
        <v>116.1</v>
      </c>
      <c r="E607" s="5" t="b">
        <f t="shared" si="1"/>
        <v>0</v>
      </c>
    </row>
    <row r="608">
      <c r="A608" s="50" t="s">
        <v>6588</v>
      </c>
      <c r="B608" s="61">
        <v>88.0</v>
      </c>
      <c r="C608" s="61">
        <v>87.0</v>
      </c>
      <c r="D608" s="9">
        <f t="array" ref="D608">xlookup(A608,'données'!E$2:E$3608,'données'!K$2:K$3608)</f>
        <v>101.7</v>
      </c>
      <c r="E608" s="5" t="b">
        <f t="shared" si="1"/>
        <v>0</v>
      </c>
    </row>
    <row r="609">
      <c r="A609" s="50" t="s">
        <v>7957</v>
      </c>
      <c r="B609" s="61">
        <v>94.0</v>
      </c>
      <c r="C609" s="61">
        <v>92.0</v>
      </c>
      <c r="D609" s="9">
        <f t="array" ref="D609">xlookup(A609,'données'!E$2:E$3608,'données'!K$2:K$3608)</f>
        <v>120.1</v>
      </c>
      <c r="E609" s="5" t="b">
        <f t="shared" si="1"/>
        <v>0</v>
      </c>
    </row>
    <row r="610">
      <c r="A610" s="50" t="s">
        <v>7955</v>
      </c>
      <c r="B610" s="61">
        <v>88.0</v>
      </c>
      <c r="C610" s="61">
        <v>92.0</v>
      </c>
      <c r="D610" s="9">
        <f t="array" ref="D610">xlookup(A610,'données'!E$2:E$3608,'données'!K$2:K$3608)</f>
        <v>104.3</v>
      </c>
      <c r="E610" s="5" t="b">
        <f t="shared" si="1"/>
        <v>0</v>
      </c>
    </row>
    <row r="611">
      <c r="A611" s="50" t="s">
        <v>1559</v>
      </c>
      <c r="B611" s="61">
        <v>93.0</v>
      </c>
      <c r="C611" s="61">
        <v>96.0</v>
      </c>
      <c r="D611" s="9">
        <f t="array" ref="D611">xlookup(A611,'données'!E$2:E$3608,'données'!K$2:K$3608)</f>
        <v>106.5</v>
      </c>
      <c r="E611" s="5" t="b">
        <f t="shared" si="1"/>
        <v>0</v>
      </c>
    </row>
    <row r="612">
      <c r="A612" s="50" t="s">
        <v>5048</v>
      </c>
      <c r="B612" s="61">
        <v>95.0</v>
      </c>
      <c r="C612" s="61">
        <v>97.0</v>
      </c>
      <c r="D612" s="9">
        <f t="array" ref="D612">xlookup(A612,'données'!E$2:E$3608,'données'!K$2:K$3608)</f>
        <v>108.4</v>
      </c>
      <c r="E612" s="5" t="b">
        <f t="shared" si="1"/>
        <v>0</v>
      </c>
    </row>
    <row r="613">
      <c r="A613" s="50" t="s">
        <v>1556</v>
      </c>
      <c r="B613" s="61">
        <v>97.0</v>
      </c>
      <c r="C613" s="61">
        <v>99.0</v>
      </c>
      <c r="D613" s="9">
        <f t="array" ref="D613">xlookup(A613,'données'!E$2:E$3608,'données'!K$2:K$3608)</f>
        <v>109.5</v>
      </c>
      <c r="E613" s="5" t="b">
        <f t="shared" si="1"/>
        <v>0</v>
      </c>
    </row>
    <row r="614">
      <c r="A614" s="50" t="s">
        <v>5046</v>
      </c>
      <c r="B614" s="61">
        <v>100.0</v>
      </c>
      <c r="C614" s="61">
        <v>100.0</v>
      </c>
      <c r="D614" s="9">
        <f t="array" ref="D614">xlookup(A614,'données'!E$2:E$3608,'données'!K$2:K$3608)</f>
        <v>126.8</v>
      </c>
      <c r="E614" s="5" t="b">
        <f t="shared" si="1"/>
        <v>0</v>
      </c>
    </row>
    <row r="615">
      <c r="A615" s="50" t="s">
        <v>6582</v>
      </c>
      <c r="B615" s="61">
        <v>95.0</v>
      </c>
      <c r="C615" s="61">
        <v>97.0</v>
      </c>
      <c r="D615" s="9">
        <f t="array" ref="D615">xlookup(A615,'données'!E$2:E$3608,'données'!K$2:K$3608)</f>
        <v>88.3</v>
      </c>
      <c r="E615" s="5" t="b">
        <f t="shared" si="1"/>
        <v>0</v>
      </c>
    </row>
    <row r="616">
      <c r="A616" s="50" t="s">
        <v>3425</v>
      </c>
      <c r="B616" s="61">
        <v>96.0</v>
      </c>
      <c r="C616" s="50"/>
      <c r="D616" s="9">
        <f t="array" ref="D616">xlookup(A616,'données'!E$2:E$3608,'données'!K$2:K$3608)</f>
        <v>116.6</v>
      </c>
      <c r="E616" s="5" t="b">
        <f t="shared" si="1"/>
        <v>0</v>
      </c>
    </row>
    <row r="617">
      <c r="A617" s="50" t="s">
        <v>7948</v>
      </c>
      <c r="B617" s="61">
        <v>89.0</v>
      </c>
      <c r="C617" s="61">
        <v>90.0</v>
      </c>
      <c r="D617" s="9">
        <f t="array" ref="D617">xlookup(A617,'données'!E$2:E$3608,'données'!K$2:K$3608)</f>
        <v>118.7</v>
      </c>
      <c r="E617" s="5" t="b">
        <f t="shared" si="1"/>
        <v>0</v>
      </c>
    </row>
    <row r="618">
      <c r="A618" s="50" t="s">
        <v>5043</v>
      </c>
      <c r="B618" s="61">
        <v>93.0</v>
      </c>
      <c r="C618" s="61">
        <v>96.0</v>
      </c>
      <c r="D618" s="9">
        <f t="array" ref="D618">xlookup(A618,'données'!E$2:E$3608,'données'!K$2:K$3608)</f>
        <v>103.3</v>
      </c>
      <c r="E618" s="5" t="b">
        <f t="shared" si="1"/>
        <v>0</v>
      </c>
    </row>
    <row r="619">
      <c r="A619" s="50" t="s">
        <v>6579</v>
      </c>
      <c r="B619" s="61">
        <v>99.0</v>
      </c>
      <c r="C619" s="61">
        <v>99.0</v>
      </c>
      <c r="D619" s="9">
        <f t="array" ref="D619">xlookup(A619,'données'!E$2:E$3608,'données'!K$2:K$3608)</f>
        <v>122.1</v>
      </c>
      <c r="E619" s="5" t="b">
        <f t="shared" si="1"/>
        <v>0</v>
      </c>
    </row>
    <row r="620">
      <c r="A620" s="50" t="s">
        <v>6577</v>
      </c>
      <c r="B620" s="61">
        <v>100.0</v>
      </c>
      <c r="C620" s="61">
        <v>100.0</v>
      </c>
      <c r="D620" s="9">
        <f t="array" ref="D620">xlookup(A620,'données'!E$2:E$3608,'données'!K$2:K$3608)</f>
        <v>129.2</v>
      </c>
      <c r="E620" s="5" t="b">
        <f t="shared" si="1"/>
        <v>0</v>
      </c>
    </row>
    <row r="621">
      <c r="A621" s="50" t="s">
        <v>6574</v>
      </c>
      <c r="B621" s="61">
        <v>100.0</v>
      </c>
      <c r="C621" s="61">
        <v>100.0</v>
      </c>
      <c r="D621" s="9">
        <f t="array" ref="D621">xlookup(A621,'données'!E$2:E$3608,'données'!K$2:K$3608)</f>
        <v>131.2</v>
      </c>
      <c r="E621" s="5" t="b">
        <f t="shared" si="1"/>
        <v>0</v>
      </c>
    </row>
    <row r="622">
      <c r="A622" s="50" t="s">
        <v>6572</v>
      </c>
      <c r="B622" s="61">
        <v>98.0</v>
      </c>
      <c r="C622" s="61">
        <v>98.0</v>
      </c>
      <c r="D622" s="9">
        <f t="array" ref="D622">xlookup(A622,'données'!E$2:E$3608,'données'!K$2:K$3608)</f>
        <v>139</v>
      </c>
      <c r="E622" s="5" t="b">
        <f t="shared" si="1"/>
        <v>0</v>
      </c>
    </row>
    <row r="623">
      <c r="A623" s="50" t="s">
        <v>6569</v>
      </c>
      <c r="B623" s="61">
        <v>97.0</v>
      </c>
      <c r="C623" s="61">
        <v>96.0</v>
      </c>
      <c r="D623" s="9">
        <f t="array" ref="D623">xlookup(A623,'données'!E$2:E$3608,'données'!K$2:K$3608)</f>
        <v>108.2</v>
      </c>
      <c r="E623" s="5" t="b">
        <f t="shared" si="1"/>
        <v>0</v>
      </c>
    </row>
    <row r="624">
      <c r="A624" s="50" t="s">
        <v>6564</v>
      </c>
      <c r="B624" s="61">
        <v>94.0</v>
      </c>
      <c r="C624" s="61">
        <v>94.0</v>
      </c>
      <c r="D624" s="9">
        <f t="array" ref="D624">xlookup(A624,'données'!E$2:E$3608,'données'!K$2:K$3608)</f>
        <v>100.2</v>
      </c>
      <c r="E624" s="5" t="b">
        <f t="shared" si="1"/>
        <v>0</v>
      </c>
    </row>
    <row r="625">
      <c r="A625" s="50" t="s">
        <v>5038</v>
      </c>
      <c r="B625" s="61">
        <v>95.0</v>
      </c>
      <c r="C625" s="61">
        <v>96.0</v>
      </c>
      <c r="D625" s="9">
        <f t="array" ref="D625">xlookup(A625,'données'!E$2:E$3608,'données'!K$2:K$3608)</f>
        <v>109.3</v>
      </c>
      <c r="E625" s="5" t="b">
        <f t="shared" si="1"/>
        <v>0</v>
      </c>
    </row>
    <row r="626">
      <c r="A626" s="50" t="s">
        <v>7946</v>
      </c>
      <c r="B626" s="61">
        <v>96.0</v>
      </c>
      <c r="C626" s="61">
        <v>96.0</v>
      </c>
      <c r="D626" s="9">
        <f t="array" ref="D626">xlookup(A626,'données'!E$2:E$3608,'données'!K$2:K$3608)</f>
        <v>104.2</v>
      </c>
      <c r="E626" s="5" t="b">
        <f t="shared" si="1"/>
        <v>0</v>
      </c>
    </row>
    <row r="627">
      <c r="A627" s="50" t="s">
        <v>1550</v>
      </c>
      <c r="B627" s="61">
        <v>90.0</v>
      </c>
      <c r="C627" s="61">
        <v>90.0</v>
      </c>
      <c r="D627" s="9">
        <f t="array" ref="D627">xlookup(A627,'données'!E$2:E$3608,'données'!K$2:K$3608)</f>
        <v>89.6</v>
      </c>
      <c r="E627" s="5" t="b">
        <f t="shared" si="1"/>
        <v>0</v>
      </c>
    </row>
    <row r="628">
      <c r="A628" s="50" t="s">
        <v>7944</v>
      </c>
      <c r="B628" s="61">
        <v>97.0</v>
      </c>
      <c r="C628" s="61">
        <v>98.0</v>
      </c>
      <c r="D628" s="9">
        <f t="array" ref="D628">xlookup(A628,'données'!E$2:E$3608,'données'!K$2:K$3608)</f>
        <v>107.3</v>
      </c>
      <c r="E628" s="5" t="b">
        <f t="shared" si="1"/>
        <v>0</v>
      </c>
    </row>
    <row r="629">
      <c r="A629" s="50" t="s">
        <v>7942</v>
      </c>
      <c r="B629" s="61">
        <v>94.0</v>
      </c>
      <c r="C629" s="61">
        <v>96.0</v>
      </c>
      <c r="D629" s="9">
        <f t="array" ref="D629">xlookup(A629,'données'!E$2:E$3608,'données'!K$2:K$3608)</f>
        <v>112.6</v>
      </c>
      <c r="E629" s="5" t="b">
        <f t="shared" si="1"/>
        <v>0</v>
      </c>
    </row>
    <row r="630">
      <c r="A630" s="50" t="s">
        <v>7940</v>
      </c>
      <c r="B630" s="61">
        <v>96.0</v>
      </c>
      <c r="C630" s="61">
        <v>98.0</v>
      </c>
      <c r="D630" s="9">
        <f t="array" ref="D630">xlookup(A630,'données'!E$2:E$3608,'données'!K$2:K$3608)</f>
        <v>101.7</v>
      </c>
      <c r="E630" s="5" t="b">
        <f t="shared" si="1"/>
        <v>0</v>
      </c>
    </row>
    <row r="631">
      <c r="A631" s="50" t="s">
        <v>3417</v>
      </c>
      <c r="B631" s="61">
        <v>99.0</v>
      </c>
      <c r="C631" s="61">
        <v>99.0</v>
      </c>
      <c r="D631" s="9">
        <f t="array" ref="D631">xlookup(A631,'données'!E$2:E$3608,'données'!K$2:K$3608)</f>
        <v>137.8</v>
      </c>
      <c r="E631" s="5" t="b">
        <f t="shared" si="1"/>
        <v>0</v>
      </c>
    </row>
    <row r="632">
      <c r="A632" s="50" t="s">
        <v>3415</v>
      </c>
      <c r="B632" s="61">
        <v>98.0</v>
      </c>
      <c r="C632" s="61">
        <v>98.0</v>
      </c>
      <c r="D632" s="9">
        <f t="array" ref="D632">xlookup(A632,'données'!E$2:E$3608,'données'!K$2:K$3608)</f>
        <v>129.8</v>
      </c>
      <c r="E632" s="5" t="b">
        <f t="shared" si="1"/>
        <v>0</v>
      </c>
    </row>
    <row r="633">
      <c r="A633" s="50" t="s">
        <v>3412</v>
      </c>
      <c r="B633" s="61">
        <v>96.0</v>
      </c>
      <c r="C633" s="61">
        <v>95.0</v>
      </c>
      <c r="D633" s="9">
        <f t="array" ref="D633">xlookup(A633,'données'!E$2:E$3608,'données'!K$2:K$3608)</f>
        <v>109.5</v>
      </c>
      <c r="E633" s="5" t="b">
        <f t="shared" si="1"/>
        <v>0</v>
      </c>
    </row>
    <row r="634">
      <c r="A634" s="50" t="s">
        <v>1547</v>
      </c>
      <c r="B634" s="61">
        <v>96.0</v>
      </c>
      <c r="C634" s="61">
        <v>96.0</v>
      </c>
      <c r="D634" s="9">
        <f t="array" ref="D634">xlookup(A634,'données'!E$2:E$3608,'données'!K$2:K$3608)</f>
        <v>111.5</v>
      </c>
      <c r="E634" s="5" t="b">
        <f t="shared" si="1"/>
        <v>0</v>
      </c>
    </row>
    <row r="635">
      <c r="A635" s="50" t="s">
        <v>7937</v>
      </c>
      <c r="B635" s="61">
        <v>100.0</v>
      </c>
      <c r="C635" s="61">
        <v>100.0</v>
      </c>
      <c r="D635" s="9">
        <f t="array" ref="D635">xlookup(A635,'données'!E$2:E$3608,'données'!K$2:K$3608)</f>
        <v>119.7</v>
      </c>
      <c r="E635" s="5" t="b">
        <f t="shared" si="1"/>
        <v>0</v>
      </c>
    </row>
    <row r="636">
      <c r="A636" s="50" t="s">
        <v>6561</v>
      </c>
      <c r="B636" s="61">
        <v>96.0</v>
      </c>
      <c r="C636" s="61">
        <v>97.0</v>
      </c>
      <c r="D636" s="9">
        <f t="array" ref="D636">xlookup(A636,'données'!E$2:E$3608,'données'!K$2:K$3608)</f>
        <v>114</v>
      </c>
      <c r="E636" s="5" t="b">
        <f t="shared" si="1"/>
        <v>0</v>
      </c>
    </row>
    <row r="637">
      <c r="A637" s="50" t="s">
        <v>1541</v>
      </c>
      <c r="B637" s="61">
        <v>100.0</v>
      </c>
      <c r="C637" s="61">
        <v>100.0</v>
      </c>
      <c r="D637" s="9">
        <f t="array" ref="D637">xlookup(A637,'données'!E$2:E$3608,'données'!K$2:K$3608)</f>
        <v>135.5</v>
      </c>
      <c r="E637" s="5" t="b">
        <f t="shared" si="1"/>
        <v>0</v>
      </c>
    </row>
    <row r="638">
      <c r="A638" s="50" t="s">
        <v>6558</v>
      </c>
      <c r="B638" s="61">
        <v>92.0</v>
      </c>
      <c r="C638" s="50"/>
      <c r="D638" s="9">
        <f t="array" ref="D638">xlookup(A638,'données'!E$2:E$3608,'données'!K$2:K$3608)</f>
        <v>117</v>
      </c>
      <c r="E638" s="5" t="b">
        <f t="shared" si="1"/>
        <v>0</v>
      </c>
    </row>
    <row r="639">
      <c r="A639" s="50" t="s">
        <v>5037</v>
      </c>
      <c r="B639" s="61">
        <v>99.0</v>
      </c>
      <c r="C639" s="61">
        <v>99.0</v>
      </c>
      <c r="D639" s="9">
        <f t="array" ref="D639">xlookup(A639,'données'!E$2:E$3608,'données'!K$2:K$3608)</f>
        <v>112.3</v>
      </c>
      <c r="E639" s="5" t="b">
        <f t="shared" si="1"/>
        <v>0</v>
      </c>
    </row>
    <row r="640">
      <c r="A640" s="50" t="s">
        <v>5035</v>
      </c>
      <c r="B640" s="61">
        <v>95.0</v>
      </c>
      <c r="C640" s="50"/>
      <c r="D640" s="9">
        <f t="array" ref="D640">xlookup(A640,'données'!E$2:E$3608,'données'!K$2:K$3608)</f>
        <v>98.4</v>
      </c>
      <c r="E640" s="5" t="b">
        <f t="shared" si="1"/>
        <v>0</v>
      </c>
    </row>
    <row r="641">
      <c r="A641" s="50" t="s">
        <v>6556</v>
      </c>
      <c r="B641" s="61">
        <v>96.0</v>
      </c>
      <c r="C641" s="50"/>
      <c r="D641" s="9">
        <f t="array" ref="D641">xlookup(A641,'données'!E$2:E$3608,'données'!K$2:K$3608)</f>
        <v>87.9</v>
      </c>
      <c r="E641" s="5" t="b">
        <f t="shared" si="1"/>
        <v>0</v>
      </c>
    </row>
    <row r="642">
      <c r="A642" s="50" t="s">
        <v>1538</v>
      </c>
      <c r="B642" s="61">
        <v>90.0</v>
      </c>
      <c r="C642" s="50"/>
      <c r="D642" s="9">
        <f t="array" ref="D642">xlookup(A642,'données'!E$2:E$3608,'données'!K$2:K$3608)</f>
        <v>99.5</v>
      </c>
      <c r="E642" s="5" t="b">
        <f t="shared" si="1"/>
        <v>0</v>
      </c>
    </row>
    <row r="643">
      <c r="A643" s="50" t="s">
        <v>3409</v>
      </c>
      <c r="B643" s="61">
        <v>99.0</v>
      </c>
      <c r="C643" s="61">
        <v>100.0</v>
      </c>
      <c r="D643" s="9">
        <f t="array" ref="D643">xlookup(A643,'données'!E$2:E$3608,'données'!K$2:K$3608)</f>
        <v>109.7</v>
      </c>
      <c r="E643" s="5" t="b">
        <f t="shared" si="1"/>
        <v>0</v>
      </c>
    </row>
    <row r="644">
      <c r="A644" s="50" t="s">
        <v>7932</v>
      </c>
      <c r="B644" s="61">
        <v>95.0</v>
      </c>
      <c r="C644" s="61">
        <v>99.0</v>
      </c>
      <c r="D644" s="9">
        <f t="array" ref="D644">xlookup(A644,'données'!E$2:E$3608,'données'!K$2:K$3608)</f>
        <v>106.7</v>
      </c>
      <c r="E644" s="5" t="b">
        <f t="shared" si="1"/>
        <v>0</v>
      </c>
    </row>
    <row r="645">
      <c r="A645" s="50" t="s">
        <v>7929</v>
      </c>
      <c r="B645" s="61">
        <v>98.0</v>
      </c>
      <c r="C645" s="61">
        <v>98.0</v>
      </c>
      <c r="D645" s="9">
        <f t="array" ref="D645">xlookup(A645,'données'!E$2:E$3608,'données'!K$2:K$3608)</f>
        <v>122.7</v>
      </c>
      <c r="E645" s="5" t="b">
        <f t="shared" si="1"/>
        <v>0</v>
      </c>
    </row>
    <row r="646">
      <c r="A646" s="50" t="s">
        <v>1535</v>
      </c>
      <c r="B646" s="61">
        <v>98.0</v>
      </c>
      <c r="C646" s="61">
        <v>98.0</v>
      </c>
      <c r="D646" s="9">
        <f t="array" ref="D646">xlookup(A646,'données'!E$2:E$3608,'données'!K$2:K$3608)</f>
        <v>112</v>
      </c>
      <c r="E646" s="5" t="b">
        <f t="shared" si="1"/>
        <v>0</v>
      </c>
    </row>
    <row r="647">
      <c r="A647" s="50" t="s">
        <v>7926</v>
      </c>
      <c r="B647" s="61">
        <v>89.0</v>
      </c>
      <c r="C647" s="61">
        <v>92.0</v>
      </c>
      <c r="D647" s="9">
        <f t="array" ref="D647">xlookup(A647,'données'!E$2:E$3608,'données'!K$2:K$3608)</f>
        <v>98.8</v>
      </c>
      <c r="E647" s="5" t="b">
        <f t="shared" si="1"/>
        <v>0</v>
      </c>
    </row>
    <row r="648">
      <c r="A648" s="50" t="s">
        <v>6553</v>
      </c>
      <c r="B648" s="61">
        <v>96.0</v>
      </c>
      <c r="C648" s="61">
        <v>97.0</v>
      </c>
      <c r="D648" s="9">
        <f t="array" ref="D648">xlookup(A648,'données'!E$2:E$3608,'données'!K$2:K$3608)</f>
        <v>103</v>
      </c>
      <c r="E648" s="5" t="b">
        <f t="shared" si="1"/>
        <v>0</v>
      </c>
    </row>
    <row r="649">
      <c r="A649" s="50" t="s">
        <v>3404</v>
      </c>
      <c r="B649" s="61">
        <v>99.0</v>
      </c>
      <c r="C649" s="61">
        <v>99.0</v>
      </c>
      <c r="D649" s="9">
        <f t="array" ref="D649">xlookup(A649,'données'!E$2:E$3608,'données'!K$2:K$3608)</f>
        <v>110.4</v>
      </c>
      <c r="E649" s="5" t="b">
        <f t="shared" si="1"/>
        <v>0</v>
      </c>
    </row>
    <row r="650">
      <c r="A650" s="50" t="s">
        <v>6551</v>
      </c>
      <c r="B650" s="61">
        <v>98.0</v>
      </c>
      <c r="C650" s="61">
        <v>97.0</v>
      </c>
      <c r="D650" s="9">
        <f t="array" ref="D650">xlookup(A650,'données'!E$2:E$3608,'données'!K$2:K$3608)</f>
        <v>108.8</v>
      </c>
      <c r="E650" s="5" t="b">
        <f t="shared" si="1"/>
        <v>0</v>
      </c>
    </row>
    <row r="651">
      <c r="A651" s="50" t="s">
        <v>5032</v>
      </c>
      <c r="B651" s="61">
        <v>93.0</v>
      </c>
      <c r="C651" s="61">
        <v>95.0</v>
      </c>
      <c r="D651" s="9">
        <f t="array" ref="D651">xlookup(A651,'données'!E$2:E$3608,'données'!K$2:K$3608)</f>
        <v>100.7</v>
      </c>
      <c r="E651" s="5" t="b">
        <f t="shared" si="1"/>
        <v>0</v>
      </c>
    </row>
    <row r="652">
      <c r="A652" s="50" t="s">
        <v>3402</v>
      </c>
      <c r="B652" s="61">
        <v>99.0</v>
      </c>
      <c r="C652" s="61">
        <v>100.0</v>
      </c>
      <c r="D652" s="9">
        <f t="array" ref="D652">xlookup(A652,'données'!E$2:E$3608,'données'!K$2:K$3608)</f>
        <v>109</v>
      </c>
      <c r="E652" s="5" t="b">
        <f t="shared" si="1"/>
        <v>0</v>
      </c>
    </row>
    <row r="653">
      <c r="A653" s="50" t="s">
        <v>7919</v>
      </c>
      <c r="B653" s="61">
        <v>98.0</v>
      </c>
      <c r="C653" s="61">
        <v>98.0</v>
      </c>
      <c r="D653" s="9">
        <f t="array" ref="D653">xlookup(A653,'données'!E$2:E$3608,'données'!K$2:K$3608)</f>
        <v>125.3</v>
      </c>
      <c r="E653" s="5" t="b">
        <f t="shared" si="1"/>
        <v>0</v>
      </c>
    </row>
    <row r="654">
      <c r="A654" s="50" t="s">
        <v>5031</v>
      </c>
      <c r="B654" s="61">
        <v>100.0</v>
      </c>
      <c r="C654" s="61">
        <v>100.0</v>
      </c>
      <c r="D654" s="9">
        <f t="array" ref="D654">xlookup(A654,'données'!E$2:E$3608,'données'!K$2:K$3608)</f>
        <v>109.1</v>
      </c>
      <c r="E654" s="5" t="b">
        <f t="shared" si="1"/>
        <v>0</v>
      </c>
    </row>
    <row r="655">
      <c r="A655" s="50" t="s">
        <v>6548</v>
      </c>
      <c r="B655" s="61">
        <v>100.0</v>
      </c>
      <c r="C655" s="61">
        <v>100.0</v>
      </c>
      <c r="D655" s="9">
        <f t="array" ref="D655">xlookup(A655,'données'!E$2:E$3608,'données'!K$2:K$3608)</f>
        <v>129.4</v>
      </c>
      <c r="E655" s="5" t="b">
        <f t="shared" si="1"/>
        <v>0</v>
      </c>
    </row>
    <row r="656">
      <c r="A656" s="50" t="s">
        <v>1532</v>
      </c>
      <c r="B656" s="61">
        <v>100.0</v>
      </c>
      <c r="C656" s="61">
        <v>100.0</v>
      </c>
      <c r="D656" s="9">
        <f t="array" ref="D656">xlookup(A656,'données'!E$2:E$3608,'données'!K$2:K$3608)</f>
        <v>138.8</v>
      </c>
      <c r="E656" s="5" t="b">
        <f t="shared" si="1"/>
        <v>0</v>
      </c>
    </row>
    <row r="657">
      <c r="A657" s="50" t="s">
        <v>1530</v>
      </c>
      <c r="B657" s="61">
        <v>100.0</v>
      </c>
      <c r="C657" s="61">
        <v>100.0</v>
      </c>
      <c r="D657" s="9">
        <f t="array" ref="D657">xlookup(A657,'données'!E$2:E$3608,'données'!K$2:K$3608)</f>
        <v>121.3</v>
      </c>
      <c r="E657" s="5" t="b">
        <f t="shared" si="1"/>
        <v>0</v>
      </c>
    </row>
    <row r="658">
      <c r="A658" s="50" t="s">
        <v>5030</v>
      </c>
      <c r="B658" s="61">
        <v>99.0</v>
      </c>
      <c r="C658" s="61">
        <v>99.0</v>
      </c>
      <c r="D658" s="9">
        <f t="array" ref="D658">xlookup(A658,'données'!E$2:E$3608,'données'!K$2:K$3608)</f>
        <v>137.9</v>
      </c>
      <c r="E658" s="5" t="b">
        <f t="shared" si="1"/>
        <v>0</v>
      </c>
    </row>
    <row r="659">
      <c r="A659" s="50" t="s">
        <v>3400</v>
      </c>
      <c r="B659" s="61">
        <v>100.0</v>
      </c>
      <c r="C659" s="61">
        <v>100.0</v>
      </c>
      <c r="D659" s="9">
        <f t="array" ref="D659">xlookup(A659,'données'!E$2:E$3608,'données'!K$2:K$3608)</f>
        <v>122.5</v>
      </c>
      <c r="E659" s="5" t="b">
        <f t="shared" si="1"/>
        <v>0</v>
      </c>
    </row>
    <row r="660">
      <c r="A660" s="50" t="s">
        <v>1527</v>
      </c>
      <c r="B660" s="61">
        <v>100.0</v>
      </c>
      <c r="C660" s="61">
        <v>100.0</v>
      </c>
      <c r="D660" s="9">
        <f t="array" ref="D660">xlookup(A660,'données'!E$2:E$3608,'données'!K$2:K$3608)</f>
        <v>124.4</v>
      </c>
      <c r="E660" s="5" t="b">
        <f t="shared" si="1"/>
        <v>0</v>
      </c>
    </row>
    <row r="661">
      <c r="A661" s="50" t="s">
        <v>6546</v>
      </c>
      <c r="B661" s="61">
        <v>98.0</v>
      </c>
      <c r="C661" s="50"/>
      <c r="D661" s="9">
        <f t="array" ref="D661">xlookup(A661,'données'!E$2:E$3608,'données'!K$2:K$3608)</f>
        <v>97.1</v>
      </c>
      <c r="E661" s="5" t="b">
        <f t="shared" si="1"/>
        <v>0</v>
      </c>
    </row>
    <row r="662">
      <c r="A662" s="50" t="s">
        <v>1522</v>
      </c>
      <c r="B662" s="61">
        <v>100.0</v>
      </c>
      <c r="C662" s="50"/>
      <c r="D662" s="9">
        <f t="array" ref="D662">xlookup(A662,'données'!E$2:E$3608,'données'!K$2:K$3608)</f>
        <v>122</v>
      </c>
      <c r="E662" s="5" t="b">
        <f t="shared" si="1"/>
        <v>0</v>
      </c>
    </row>
    <row r="663">
      <c r="A663" s="50" t="s">
        <v>3394</v>
      </c>
      <c r="B663" s="61">
        <v>94.0</v>
      </c>
      <c r="C663" s="61">
        <v>98.0</v>
      </c>
      <c r="D663" s="9">
        <f t="array" ref="D663">xlookup(A663,'données'!E$2:E$3608,'données'!K$2:K$3608)</f>
        <v>92.9</v>
      </c>
      <c r="E663" s="5" t="b">
        <f t="shared" si="1"/>
        <v>0</v>
      </c>
    </row>
    <row r="664">
      <c r="A664" s="50" t="s">
        <v>3391</v>
      </c>
      <c r="B664" s="61">
        <v>95.0</v>
      </c>
      <c r="C664" s="61">
        <v>95.0</v>
      </c>
      <c r="D664" s="9">
        <f t="array" ref="D664">xlookup(A664,'données'!E$2:E$3608,'données'!K$2:K$3608)</f>
        <v>106.5</v>
      </c>
      <c r="E664" s="5" t="b">
        <f t="shared" si="1"/>
        <v>0</v>
      </c>
    </row>
    <row r="665">
      <c r="A665" s="50" t="s">
        <v>5019</v>
      </c>
      <c r="B665" s="61">
        <v>89.0</v>
      </c>
      <c r="C665" s="61">
        <v>94.0</v>
      </c>
      <c r="D665" s="9">
        <f t="array" ref="D665">xlookup(A665,'données'!E$2:E$3608,'données'!K$2:K$3608)</f>
        <v>92.6</v>
      </c>
      <c r="E665" s="5" t="b">
        <f t="shared" si="1"/>
        <v>0</v>
      </c>
    </row>
    <row r="666">
      <c r="A666" s="50" t="s">
        <v>3389</v>
      </c>
      <c r="B666" s="61">
        <v>98.0</v>
      </c>
      <c r="C666" s="61">
        <v>98.0</v>
      </c>
      <c r="D666" s="9">
        <f t="array" ref="D666">xlookup(A666,'données'!E$2:E$3608,'données'!K$2:K$3608)</f>
        <v>119.2</v>
      </c>
      <c r="E666" s="5" t="b">
        <f t="shared" si="1"/>
        <v>0</v>
      </c>
    </row>
    <row r="667">
      <c r="A667" s="50" t="s">
        <v>5018</v>
      </c>
      <c r="B667" s="61">
        <v>92.0</v>
      </c>
      <c r="C667" s="61">
        <v>92.0</v>
      </c>
      <c r="D667" s="9">
        <f t="array" ref="D667">xlookup(A667,'données'!E$2:E$3608,'données'!K$2:K$3608)</f>
        <v>106.7</v>
      </c>
      <c r="E667" s="5" t="b">
        <f t="shared" si="1"/>
        <v>0</v>
      </c>
    </row>
    <row r="668">
      <c r="A668" s="50" t="s">
        <v>5016</v>
      </c>
      <c r="B668" s="61">
        <v>99.0</v>
      </c>
      <c r="C668" s="61">
        <v>99.0</v>
      </c>
      <c r="D668" s="9">
        <f t="array" ref="D668">xlookup(A668,'données'!E$2:E$3608,'données'!K$2:K$3608)</f>
        <v>129.1</v>
      </c>
      <c r="E668" s="5" t="b">
        <f t="shared" si="1"/>
        <v>0</v>
      </c>
    </row>
    <row r="669">
      <c r="A669" s="50" t="s">
        <v>5015</v>
      </c>
      <c r="B669" s="61">
        <v>93.0</v>
      </c>
      <c r="C669" s="61">
        <v>92.0</v>
      </c>
      <c r="D669" s="9">
        <f t="array" ref="D669">xlookup(A669,'données'!E$2:E$3608,'données'!K$2:K$3608)</f>
        <v>123.8</v>
      </c>
      <c r="E669" s="5" t="b">
        <f t="shared" si="1"/>
        <v>0</v>
      </c>
    </row>
    <row r="670">
      <c r="A670" s="50" t="s">
        <v>6544</v>
      </c>
      <c r="B670" s="61">
        <v>100.0</v>
      </c>
      <c r="C670" s="61">
        <v>100.0</v>
      </c>
      <c r="D670" s="9">
        <f t="array" ref="D670">xlookup(A670,'données'!E$2:E$3608,'données'!K$2:K$3608)</f>
        <v>143.1</v>
      </c>
      <c r="E670" s="5" t="b">
        <f t="shared" si="1"/>
        <v>0</v>
      </c>
    </row>
    <row r="671">
      <c r="A671" s="50" t="s">
        <v>1516</v>
      </c>
      <c r="B671" s="61">
        <v>97.0</v>
      </c>
      <c r="C671" s="61">
        <v>97.0</v>
      </c>
      <c r="D671" s="9">
        <f t="array" ref="D671">xlookup(A671,'données'!E$2:E$3608,'données'!K$2:K$3608)</f>
        <v>121.6</v>
      </c>
      <c r="E671" s="5" t="b">
        <f t="shared" si="1"/>
        <v>0</v>
      </c>
    </row>
    <row r="672">
      <c r="A672" s="50" t="s">
        <v>6541</v>
      </c>
      <c r="B672" s="61">
        <v>95.0</v>
      </c>
      <c r="C672" s="61">
        <v>96.0</v>
      </c>
      <c r="D672" s="9">
        <f t="array" ref="D672">xlookup(A672,'données'!E$2:E$3608,'données'!K$2:K$3608)</f>
        <v>107.6</v>
      </c>
      <c r="E672" s="5" t="b">
        <f t="shared" si="1"/>
        <v>0</v>
      </c>
    </row>
    <row r="673">
      <c r="A673" s="50" t="s">
        <v>5011</v>
      </c>
      <c r="B673" s="61">
        <v>100.0</v>
      </c>
      <c r="C673" s="50"/>
      <c r="D673" s="9">
        <f t="array" ref="D673">xlookup(A673,'données'!E$2:E$3608,'données'!K$2:K$3608)</f>
        <v>106.1</v>
      </c>
      <c r="E673" s="5" t="b">
        <f t="shared" si="1"/>
        <v>0</v>
      </c>
    </row>
    <row r="674">
      <c r="A674" s="50" t="s">
        <v>3387</v>
      </c>
      <c r="B674" s="61">
        <v>82.0</v>
      </c>
      <c r="C674" s="61">
        <v>84.0</v>
      </c>
      <c r="D674" s="9">
        <f t="array" ref="D674">xlookup(A674,'données'!E$2:E$3608,'données'!K$2:K$3608)</f>
        <v>86.3</v>
      </c>
      <c r="E674" s="5" t="b">
        <f t="shared" si="1"/>
        <v>0</v>
      </c>
    </row>
    <row r="675">
      <c r="A675" s="50" t="s">
        <v>7911</v>
      </c>
      <c r="B675" s="61">
        <v>93.0</v>
      </c>
      <c r="C675" s="61">
        <v>100.0</v>
      </c>
      <c r="D675" s="9">
        <f t="array" ref="D675">xlookup(A675,'données'!E$2:E$3608,'données'!K$2:K$3608)</f>
        <v>106.9</v>
      </c>
      <c r="E675" s="5" t="b">
        <f t="shared" si="1"/>
        <v>0</v>
      </c>
    </row>
    <row r="676">
      <c r="A676" s="50" t="s">
        <v>1513</v>
      </c>
      <c r="B676" s="61">
        <v>81.0</v>
      </c>
      <c r="C676" s="61">
        <v>87.0</v>
      </c>
      <c r="D676" s="9">
        <f t="array" ref="D676">xlookup(A676,'données'!E$2:E$3608,'données'!K$2:K$3608)</f>
        <v>81.2</v>
      </c>
      <c r="E676" s="5" t="b">
        <f t="shared" si="1"/>
        <v>0</v>
      </c>
    </row>
    <row r="677">
      <c r="A677" s="50" t="s">
        <v>3385</v>
      </c>
      <c r="B677" s="61">
        <v>95.0</v>
      </c>
      <c r="C677" s="61">
        <v>95.0</v>
      </c>
      <c r="D677" s="9">
        <f t="array" ref="D677">xlookup(A677,'données'!E$2:E$3608,'données'!K$2:K$3608)</f>
        <v>117.7</v>
      </c>
      <c r="E677" s="5" t="b">
        <f t="shared" si="1"/>
        <v>0</v>
      </c>
    </row>
    <row r="678">
      <c r="A678" s="50" t="s">
        <v>1510</v>
      </c>
      <c r="B678" s="61">
        <v>94.0</v>
      </c>
      <c r="C678" s="61">
        <v>97.0</v>
      </c>
      <c r="D678" s="9">
        <f t="array" ref="D678">xlookup(A678,'données'!E$2:E$3608,'données'!K$2:K$3608)</f>
        <v>109.1</v>
      </c>
      <c r="E678" s="5" t="b">
        <f t="shared" si="1"/>
        <v>0</v>
      </c>
    </row>
    <row r="679">
      <c r="A679" s="50" t="s">
        <v>6536</v>
      </c>
      <c r="B679" s="61">
        <v>99.0</v>
      </c>
      <c r="C679" s="61">
        <v>100.0</v>
      </c>
      <c r="D679" s="9">
        <f t="array" ref="D679">xlookup(A679,'données'!E$2:E$3608,'données'!K$2:K$3608)</f>
        <v>111.1</v>
      </c>
      <c r="E679" s="5" t="b">
        <f t="shared" si="1"/>
        <v>0</v>
      </c>
    </row>
    <row r="680">
      <c r="A680" s="50" t="s">
        <v>7909</v>
      </c>
      <c r="B680" s="61">
        <v>97.0</v>
      </c>
      <c r="C680" s="61">
        <v>99.0</v>
      </c>
      <c r="D680" s="9">
        <f t="array" ref="D680">xlookup(A680,'données'!E$2:E$3608,'données'!K$2:K$3608)</f>
        <v>111</v>
      </c>
      <c r="E680" s="5" t="b">
        <f t="shared" si="1"/>
        <v>0</v>
      </c>
    </row>
    <row r="681">
      <c r="A681" s="50" t="s">
        <v>1507</v>
      </c>
      <c r="B681" s="61">
        <v>96.0</v>
      </c>
      <c r="C681" s="61">
        <v>97.0</v>
      </c>
      <c r="D681" s="9">
        <f t="array" ref="D681">xlookup(A681,'données'!E$2:E$3608,'données'!K$2:K$3608)</f>
        <v>104</v>
      </c>
      <c r="E681" s="5" t="b">
        <f t="shared" si="1"/>
        <v>0</v>
      </c>
    </row>
    <row r="682">
      <c r="A682" s="50" t="s">
        <v>6534</v>
      </c>
      <c r="B682" s="61">
        <v>95.0</v>
      </c>
      <c r="C682" s="61">
        <v>97.0</v>
      </c>
      <c r="D682" s="9">
        <f t="array" ref="D682">xlookup(A682,'données'!E$2:E$3608,'données'!K$2:K$3608)</f>
        <v>110.5</v>
      </c>
      <c r="E682" s="5" t="b">
        <f t="shared" si="1"/>
        <v>0</v>
      </c>
    </row>
    <row r="683">
      <c r="A683" s="50" t="s">
        <v>6528</v>
      </c>
      <c r="B683" s="61">
        <v>99.0</v>
      </c>
      <c r="C683" s="61">
        <v>99.0</v>
      </c>
      <c r="D683" s="9">
        <f t="array" ref="D683">xlookup(A683,'données'!E$2:E$3608,'données'!K$2:K$3608)</f>
        <v>115.1</v>
      </c>
      <c r="E683" s="5" t="b">
        <f t="shared" si="1"/>
        <v>0</v>
      </c>
    </row>
    <row r="684">
      <c r="A684" s="50" t="s">
        <v>6526</v>
      </c>
      <c r="B684" s="61">
        <v>100.0</v>
      </c>
      <c r="C684" s="61">
        <v>100.0</v>
      </c>
      <c r="D684" s="9">
        <f t="array" ref="D684">xlookup(A684,'données'!E$2:E$3608,'données'!K$2:K$3608)</f>
        <v>128.4</v>
      </c>
      <c r="E684" s="5" t="b">
        <f t="shared" si="1"/>
        <v>0</v>
      </c>
    </row>
    <row r="685">
      <c r="A685" s="50" t="s">
        <v>3379</v>
      </c>
      <c r="B685" s="61">
        <v>100.0</v>
      </c>
      <c r="C685" s="61">
        <v>100.0</v>
      </c>
      <c r="D685" s="9">
        <f t="array" ref="D685">xlookup(A685,'données'!E$2:E$3608,'données'!K$2:K$3608)</f>
        <v>130</v>
      </c>
      <c r="E685" s="5" t="b">
        <f t="shared" si="1"/>
        <v>0</v>
      </c>
    </row>
    <row r="686">
      <c r="A686" s="50" t="s">
        <v>6524</v>
      </c>
      <c r="B686" s="61">
        <v>100.0</v>
      </c>
      <c r="C686" s="61">
        <v>100.0</v>
      </c>
      <c r="D686" s="9">
        <f t="array" ref="D686">xlookup(A686,'données'!E$2:E$3608,'données'!K$2:K$3608)</f>
        <v>113.4</v>
      </c>
      <c r="E686" s="5" t="b">
        <f t="shared" si="1"/>
        <v>0</v>
      </c>
    </row>
    <row r="687">
      <c r="A687" s="50" t="s">
        <v>5007</v>
      </c>
      <c r="B687" s="61">
        <v>100.0</v>
      </c>
      <c r="C687" s="61">
        <v>100.0</v>
      </c>
      <c r="D687" s="9">
        <f t="array" ref="D687">xlookup(A687,'données'!E$2:E$3608,'données'!K$2:K$3608)</f>
        <v>128.7</v>
      </c>
      <c r="E687" s="5" t="b">
        <f t="shared" si="1"/>
        <v>0</v>
      </c>
    </row>
    <row r="688">
      <c r="A688" s="50" t="s">
        <v>3377</v>
      </c>
      <c r="B688" s="61">
        <v>98.0</v>
      </c>
      <c r="C688" s="61">
        <v>98.0</v>
      </c>
      <c r="D688" s="9">
        <f t="array" ref="D688">xlookup(A688,'données'!E$2:E$3608,'données'!K$2:K$3608)</f>
        <v>130.1</v>
      </c>
      <c r="E688" s="5" t="b">
        <f t="shared" si="1"/>
        <v>0</v>
      </c>
    </row>
    <row r="689">
      <c r="A689" s="50" t="s">
        <v>3375</v>
      </c>
      <c r="B689" s="61">
        <v>99.0</v>
      </c>
      <c r="C689" s="61">
        <v>99.0</v>
      </c>
      <c r="D689" s="9">
        <f t="array" ref="D689">xlookup(A689,'données'!E$2:E$3608,'données'!K$2:K$3608)</f>
        <v>146</v>
      </c>
      <c r="E689" s="5" t="b">
        <f t="shared" si="1"/>
        <v>0</v>
      </c>
    </row>
    <row r="690">
      <c r="A690" s="50" t="s">
        <v>6522</v>
      </c>
      <c r="B690" s="61">
        <v>100.0</v>
      </c>
      <c r="C690" s="61">
        <v>100.0</v>
      </c>
      <c r="D690" s="9">
        <f t="array" ref="D690">xlookup(A690,'données'!E$2:E$3608,'données'!K$2:K$3608)</f>
        <v>139</v>
      </c>
      <c r="E690" s="5" t="b">
        <f t="shared" si="1"/>
        <v>0</v>
      </c>
    </row>
    <row r="691">
      <c r="A691" s="50" t="s">
        <v>7901</v>
      </c>
      <c r="B691" s="61">
        <v>97.0</v>
      </c>
      <c r="C691" s="61">
        <v>97.0</v>
      </c>
      <c r="D691" s="9">
        <f t="array" ref="D691">xlookup(A691,'données'!E$2:E$3608,'données'!K$2:K$3608)</f>
        <v>115.3</v>
      </c>
      <c r="E691" s="5" t="b">
        <f t="shared" si="1"/>
        <v>0</v>
      </c>
    </row>
    <row r="692">
      <c r="A692" s="50" t="s">
        <v>7900</v>
      </c>
      <c r="B692" s="61">
        <v>100.0</v>
      </c>
      <c r="C692" s="61">
        <v>100.0</v>
      </c>
      <c r="D692" s="9">
        <f t="array" ref="D692">xlookup(A692,'données'!E$2:E$3608,'données'!K$2:K$3608)</f>
        <v>123.7</v>
      </c>
      <c r="E692" s="5" t="b">
        <f t="shared" si="1"/>
        <v>0</v>
      </c>
    </row>
    <row r="693">
      <c r="A693" s="50" t="s">
        <v>5005</v>
      </c>
      <c r="B693" s="61">
        <v>100.0</v>
      </c>
      <c r="C693" s="50"/>
      <c r="D693" s="9">
        <f t="array" ref="D693">xlookup(A693,'données'!E$2:E$3608,'données'!K$2:K$3608)</f>
        <v>119.2</v>
      </c>
      <c r="E693" s="5" t="b">
        <f t="shared" si="1"/>
        <v>0</v>
      </c>
    </row>
    <row r="694">
      <c r="A694" s="50" t="s">
        <v>5003</v>
      </c>
      <c r="B694" s="61">
        <v>100.0</v>
      </c>
      <c r="C694" s="61">
        <v>100.0</v>
      </c>
      <c r="D694" s="9">
        <f t="array" ref="D694">xlookup(A694,'données'!E$2:E$3608,'données'!K$2:K$3608)</f>
        <v>110</v>
      </c>
      <c r="E694" s="5" t="b">
        <f t="shared" si="1"/>
        <v>0</v>
      </c>
    </row>
    <row r="695">
      <c r="A695" s="50" t="s">
        <v>6516</v>
      </c>
      <c r="B695" s="61">
        <v>100.0</v>
      </c>
      <c r="C695" s="61">
        <v>100.0</v>
      </c>
      <c r="D695" s="9">
        <f t="array" ref="D695">xlookup(A695,'données'!E$2:E$3608,'données'!K$2:K$3608)</f>
        <v>148.6</v>
      </c>
      <c r="E695" s="5" t="b">
        <f t="shared" si="1"/>
        <v>0</v>
      </c>
    </row>
    <row r="696">
      <c r="A696" s="50" t="s">
        <v>7898</v>
      </c>
      <c r="B696" s="61">
        <v>100.0</v>
      </c>
      <c r="C696" s="61">
        <v>100.0</v>
      </c>
      <c r="D696" s="9">
        <f t="array" ref="D696">xlookup(A696,'données'!E$2:E$3608,'données'!K$2:K$3608)</f>
        <v>121.9</v>
      </c>
      <c r="E696" s="5" t="b">
        <f t="shared" si="1"/>
        <v>0</v>
      </c>
    </row>
    <row r="697">
      <c r="A697" s="50" t="s">
        <v>6514</v>
      </c>
      <c r="B697" s="61">
        <v>100.0</v>
      </c>
      <c r="C697" s="61">
        <v>100.0</v>
      </c>
      <c r="D697" s="9">
        <f t="array" ref="D697">xlookup(A697,'données'!E$2:E$3608,'données'!K$2:K$3608)</f>
        <v>122.5</v>
      </c>
      <c r="E697" s="5" t="b">
        <f t="shared" si="1"/>
        <v>0</v>
      </c>
    </row>
    <row r="698">
      <c r="A698" s="50" t="s">
        <v>3371</v>
      </c>
      <c r="B698" s="61">
        <v>99.0</v>
      </c>
      <c r="C698" s="50"/>
      <c r="D698" s="9">
        <f t="array" ref="D698">xlookup(A698,'données'!E$2:E$3608,'données'!K$2:K$3608)</f>
        <v>126.4</v>
      </c>
      <c r="E698" s="5" t="b">
        <f t="shared" si="1"/>
        <v>0</v>
      </c>
    </row>
    <row r="699">
      <c r="A699" s="50" t="s">
        <v>5001</v>
      </c>
      <c r="B699" s="61">
        <v>99.0</v>
      </c>
      <c r="C699" s="50"/>
      <c r="D699" s="9">
        <f t="array" ref="D699">xlookup(A699,'données'!E$2:E$3608,'données'!K$2:K$3608)</f>
        <v>132.8</v>
      </c>
      <c r="E699" s="5" t="b">
        <f t="shared" si="1"/>
        <v>0</v>
      </c>
    </row>
    <row r="700">
      <c r="A700" s="50" t="s">
        <v>3369</v>
      </c>
      <c r="B700" s="61">
        <v>100.0</v>
      </c>
      <c r="C700" s="61">
        <v>100.0</v>
      </c>
      <c r="D700" s="9">
        <f t="array" ref="D700">xlookup(A700,'données'!E$2:E$3608,'données'!K$2:K$3608)</f>
        <v>125.8</v>
      </c>
      <c r="E700" s="5" t="b">
        <f t="shared" si="1"/>
        <v>0</v>
      </c>
    </row>
    <row r="701">
      <c r="A701" s="50" t="s">
        <v>4999</v>
      </c>
      <c r="B701" s="61">
        <v>100.0</v>
      </c>
      <c r="C701" s="50"/>
      <c r="D701" s="9">
        <f t="array" ref="D701">xlookup(A701,'données'!E$2:E$3608,'données'!K$2:K$3608)</f>
        <v>129.6</v>
      </c>
      <c r="E701" s="5" t="b">
        <f t="shared" si="1"/>
        <v>0</v>
      </c>
    </row>
    <row r="702">
      <c r="A702" s="50" t="s">
        <v>6512</v>
      </c>
      <c r="B702" s="61">
        <v>100.0</v>
      </c>
      <c r="C702" s="61">
        <v>100.0</v>
      </c>
      <c r="D702" s="9">
        <f t="array" ref="D702">xlookup(A702,'données'!E$2:E$3608,'données'!K$2:K$3608)</f>
        <v>139.8</v>
      </c>
      <c r="E702" s="5" t="b">
        <f t="shared" si="1"/>
        <v>0</v>
      </c>
    </row>
    <row r="703">
      <c r="A703" s="50" t="s">
        <v>7894</v>
      </c>
      <c r="B703" s="61">
        <v>100.0</v>
      </c>
      <c r="C703" s="61">
        <v>100.0</v>
      </c>
      <c r="D703" s="9">
        <f t="array" ref="D703">xlookup(A703,'données'!E$2:E$3608,'données'!K$2:K$3608)</f>
        <v>137.6</v>
      </c>
      <c r="E703" s="5" t="b">
        <f t="shared" si="1"/>
        <v>0</v>
      </c>
    </row>
    <row r="704">
      <c r="A704" s="50" t="s">
        <v>6510</v>
      </c>
      <c r="B704" s="61">
        <v>100.0</v>
      </c>
      <c r="C704" s="61">
        <v>100.0</v>
      </c>
      <c r="D704" s="9">
        <f t="array" ref="D704">xlookup(A704,'données'!E$2:E$3608,'données'!K$2:K$3608)</f>
        <v>151.9</v>
      </c>
      <c r="E704" s="5" t="b">
        <f t="shared" si="1"/>
        <v>0</v>
      </c>
    </row>
    <row r="705">
      <c r="A705" s="50" t="s">
        <v>3367</v>
      </c>
      <c r="B705" s="61">
        <v>99.0</v>
      </c>
      <c r="C705" s="61">
        <v>99.0</v>
      </c>
      <c r="D705" s="9">
        <f t="array" ref="D705">xlookup(A705,'données'!E$2:E$3608,'données'!K$2:K$3608)</f>
        <v>145.9</v>
      </c>
      <c r="E705" s="5" t="b">
        <f t="shared" si="1"/>
        <v>0</v>
      </c>
    </row>
    <row r="706">
      <c r="A706" s="50" t="s">
        <v>3365</v>
      </c>
      <c r="B706" s="61">
        <v>100.0</v>
      </c>
      <c r="C706" s="61">
        <v>100.0</v>
      </c>
      <c r="D706" s="9">
        <f t="array" ref="D706">xlookup(A706,'données'!E$2:E$3608,'données'!K$2:K$3608)</f>
        <v>149.5</v>
      </c>
      <c r="E706" s="5" t="b">
        <f t="shared" si="1"/>
        <v>0</v>
      </c>
    </row>
    <row r="707">
      <c r="A707" s="50" t="s">
        <v>6508</v>
      </c>
      <c r="B707" s="61">
        <v>100.0</v>
      </c>
      <c r="C707" s="61">
        <v>100.0</v>
      </c>
      <c r="D707" s="9">
        <f t="array" ref="D707">xlookup(A707,'données'!E$2:E$3608,'données'!K$2:K$3608)</f>
        <v>145.2</v>
      </c>
      <c r="E707" s="5" t="b">
        <f t="shared" si="1"/>
        <v>0</v>
      </c>
    </row>
    <row r="708">
      <c r="A708" s="50" t="s">
        <v>1504</v>
      </c>
      <c r="B708" s="61">
        <v>100.0</v>
      </c>
      <c r="C708" s="61">
        <v>100.0</v>
      </c>
      <c r="D708" s="9">
        <f t="array" ref="D708">xlookup(A708,'données'!E$2:E$3608,'données'!K$2:K$3608)</f>
        <v>130.2</v>
      </c>
      <c r="E708" s="5" t="b">
        <f t="shared" si="1"/>
        <v>0</v>
      </c>
    </row>
    <row r="709">
      <c r="A709" s="50" t="s">
        <v>1502</v>
      </c>
      <c r="B709" s="61">
        <v>100.0</v>
      </c>
      <c r="C709" s="61">
        <v>100.0</v>
      </c>
      <c r="D709" s="9">
        <f t="array" ref="D709">xlookup(A709,'données'!E$2:E$3608,'données'!K$2:K$3608)</f>
        <v>153</v>
      </c>
      <c r="E709" s="5" t="b">
        <f t="shared" si="1"/>
        <v>0</v>
      </c>
    </row>
    <row r="710">
      <c r="A710" s="50" t="s">
        <v>7892</v>
      </c>
      <c r="B710" s="61">
        <v>100.0</v>
      </c>
      <c r="C710" s="61">
        <v>100.0</v>
      </c>
      <c r="D710" s="9">
        <f t="array" ref="D710">xlookup(A710,'données'!E$2:E$3608,'données'!K$2:K$3608)</f>
        <v>123.2</v>
      </c>
      <c r="E710" s="5" t="b">
        <f t="shared" si="1"/>
        <v>0</v>
      </c>
    </row>
    <row r="711">
      <c r="A711" s="50" t="s">
        <v>3363</v>
      </c>
      <c r="B711" s="61">
        <v>98.0</v>
      </c>
      <c r="C711" s="61">
        <v>98.0</v>
      </c>
      <c r="D711" s="9">
        <f t="array" ref="D711">xlookup(A711,'données'!E$2:E$3608,'données'!K$2:K$3608)</f>
        <v>138.4</v>
      </c>
      <c r="E711" s="5" t="b">
        <f t="shared" si="1"/>
        <v>0</v>
      </c>
    </row>
    <row r="712">
      <c r="A712" s="50" t="s">
        <v>1499</v>
      </c>
      <c r="B712" s="61">
        <v>100.0</v>
      </c>
      <c r="C712" s="61">
        <v>100.0</v>
      </c>
      <c r="D712" s="9">
        <f t="array" ref="D712">xlookup(A712,'données'!E$2:E$3608,'données'!K$2:K$3608)</f>
        <v>146.1</v>
      </c>
      <c r="E712" s="5" t="b">
        <f t="shared" si="1"/>
        <v>0</v>
      </c>
    </row>
    <row r="713">
      <c r="A713" s="50" t="s">
        <v>4997</v>
      </c>
      <c r="B713" s="61">
        <v>100.0</v>
      </c>
      <c r="C713" s="61">
        <v>100.0</v>
      </c>
      <c r="D713" s="9">
        <f t="array" ref="D713">xlookup(A713,'données'!E$2:E$3608,'données'!K$2:K$3608)</f>
        <v>142.8</v>
      </c>
      <c r="E713" s="5" t="b">
        <f t="shared" si="1"/>
        <v>0</v>
      </c>
    </row>
    <row r="714">
      <c r="A714" s="50" t="s">
        <v>4995</v>
      </c>
      <c r="B714" s="61">
        <v>100.0</v>
      </c>
      <c r="C714" s="61">
        <v>100.0</v>
      </c>
      <c r="D714" s="9">
        <f t="array" ref="D714">xlookup(A714,'données'!E$2:E$3608,'données'!K$2:K$3608)</f>
        <v>112.5</v>
      </c>
      <c r="E714" s="5" t="b">
        <f t="shared" si="1"/>
        <v>0</v>
      </c>
    </row>
    <row r="715">
      <c r="A715" s="50" t="s">
        <v>1496</v>
      </c>
      <c r="B715" s="61">
        <v>100.0</v>
      </c>
      <c r="C715" s="61">
        <v>100.0</v>
      </c>
      <c r="D715" s="9">
        <f t="array" ref="D715">xlookup(A715,'données'!E$2:E$3608,'données'!K$2:K$3608)</f>
        <v>142.9</v>
      </c>
      <c r="E715" s="5" t="b">
        <f t="shared" si="1"/>
        <v>0</v>
      </c>
    </row>
    <row r="716">
      <c r="A716" s="50" t="s">
        <v>3361</v>
      </c>
      <c r="B716" s="61">
        <v>100.0</v>
      </c>
      <c r="C716" s="61">
        <v>100.0</v>
      </c>
      <c r="D716" s="9">
        <f t="array" ref="D716">xlookup(A716,'données'!E$2:E$3608,'données'!K$2:K$3608)</f>
        <v>138.7</v>
      </c>
      <c r="E716" s="5" t="b">
        <f t="shared" si="1"/>
        <v>0</v>
      </c>
    </row>
    <row r="717">
      <c r="A717" s="50" t="s">
        <v>7890</v>
      </c>
      <c r="B717" s="61">
        <v>100.0</v>
      </c>
      <c r="C717" s="61">
        <v>100.0</v>
      </c>
      <c r="D717" s="9">
        <f t="array" ref="D717">xlookup(A717,'données'!E$2:E$3608,'données'!K$2:K$3608)</f>
        <v>136.7</v>
      </c>
      <c r="E717" s="5" t="b">
        <f t="shared" si="1"/>
        <v>0</v>
      </c>
    </row>
    <row r="718">
      <c r="A718" s="50" t="s">
        <v>7888</v>
      </c>
      <c r="B718" s="61">
        <v>100.0</v>
      </c>
      <c r="C718" s="61">
        <v>100.0</v>
      </c>
      <c r="D718" s="9">
        <f t="array" ref="D718">xlookup(A718,'données'!E$2:E$3608,'données'!K$2:K$3608)</f>
        <v>131.2</v>
      </c>
      <c r="E718" s="5" t="b">
        <f t="shared" si="1"/>
        <v>0</v>
      </c>
    </row>
    <row r="719">
      <c r="A719" s="50" t="s">
        <v>7886</v>
      </c>
      <c r="B719" s="61">
        <v>100.0</v>
      </c>
      <c r="C719" s="61">
        <v>100.0</v>
      </c>
      <c r="D719" s="9">
        <f t="array" ref="D719">xlookup(A719,'données'!E$2:E$3608,'données'!K$2:K$3608)</f>
        <v>151.7</v>
      </c>
      <c r="E719" s="5" t="b">
        <f t="shared" si="1"/>
        <v>0</v>
      </c>
    </row>
    <row r="720">
      <c r="A720" s="50" t="s">
        <v>7884</v>
      </c>
      <c r="B720" s="61">
        <v>100.0</v>
      </c>
      <c r="C720" s="61">
        <v>100.0</v>
      </c>
      <c r="D720" s="9">
        <f t="array" ref="D720">xlookup(A720,'données'!E$2:E$3608,'données'!K$2:K$3608)</f>
        <v>155.9</v>
      </c>
      <c r="E720" s="5" t="b">
        <f t="shared" si="1"/>
        <v>0</v>
      </c>
    </row>
    <row r="721">
      <c r="A721" s="50" t="s">
        <v>6506</v>
      </c>
      <c r="B721" s="61">
        <v>100.0</v>
      </c>
      <c r="C721" s="61">
        <v>100.0</v>
      </c>
      <c r="D721" s="9">
        <f t="array" ref="D721">xlookup(A721,'données'!E$2:E$3608,'données'!K$2:K$3608)</f>
        <v>153</v>
      </c>
      <c r="E721" s="5" t="b">
        <f t="shared" si="1"/>
        <v>0</v>
      </c>
    </row>
    <row r="722">
      <c r="A722" s="50" t="s">
        <v>3359</v>
      </c>
      <c r="B722" s="61">
        <v>100.0</v>
      </c>
      <c r="C722" s="61">
        <v>100.0</v>
      </c>
      <c r="D722" s="9">
        <f t="array" ref="D722">xlookup(A722,'données'!E$2:E$3608,'données'!K$2:K$3608)</f>
        <v>147.8</v>
      </c>
      <c r="E722" s="5" t="b">
        <f t="shared" si="1"/>
        <v>0</v>
      </c>
    </row>
    <row r="723">
      <c r="A723" s="50" t="s">
        <v>3357</v>
      </c>
      <c r="B723" s="61">
        <v>100.0</v>
      </c>
      <c r="C723" s="61">
        <v>100.0</v>
      </c>
      <c r="D723" s="9">
        <f t="array" ref="D723">xlookup(A723,'données'!E$2:E$3608,'données'!K$2:K$3608)</f>
        <v>153.2</v>
      </c>
      <c r="E723" s="5" t="b">
        <f t="shared" si="1"/>
        <v>0</v>
      </c>
    </row>
    <row r="724">
      <c r="A724" s="50" t="s">
        <v>4993</v>
      </c>
      <c r="B724" s="61">
        <v>99.0</v>
      </c>
      <c r="C724" s="61">
        <v>99.0</v>
      </c>
      <c r="D724" s="9">
        <f t="array" ref="D724">xlookup(A724,'données'!E$2:E$3608,'données'!K$2:K$3608)</f>
        <v>142.8</v>
      </c>
      <c r="E724" s="5" t="b">
        <f t="shared" si="1"/>
        <v>0</v>
      </c>
    </row>
    <row r="725">
      <c r="A725" s="50" t="s">
        <v>7882</v>
      </c>
      <c r="B725" s="61">
        <v>99.0</v>
      </c>
      <c r="C725" s="61">
        <v>99.0</v>
      </c>
      <c r="D725" s="9">
        <f t="array" ref="D725">xlookup(A725,'données'!E$2:E$3608,'données'!K$2:K$3608)</f>
        <v>147.1</v>
      </c>
      <c r="E725" s="5" t="b">
        <f t="shared" si="1"/>
        <v>0</v>
      </c>
    </row>
    <row r="726">
      <c r="A726" s="50" t="s">
        <v>4991</v>
      </c>
      <c r="B726" s="61">
        <v>99.0</v>
      </c>
      <c r="C726" s="61">
        <v>99.0</v>
      </c>
      <c r="D726" s="9">
        <f t="array" ref="D726">xlookup(A726,'données'!E$2:E$3608,'données'!K$2:K$3608)</f>
        <v>140.7</v>
      </c>
      <c r="E726" s="5" t="b">
        <f t="shared" si="1"/>
        <v>0</v>
      </c>
    </row>
    <row r="727">
      <c r="A727" s="50" t="s">
        <v>7880</v>
      </c>
      <c r="B727" s="61">
        <v>100.0</v>
      </c>
      <c r="C727" s="61">
        <v>100.0</v>
      </c>
      <c r="D727" s="9">
        <f t="array" ref="D727">xlookup(A727,'données'!E$2:E$3608,'données'!K$2:K$3608)</f>
        <v>148</v>
      </c>
      <c r="E727" s="5" t="b">
        <f t="shared" si="1"/>
        <v>0</v>
      </c>
    </row>
    <row r="728">
      <c r="A728" s="50" t="s">
        <v>4989</v>
      </c>
      <c r="B728" s="61">
        <v>100.0</v>
      </c>
      <c r="C728" s="61">
        <v>100.0</v>
      </c>
      <c r="D728" s="9">
        <f t="array" ref="D728">xlookup(A728,'données'!E$2:E$3608,'données'!K$2:K$3608)</f>
        <v>147.4</v>
      </c>
      <c r="E728" s="5" t="b">
        <f t="shared" si="1"/>
        <v>0</v>
      </c>
    </row>
    <row r="729">
      <c r="A729" s="50" t="s">
        <v>1493</v>
      </c>
      <c r="B729" s="61">
        <v>99.0</v>
      </c>
      <c r="C729" s="61">
        <v>99.0</v>
      </c>
      <c r="D729" s="9">
        <f t="array" ref="D729">xlookup(A729,'données'!E$2:E$3608,'données'!K$2:K$3608)</f>
        <v>136</v>
      </c>
      <c r="E729" s="5" t="b">
        <f t="shared" si="1"/>
        <v>0</v>
      </c>
    </row>
    <row r="730">
      <c r="A730" s="50" t="s">
        <v>4987</v>
      </c>
      <c r="B730" s="61">
        <v>100.0</v>
      </c>
      <c r="C730" s="61">
        <v>100.0</v>
      </c>
      <c r="D730" s="9">
        <f t="array" ref="D730">xlookup(A730,'données'!E$2:E$3608,'données'!K$2:K$3608)</f>
        <v>143.7</v>
      </c>
      <c r="E730" s="5" t="b">
        <f t="shared" si="1"/>
        <v>0</v>
      </c>
    </row>
    <row r="731">
      <c r="A731" s="50" t="s">
        <v>1491</v>
      </c>
      <c r="B731" s="61">
        <v>100.0</v>
      </c>
      <c r="C731" s="61">
        <v>100.0</v>
      </c>
      <c r="D731" s="9">
        <f t="array" ref="D731">xlookup(A731,'données'!E$2:E$3608,'données'!K$2:K$3608)</f>
        <v>134.5</v>
      </c>
      <c r="E731" s="5" t="b">
        <f t="shared" si="1"/>
        <v>0</v>
      </c>
    </row>
    <row r="732">
      <c r="A732" s="50" t="s">
        <v>1489</v>
      </c>
      <c r="B732" s="61">
        <v>100.0</v>
      </c>
      <c r="C732" s="61">
        <v>100.0</v>
      </c>
      <c r="D732" s="9">
        <f t="array" ref="D732">xlookup(A732,'données'!E$2:E$3608,'données'!K$2:K$3608)</f>
        <v>145.8</v>
      </c>
      <c r="E732" s="5" t="b">
        <f t="shared" si="1"/>
        <v>0</v>
      </c>
    </row>
    <row r="733">
      <c r="A733" s="50" t="s">
        <v>3355</v>
      </c>
      <c r="B733" s="61">
        <v>100.0</v>
      </c>
      <c r="C733" s="61">
        <v>100.0</v>
      </c>
      <c r="D733" s="9">
        <f t="array" ref="D733">xlookup(A733,'données'!E$2:E$3608,'données'!K$2:K$3608)</f>
        <v>140.4</v>
      </c>
      <c r="E733" s="5" t="b">
        <f t="shared" si="1"/>
        <v>0</v>
      </c>
    </row>
    <row r="734">
      <c r="A734" s="50" t="s">
        <v>7878</v>
      </c>
      <c r="B734" s="61">
        <v>100.0</v>
      </c>
      <c r="C734" s="61">
        <v>100.0</v>
      </c>
      <c r="D734" s="9">
        <f t="array" ref="D734">xlookup(A734,'données'!E$2:E$3608,'données'!K$2:K$3608)</f>
        <v>143.7</v>
      </c>
      <c r="E734" s="5" t="b">
        <f t="shared" si="1"/>
        <v>0</v>
      </c>
    </row>
    <row r="735">
      <c r="A735" s="50" t="s">
        <v>7876</v>
      </c>
      <c r="B735" s="61">
        <v>100.0</v>
      </c>
      <c r="C735" s="61">
        <v>100.0</v>
      </c>
      <c r="D735" s="9">
        <f t="array" ref="D735">xlookup(A735,'données'!E$2:E$3608,'données'!K$2:K$3608)</f>
        <v>151.1</v>
      </c>
      <c r="E735" s="5" t="b">
        <f t="shared" si="1"/>
        <v>0</v>
      </c>
    </row>
    <row r="736">
      <c r="A736" s="50" t="s">
        <v>3353</v>
      </c>
      <c r="B736" s="61">
        <v>100.0</v>
      </c>
      <c r="C736" s="61">
        <v>100.0</v>
      </c>
      <c r="D736" s="9">
        <f t="array" ref="D736">xlookup(A736,'données'!E$2:E$3608,'données'!K$2:K$3608)</f>
        <v>145.8</v>
      </c>
      <c r="E736" s="5" t="b">
        <f t="shared" si="1"/>
        <v>0</v>
      </c>
    </row>
    <row r="737">
      <c r="A737" s="50" t="s">
        <v>4983</v>
      </c>
      <c r="B737" s="61">
        <v>100.0</v>
      </c>
      <c r="C737" s="61">
        <v>100.0</v>
      </c>
      <c r="D737" s="9">
        <f t="array" ref="D737">xlookup(A737,'données'!E$2:E$3608,'données'!K$2:K$3608)</f>
        <v>141.9</v>
      </c>
      <c r="E737" s="5" t="b">
        <f t="shared" si="1"/>
        <v>0</v>
      </c>
    </row>
    <row r="738">
      <c r="A738" s="50" t="s">
        <v>1484</v>
      </c>
      <c r="B738" s="61">
        <v>100.0</v>
      </c>
      <c r="C738" s="61">
        <v>100.0</v>
      </c>
      <c r="D738" s="9">
        <f t="array" ref="D738">xlookup(A738,'données'!E$2:E$3608,'données'!K$2:K$3608)</f>
        <v>118.9</v>
      </c>
      <c r="E738" s="5" t="b">
        <f t="shared" si="1"/>
        <v>0</v>
      </c>
    </row>
    <row r="739">
      <c r="A739" s="50" t="s">
        <v>1482</v>
      </c>
      <c r="B739" s="61">
        <v>100.0</v>
      </c>
      <c r="C739" s="61">
        <v>100.0</v>
      </c>
      <c r="D739" s="9">
        <f t="array" ref="D739">xlookup(A739,'données'!E$2:E$3608,'données'!K$2:K$3608)</f>
        <v>149.8</v>
      </c>
      <c r="E739" s="5" t="b">
        <f t="shared" si="1"/>
        <v>0</v>
      </c>
    </row>
    <row r="740">
      <c r="A740" s="50" t="s">
        <v>7870</v>
      </c>
      <c r="B740" s="61">
        <v>90.0</v>
      </c>
      <c r="C740" s="61">
        <v>100.0</v>
      </c>
      <c r="D740" s="9">
        <f t="array" ref="D740">xlookup(A740,'données'!E$2:E$3608,'données'!K$2:K$3608)</f>
        <v>99.8</v>
      </c>
      <c r="E740" s="5" t="b">
        <f t="shared" si="1"/>
        <v>0</v>
      </c>
    </row>
    <row r="741">
      <c r="A741" s="50" t="s">
        <v>7866</v>
      </c>
      <c r="B741" s="61">
        <v>98.0</v>
      </c>
      <c r="C741" s="61">
        <v>99.0</v>
      </c>
      <c r="D741" s="9">
        <f t="array" ref="D741">xlookup(A741,'données'!E$2:E$3608,'données'!K$2:K$3608)</f>
        <v>120.1</v>
      </c>
      <c r="E741" s="5" t="b">
        <f t="shared" si="1"/>
        <v>0</v>
      </c>
    </row>
    <row r="742">
      <c r="A742" s="50" t="s">
        <v>3344</v>
      </c>
      <c r="B742" s="61">
        <v>100.0</v>
      </c>
      <c r="C742" s="61">
        <v>100.0</v>
      </c>
      <c r="D742" s="9">
        <f t="array" ref="D742">xlookup(A742,'données'!E$2:E$3608,'données'!K$2:K$3608)</f>
        <v>129.9</v>
      </c>
      <c r="E742" s="5" t="b">
        <f t="shared" si="1"/>
        <v>0</v>
      </c>
    </row>
    <row r="743">
      <c r="A743" s="50" t="s">
        <v>4968</v>
      </c>
      <c r="B743" s="61">
        <v>96.0</v>
      </c>
      <c r="C743" s="61">
        <v>99.0</v>
      </c>
      <c r="D743" s="9">
        <f t="array" ref="D743">xlookup(A743,'données'!E$2:E$3608,'données'!K$2:K$3608)</f>
        <v>107.3</v>
      </c>
      <c r="E743" s="5" t="b">
        <f t="shared" si="1"/>
        <v>0</v>
      </c>
    </row>
    <row r="744">
      <c r="A744" s="50" t="s">
        <v>1470</v>
      </c>
      <c r="B744" s="61">
        <v>95.0</v>
      </c>
      <c r="C744" s="61">
        <v>94.0</v>
      </c>
      <c r="D744" s="9">
        <f t="array" ref="D744">xlookup(A744,'données'!E$2:E$3608,'données'!K$2:K$3608)</f>
        <v>92.4</v>
      </c>
      <c r="E744" s="5" t="b">
        <f t="shared" si="1"/>
        <v>0</v>
      </c>
    </row>
    <row r="745">
      <c r="A745" s="50" t="s">
        <v>6488</v>
      </c>
      <c r="B745" s="61">
        <v>100.0</v>
      </c>
      <c r="C745" s="50"/>
      <c r="D745" s="9">
        <f t="array" ref="D745">xlookup(A745,'données'!E$2:E$3608,'données'!K$2:K$3608)</f>
        <v>134.1</v>
      </c>
      <c r="E745" s="5" t="b">
        <f t="shared" si="1"/>
        <v>0</v>
      </c>
    </row>
    <row r="746">
      <c r="A746" s="50" t="s">
        <v>7864</v>
      </c>
      <c r="B746" s="61">
        <v>98.0</v>
      </c>
      <c r="C746" s="50"/>
      <c r="D746" s="9">
        <f t="array" ref="D746">xlookup(A746,'données'!E$2:E$3608,'données'!K$2:K$3608)</f>
        <v>121.6</v>
      </c>
      <c r="E746" s="5" t="b">
        <f t="shared" si="1"/>
        <v>0</v>
      </c>
    </row>
    <row r="747">
      <c r="A747" s="50" t="s">
        <v>7862</v>
      </c>
      <c r="B747" s="61">
        <v>99.0</v>
      </c>
      <c r="C747" s="61">
        <v>99.0</v>
      </c>
      <c r="D747" s="9">
        <f t="array" ref="D747">xlookup(A747,'données'!E$2:E$3608,'données'!K$2:K$3608)</f>
        <v>119.4</v>
      </c>
      <c r="E747" s="5" t="b">
        <f t="shared" si="1"/>
        <v>0</v>
      </c>
    </row>
    <row r="748">
      <c r="A748" s="50" t="s">
        <v>1467</v>
      </c>
      <c r="B748" s="61">
        <v>99.0</v>
      </c>
      <c r="C748" s="61">
        <v>99.0</v>
      </c>
      <c r="D748" s="9">
        <f t="array" ref="D748">xlookup(A748,'données'!E$2:E$3608,'données'!K$2:K$3608)</f>
        <v>133.4</v>
      </c>
      <c r="E748" s="5" t="b">
        <f t="shared" si="1"/>
        <v>0</v>
      </c>
    </row>
    <row r="749">
      <c r="A749" s="50" t="s">
        <v>6486</v>
      </c>
      <c r="B749" s="61">
        <v>96.0</v>
      </c>
      <c r="C749" s="61">
        <v>96.0</v>
      </c>
      <c r="D749" s="9">
        <f t="array" ref="D749">xlookup(A749,'données'!E$2:E$3608,'données'!K$2:K$3608)</f>
        <v>124.8</v>
      </c>
      <c r="E749" s="5" t="b">
        <f t="shared" si="1"/>
        <v>0</v>
      </c>
    </row>
    <row r="750">
      <c r="A750" s="50" t="s">
        <v>4966</v>
      </c>
      <c r="B750" s="61">
        <v>100.0</v>
      </c>
      <c r="C750" s="61">
        <v>100.0</v>
      </c>
      <c r="D750" s="9">
        <f t="array" ref="D750">xlookup(A750,'données'!E$2:E$3608,'données'!K$2:K$3608)</f>
        <v>141.1</v>
      </c>
      <c r="E750" s="5" t="b">
        <f t="shared" si="1"/>
        <v>0</v>
      </c>
    </row>
    <row r="751">
      <c r="A751" s="50" t="s">
        <v>6484</v>
      </c>
      <c r="B751" s="61">
        <v>99.0</v>
      </c>
      <c r="C751" s="61">
        <v>99.0</v>
      </c>
      <c r="D751" s="9">
        <f t="array" ref="D751">xlookup(A751,'données'!E$2:E$3608,'données'!K$2:K$3608)</f>
        <v>139.4</v>
      </c>
      <c r="E751" s="5" t="b">
        <f t="shared" si="1"/>
        <v>0</v>
      </c>
    </row>
    <row r="752">
      <c r="A752" s="50" t="s">
        <v>3342</v>
      </c>
      <c r="B752" s="61">
        <v>98.0</v>
      </c>
      <c r="C752" s="61">
        <v>99.0</v>
      </c>
      <c r="D752" s="9">
        <f t="array" ref="D752">xlookup(A752,'données'!E$2:E$3608,'données'!K$2:K$3608)</f>
        <v>129.8</v>
      </c>
      <c r="E752" s="5" t="b">
        <f t="shared" si="1"/>
        <v>0</v>
      </c>
    </row>
    <row r="753">
      <c r="A753" s="50" t="s">
        <v>1464</v>
      </c>
      <c r="B753" s="61">
        <v>95.0</v>
      </c>
      <c r="C753" s="61">
        <v>93.0</v>
      </c>
      <c r="D753" s="9">
        <f t="array" ref="D753">xlookup(A753,'données'!E$2:E$3608,'données'!K$2:K$3608)</f>
        <v>121</v>
      </c>
      <c r="E753" s="5" t="b">
        <f t="shared" si="1"/>
        <v>0</v>
      </c>
    </row>
    <row r="754">
      <c r="A754" s="50" t="s">
        <v>7860</v>
      </c>
      <c r="B754" s="61">
        <v>95.0</v>
      </c>
      <c r="C754" s="61">
        <v>95.0</v>
      </c>
      <c r="D754" s="9">
        <f t="array" ref="D754">xlookup(A754,'données'!E$2:E$3608,'données'!K$2:K$3608)</f>
        <v>130.9</v>
      </c>
      <c r="E754" s="5" t="b">
        <f t="shared" si="1"/>
        <v>0</v>
      </c>
    </row>
    <row r="755">
      <c r="A755" s="50" t="s">
        <v>3334</v>
      </c>
      <c r="B755" s="61">
        <v>100.0</v>
      </c>
      <c r="C755" s="61">
        <v>100.0</v>
      </c>
      <c r="D755" s="9">
        <f t="array" ref="D755">xlookup(A755,'données'!E$2:E$3608,'données'!K$2:K$3608)</f>
        <v>129.8</v>
      </c>
      <c r="E755" s="5" t="b">
        <f t="shared" si="1"/>
        <v>0</v>
      </c>
    </row>
    <row r="756">
      <c r="A756" s="50" t="s">
        <v>3332</v>
      </c>
      <c r="B756" s="61">
        <v>90.0</v>
      </c>
      <c r="C756" s="50"/>
      <c r="D756" s="9">
        <f t="array" ref="D756">xlookup(A756,'données'!E$2:E$3608,'données'!K$2:K$3608)</f>
        <v>90.4</v>
      </c>
      <c r="E756" s="5" t="b">
        <f t="shared" si="1"/>
        <v>0</v>
      </c>
    </row>
    <row r="757">
      <c r="A757" s="50" t="s">
        <v>7859</v>
      </c>
      <c r="B757" s="61">
        <v>92.0</v>
      </c>
      <c r="C757" s="61">
        <v>90.0</v>
      </c>
      <c r="D757" s="9">
        <f t="array" ref="D757">xlookup(A757,'données'!E$2:E$3608,'données'!K$2:K$3608)</f>
        <v>100.2</v>
      </c>
      <c r="E757" s="5" t="b">
        <f t="shared" si="1"/>
        <v>0</v>
      </c>
    </row>
    <row r="758">
      <c r="A758" s="50" t="s">
        <v>3329</v>
      </c>
      <c r="B758" s="61">
        <v>99.0</v>
      </c>
      <c r="C758" s="61">
        <v>98.0</v>
      </c>
      <c r="D758" s="9">
        <f t="array" ref="D758">xlookup(A758,'données'!E$2:E$3608,'données'!K$2:K$3608)</f>
        <v>118.8</v>
      </c>
      <c r="E758" s="5" t="b">
        <f t="shared" si="1"/>
        <v>0</v>
      </c>
    </row>
    <row r="759">
      <c r="A759" s="50" t="s">
        <v>1461</v>
      </c>
      <c r="B759" s="61">
        <v>93.0</v>
      </c>
      <c r="C759" s="61">
        <v>92.0</v>
      </c>
      <c r="D759" s="9">
        <f t="array" ref="D759">xlookup(A759,'données'!E$2:E$3608,'données'!K$2:K$3608)</f>
        <v>91.8</v>
      </c>
      <c r="E759" s="5" t="b">
        <f t="shared" si="1"/>
        <v>0</v>
      </c>
    </row>
    <row r="760">
      <c r="A760" s="50" t="s">
        <v>7858</v>
      </c>
      <c r="B760" s="61">
        <v>93.0</v>
      </c>
      <c r="C760" s="61">
        <v>94.0</v>
      </c>
      <c r="D760" s="9">
        <f t="array" ref="D760">xlookup(A760,'données'!E$2:E$3608,'données'!K$2:K$3608)</f>
        <v>116.7</v>
      </c>
      <c r="E760" s="5" t="b">
        <f t="shared" si="1"/>
        <v>0</v>
      </c>
    </row>
    <row r="761">
      <c r="A761" s="50" t="s">
        <v>3327</v>
      </c>
      <c r="B761" s="61">
        <v>99.0</v>
      </c>
      <c r="C761" s="61">
        <v>99.0</v>
      </c>
      <c r="D761" s="9">
        <f t="array" ref="D761">xlookup(A761,'données'!E$2:E$3608,'données'!K$2:K$3608)</f>
        <v>120.2</v>
      </c>
      <c r="E761" s="5" t="b">
        <f t="shared" si="1"/>
        <v>0</v>
      </c>
    </row>
    <row r="762">
      <c r="A762" s="50" t="s">
        <v>6480</v>
      </c>
      <c r="B762" s="61">
        <v>100.0</v>
      </c>
      <c r="C762" s="61">
        <v>100.0</v>
      </c>
      <c r="D762" s="9">
        <f t="array" ref="D762">xlookup(A762,'données'!E$2:E$3608,'données'!K$2:K$3608)</f>
        <v>127.4</v>
      </c>
      <c r="E762" s="5" t="b">
        <f t="shared" si="1"/>
        <v>0</v>
      </c>
    </row>
    <row r="763">
      <c r="A763" s="50" t="s">
        <v>6478</v>
      </c>
      <c r="B763" s="61">
        <v>96.0</v>
      </c>
      <c r="C763" s="61">
        <v>96.0</v>
      </c>
      <c r="D763" s="9">
        <f t="array" ref="D763">xlookup(A763,'données'!E$2:E$3608,'données'!K$2:K$3608)</f>
        <v>129.1</v>
      </c>
      <c r="E763" s="5" t="b">
        <f t="shared" si="1"/>
        <v>0</v>
      </c>
    </row>
    <row r="764">
      <c r="A764" s="50" t="s">
        <v>3325</v>
      </c>
      <c r="B764" s="61">
        <v>100.0</v>
      </c>
      <c r="C764" s="50"/>
      <c r="D764" s="9">
        <f t="array" ref="D764">xlookup(A764,'données'!E$2:E$3608,'données'!K$2:K$3608)</f>
        <v>141.3</v>
      </c>
      <c r="E764" s="5" t="b">
        <f t="shared" si="1"/>
        <v>0</v>
      </c>
    </row>
    <row r="765">
      <c r="A765" s="50" t="s">
        <v>7856</v>
      </c>
      <c r="B765" s="61">
        <v>98.0</v>
      </c>
      <c r="C765" s="61">
        <v>99.0</v>
      </c>
      <c r="D765" s="9">
        <f t="array" ref="D765">xlookup(A765,'données'!E$2:E$3608,'données'!K$2:K$3608)</f>
        <v>120.1</v>
      </c>
      <c r="E765" s="5" t="b">
        <f t="shared" si="1"/>
        <v>0</v>
      </c>
    </row>
    <row r="766">
      <c r="A766" s="50" t="s">
        <v>3323</v>
      </c>
      <c r="B766" s="61">
        <v>89.0</v>
      </c>
      <c r="C766" s="61">
        <v>87.0</v>
      </c>
      <c r="D766" s="9">
        <f t="array" ref="D766">xlookup(A766,'données'!E$2:E$3608,'données'!K$2:K$3608)</f>
        <v>105.6</v>
      </c>
      <c r="E766" s="5" t="b">
        <f t="shared" si="1"/>
        <v>0</v>
      </c>
    </row>
    <row r="767">
      <c r="A767" s="50" t="s">
        <v>3321</v>
      </c>
      <c r="B767" s="61">
        <v>99.0</v>
      </c>
      <c r="C767" s="61">
        <v>100.0</v>
      </c>
      <c r="D767" s="9">
        <f t="array" ref="D767">xlookup(A767,'données'!E$2:E$3608,'données'!K$2:K$3608)</f>
        <v>101.2</v>
      </c>
      <c r="E767" s="5" t="b">
        <f t="shared" si="1"/>
        <v>0</v>
      </c>
    </row>
    <row r="768">
      <c r="A768" s="50" t="s">
        <v>4964</v>
      </c>
      <c r="B768" s="61">
        <v>92.0</v>
      </c>
      <c r="C768" s="61">
        <v>96.0</v>
      </c>
      <c r="D768" s="9">
        <f t="array" ref="D768">xlookup(A768,'données'!E$2:E$3608,'données'!K$2:K$3608)</f>
        <v>112.5</v>
      </c>
      <c r="E768" s="5" t="b">
        <f t="shared" si="1"/>
        <v>0</v>
      </c>
    </row>
    <row r="769">
      <c r="A769" s="50" t="s">
        <v>4963</v>
      </c>
      <c r="B769" s="61">
        <v>96.0</v>
      </c>
      <c r="C769" s="61">
        <v>96.0</v>
      </c>
      <c r="D769" s="9">
        <f t="array" ref="D769">xlookup(A769,'données'!E$2:E$3608,'données'!K$2:K$3608)</f>
        <v>112.4</v>
      </c>
      <c r="E769" s="5" t="b">
        <f t="shared" si="1"/>
        <v>0</v>
      </c>
    </row>
    <row r="770">
      <c r="A770" s="50" t="s">
        <v>1458</v>
      </c>
      <c r="B770" s="61">
        <v>91.0</v>
      </c>
      <c r="C770" s="61">
        <v>91.0</v>
      </c>
      <c r="D770" s="9">
        <f t="array" ref="D770">xlookup(A770,'données'!E$2:E$3608,'données'!K$2:K$3608)</f>
        <v>109.8</v>
      </c>
      <c r="E770" s="5" t="b">
        <f t="shared" si="1"/>
        <v>0</v>
      </c>
    </row>
    <row r="771">
      <c r="A771" s="50" t="s">
        <v>4959</v>
      </c>
      <c r="B771" s="61">
        <v>98.0</v>
      </c>
      <c r="C771" s="61">
        <v>97.0</v>
      </c>
      <c r="D771" s="9">
        <f t="array" ref="D771">xlookup(A771,'données'!E$2:E$3608,'données'!K$2:K$3608)</f>
        <v>105.9</v>
      </c>
      <c r="E771" s="5" t="b">
        <f t="shared" si="1"/>
        <v>0</v>
      </c>
    </row>
    <row r="772">
      <c r="A772" s="50" t="s">
        <v>1456</v>
      </c>
      <c r="B772" s="61">
        <v>97.0</v>
      </c>
      <c r="C772" s="61">
        <v>96.0</v>
      </c>
      <c r="D772" s="9">
        <f t="array" ref="D772">xlookup(A772,'données'!E$2:E$3608,'données'!K$2:K$3608)</f>
        <v>123.8</v>
      </c>
      <c r="E772" s="5" t="b">
        <f t="shared" si="1"/>
        <v>0</v>
      </c>
    </row>
    <row r="773">
      <c r="A773" s="50" t="s">
        <v>4957</v>
      </c>
      <c r="B773" s="61">
        <v>100.0</v>
      </c>
      <c r="C773" s="61">
        <v>100.0</v>
      </c>
      <c r="D773" s="9">
        <f t="array" ref="D773">xlookup(A773,'données'!E$2:E$3608,'données'!K$2:K$3608)</f>
        <v>126.1</v>
      </c>
      <c r="E773" s="5" t="b">
        <f t="shared" si="1"/>
        <v>0</v>
      </c>
    </row>
    <row r="774">
      <c r="A774" s="50" t="s">
        <v>4955</v>
      </c>
      <c r="B774" s="61">
        <v>96.0</v>
      </c>
      <c r="C774" s="61">
        <v>96.0</v>
      </c>
      <c r="D774" s="9">
        <f t="array" ref="D774">xlookup(A774,'données'!E$2:E$3608,'données'!K$2:K$3608)</f>
        <v>121.9</v>
      </c>
      <c r="E774" s="5" t="b">
        <f t="shared" si="1"/>
        <v>0</v>
      </c>
    </row>
    <row r="775">
      <c r="A775" s="50" t="s">
        <v>1453</v>
      </c>
      <c r="B775" s="61">
        <v>100.0</v>
      </c>
      <c r="C775" s="61">
        <v>100.0</v>
      </c>
      <c r="D775" s="9">
        <f t="array" ref="D775">xlookup(A775,'données'!E$2:E$3608,'données'!K$2:K$3608)</f>
        <v>136.1</v>
      </c>
      <c r="E775" s="5" t="b">
        <f t="shared" si="1"/>
        <v>0</v>
      </c>
    </row>
    <row r="776">
      <c r="A776" s="50" t="s">
        <v>1450</v>
      </c>
      <c r="B776" s="61">
        <v>99.0</v>
      </c>
      <c r="C776" s="61">
        <v>99.0</v>
      </c>
      <c r="D776" s="9">
        <f t="array" ref="D776">xlookup(A776,'données'!E$2:E$3608,'données'!K$2:K$3608)</f>
        <v>130.5</v>
      </c>
      <c r="E776" s="5" t="b">
        <f t="shared" si="1"/>
        <v>0</v>
      </c>
    </row>
    <row r="777">
      <c r="A777" s="50" t="s">
        <v>7855</v>
      </c>
      <c r="B777" s="61">
        <v>99.0</v>
      </c>
      <c r="C777" s="61">
        <v>99.0</v>
      </c>
      <c r="D777" s="9">
        <f t="array" ref="D777">xlookup(A777,'données'!E$2:E$3608,'données'!K$2:K$3608)</f>
        <v>130.4</v>
      </c>
      <c r="E777" s="5" t="b">
        <f t="shared" si="1"/>
        <v>0</v>
      </c>
    </row>
    <row r="778">
      <c r="A778" s="50" t="s">
        <v>1447</v>
      </c>
      <c r="B778" s="61">
        <v>99.0</v>
      </c>
      <c r="C778" s="61">
        <v>99.0</v>
      </c>
      <c r="D778" s="9">
        <f t="array" ref="D778">xlookup(A778,'données'!E$2:E$3608,'données'!K$2:K$3608)</f>
        <v>142.3</v>
      </c>
      <c r="E778" s="5" t="b">
        <f t="shared" si="1"/>
        <v>0</v>
      </c>
    </row>
    <row r="779">
      <c r="A779" s="50" t="s">
        <v>4954</v>
      </c>
      <c r="B779" s="61">
        <v>99.0</v>
      </c>
      <c r="C779" s="61">
        <v>99.0</v>
      </c>
      <c r="D779" s="9">
        <f t="array" ref="D779">xlookup(A779,'données'!E$2:E$3608,'données'!K$2:K$3608)</f>
        <v>144.2</v>
      </c>
      <c r="E779" s="5" t="b">
        <f t="shared" si="1"/>
        <v>0</v>
      </c>
    </row>
    <row r="780">
      <c r="A780" s="50" t="s">
        <v>4952</v>
      </c>
      <c r="B780" s="61">
        <v>98.0</v>
      </c>
      <c r="C780" s="61">
        <v>98.0</v>
      </c>
      <c r="D780" s="9">
        <f t="array" ref="D780">xlookup(A780,'données'!E$2:E$3608,'données'!K$2:K$3608)</f>
        <v>131.7</v>
      </c>
      <c r="E780" s="5" t="b">
        <f t="shared" si="1"/>
        <v>0</v>
      </c>
    </row>
    <row r="781">
      <c r="A781" s="50" t="s">
        <v>4950</v>
      </c>
      <c r="B781" s="61">
        <v>99.0</v>
      </c>
      <c r="C781" s="61">
        <v>99.0</v>
      </c>
      <c r="D781" s="9">
        <f t="array" ref="D781">xlookup(A781,'données'!E$2:E$3608,'données'!K$2:K$3608)</f>
        <v>137.2</v>
      </c>
      <c r="E781" s="5" t="b">
        <f t="shared" si="1"/>
        <v>0</v>
      </c>
    </row>
    <row r="782">
      <c r="A782" s="50" t="s">
        <v>6476</v>
      </c>
      <c r="B782" s="61">
        <v>100.0</v>
      </c>
      <c r="C782" s="61">
        <v>100.0</v>
      </c>
      <c r="D782" s="9">
        <f t="array" ref="D782">xlookup(A782,'données'!E$2:E$3608,'données'!K$2:K$3608)</f>
        <v>137.1</v>
      </c>
      <c r="E782" s="5" t="b">
        <f t="shared" si="1"/>
        <v>0</v>
      </c>
    </row>
    <row r="783">
      <c r="A783" s="50" t="s">
        <v>3319</v>
      </c>
      <c r="B783" s="61">
        <v>100.0</v>
      </c>
      <c r="C783" s="61">
        <v>100.0</v>
      </c>
      <c r="D783" s="9">
        <f t="array" ref="D783">xlookup(A783,'données'!E$2:E$3608,'données'!K$2:K$3608)</f>
        <v>145.9</v>
      </c>
      <c r="E783" s="5" t="b">
        <f t="shared" si="1"/>
        <v>0</v>
      </c>
    </row>
    <row r="784">
      <c r="A784" s="50" t="s">
        <v>3317</v>
      </c>
      <c r="B784" s="61">
        <v>99.0</v>
      </c>
      <c r="C784" s="61">
        <v>100.0</v>
      </c>
      <c r="D784" s="9">
        <f t="array" ref="D784">xlookup(A784,'données'!E$2:E$3608,'données'!K$2:K$3608)</f>
        <v>132.7</v>
      </c>
      <c r="E784" s="5" t="b">
        <f t="shared" si="1"/>
        <v>0</v>
      </c>
    </row>
    <row r="785">
      <c r="A785" s="50" t="s">
        <v>1445</v>
      </c>
      <c r="B785" s="61">
        <v>100.0</v>
      </c>
      <c r="C785" s="61">
        <v>100.0</v>
      </c>
      <c r="D785" s="9">
        <f t="array" ref="D785">xlookup(A785,'données'!E$2:E$3608,'données'!K$2:K$3608)</f>
        <v>134.4</v>
      </c>
      <c r="E785" s="5" t="b">
        <f t="shared" si="1"/>
        <v>0</v>
      </c>
    </row>
    <row r="786">
      <c r="A786" s="50" t="s">
        <v>3315</v>
      </c>
      <c r="B786" s="61">
        <v>97.0</v>
      </c>
      <c r="C786" s="61">
        <v>100.0</v>
      </c>
      <c r="D786" s="9">
        <f t="array" ref="D786">xlookup(A786,'données'!E$2:E$3608,'données'!K$2:K$3608)</f>
        <v>115.8</v>
      </c>
      <c r="E786" s="5" t="b">
        <f t="shared" si="1"/>
        <v>0</v>
      </c>
    </row>
    <row r="787">
      <c r="A787" s="50" t="s">
        <v>6474</v>
      </c>
      <c r="B787" s="61">
        <v>100.0</v>
      </c>
      <c r="C787" s="61">
        <v>100.0</v>
      </c>
      <c r="D787" s="9">
        <f t="array" ref="D787">xlookup(A787,'données'!E$2:E$3608,'données'!K$2:K$3608)</f>
        <v>138.3</v>
      </c>
      <c r="E787" s="5" t="b">
        <f t="shared" si="1"/>
        <v>0</v>
      </c>
    </row>
    <row r="788">
      <c r="A788" s="50" t="s">
        <v>3313</v>
      </c>
      <c r="B788" s="61">
        <v>97.0</v>
      </c>
      <c r="C788" s="61">
        <v>97.0</v>
      </c>
      <c r="D788" s="9">
        <f t="array" ref="D788">xlookup(A788,'données'!E$2:E$3608,'données'!K$2:K$3608)</f>
        <v>125.6</v>
      </c>
      <c r="E788" s="5" t="b">
        <f t="shared" si="1"/>
        <v>0</v>
      </c>
    </row>
    <row r="789">
      <c r="A789" s="50" t="s">
        <v>4948</v>
      </c>
      <c r="B789" s="61">
        <v>99.0</v>
      </c>
      <c r="C789" s="50"/>
      <c r="D789" s="9">
        <f t="array" ref="D789">xlookup(A789,'données'!E$2:E$3608,'données'!K$2:K$3608)</f>
        <v>141</v>
      </c>
      <c r="E789" s="5" t="b">
        <f t="shared" si="1"/>
        <v>0</v>
      </c>
    </row>
    <row r="790">
      <c r="A790" s="50" t="s">
        <v>7843</v>
      </c>
      <c r="B790" s="61">
        <v>98.0</v>
      </c>
      <c r="C790" s="50"/>
      <c r="D790" s="9">
        <f t="array" ref="D790">xlookup(A790,'données'!E$2:E$3608,'données'!K$2:K$3608)</f>
        <v>121.6</v>
      </c>
      <c r="E790" s="5" t="b">
        <f t="shared" si="1"/>
        <v>0</v>
      </c>
    </row>
    <row r="791">
      <c r="A791" s="50" t="s">
        <v>7840</v>
      </c>
      <c r="B791" s="61">
        <v>100.0</v>
      </c>
      <c r="C791" s="61">
        <v>100.0</v>
      </c>
      <c r="D791" s="9">
        <f t="array" ref="D791">xlookup(A791,'données'!E$2:E$3608,'données'!K$2:K$3608)</f>
        <v>129.3</v>
      </c>
      <c r="E791" s="5" t="b">
        <f t="shared" si="1"/>
        <v>0</v>
      </c>
    </row>
    <row r="792">
      <c r="A792" s="50" t="s">
        <v>3311</v>
      </c>
      <c r="B792" s="61">
        <v>99.0</v>
      </c>
      <c r="C792" s="61">
        <v>100.0</v>
      </c>
      <c r="D792" s="9">
        <f t="array" ref="D792">xlookup(A792,'données'!E$2:E$3608,'données'!K$2:K$3608)</f>
        <v>120.3</v>
      </c>
      <c r="E792" s="5" t="b">
        <f t="shared" si="1"/>
        <v>0</v>
      </c>
    </row>
    <row r="793">
      <c r="A793" s="50" t="s">
        <v>3310</v>
      </c>
      <c r="B793" s="61">
        <v>93.0</v>
      </c>
      <c r="C793" s="61">
        <v>93.0</v>
      </c>
      <c r="D793" s="9">
        <f t="array" ref="D793">xlookup(A793,'données'!E$2:E$3608,'données'!K$2:K$3608)</f>
        <v>108.2</v>
      </c>
      <c r="E793" s="5" t="b">
        <f t="shared" si="1"/>
        <v>0</v>
      </c>
    </row>
    <row r="794">
      <c r="A794" s="50" t="s">
        <v>6468</v>
      </c>
      <c r="B794" s="61">
        <v>98.0</v>
      </c>
      <c r="C794" s="61">
        <v>97.0</v>
      </c>
      <c r="D794" s="9">
        <f t="array" ref="D794">xlookup(A794,'données'!E$2:E$3608,'données'!K$2:K$3608)</f>
        <v>115.9</v>
      </c>
      <c r="E794" s="5" t="b">
        <f t="shared" si="1"/>
        <v>0</v>
      </c>
    </row>
    <row r="795">
      <c r="A795" s="50" t="s">
        <v>3307</v>
      </c>
      <c r="B795" s="61">
        <v>97.0</v>
      </c>
      <c r="C795" s="61">
        <v>97.0</v>
      </c>
      <c r="D795" s="9">
        <f t="array" ref="D795">xlookup(A795,'données'!E$2:E$3608,'données'!K$2:K$3608)</f>
        <v>137</v>
      </c>
      <c r="E795" s="5" t="b">
        <f t="shared" si="1"/>
        <v>0</v>
      </c>
    </row>
    <row r="796">
      <c r="A796" s="50" t="s">
        <v>7838</v>
      </c>
      <c r="B796" s="61">
        <v>99.0</v>
      </c>
      <c r="C796" s="61">
        <v>99.0</v>
      </c>
      <c r="D796" s="9">
        <f t="array" ref="D796">xlookup(A796,'données'!E$2:E$3608,'données'!K$2:K$3608)</f>
        <v>118.3</v>
      </c>
      <c r="E796" s="5" t="b">
        <f t="shared" si="1"/>
        <v>0</v>
      </c>
    </row>
    <row r="797">
      <c r="A797" s="50" t="s">
        <v>7836</v>
      </c>
      <c r="B797" s="61">
        <v>98.0</v>
      </c>
      <c r="C797" s="50"/>
      <c r="D797" s="9">
        <f t="array" ref="D797">xlookup(A797,'données'!E$2:E$3608,'données'!K$2:K$3608)</f>
        <v>109.3</v>
      </c>
      <c r="E797" s="5" t="b">
        <f t="shared" si="1"/>
        <v>0</v>
      </c>
    </row>
    <row r="798">
      <c r="A798" s="50" t="s">
        <v>4939</v>
      </c>
      <c r="B798" s="61">
        <v>100.0</v>
      </c>
      <c r="C798" s="61">
        <v>100.0</v>
      </c>
      <c r="D798" s="9">
        <f t="array" ref="D798">xlookup(A798,'données'!E$2:E$3608,'données'!K$2:K$3608)</f>
        <v>107.3</v>
      </c>
      <c r="E798" s="5" t="b">
        <f t="shared" si="1"/>
        <v>0</v>
      </c>
    </row>
    <row r="799">
      <c r="A799" s="50" t="s">
        <v>6463</v>
      </c>
      <c r="B799" s="61">
        <v>100.0</v>
      </c>
      <c r="C799" s="61">
        <v>100.0</v>
      </c>
      <c r="D799" s="9">
        <f t="array" ref="D799">xlookup(A799,'données'!E$2:E$3608,'données'!K$2:K$3608)</f>
        <v>113.8</v>
      </c>
      <c r="E799" s="5" t="b">
        <f t="shared" si="1"/>
        <v>0</v>
      </c>
    </row>
    <row r="800">
      <c r="A800" s="50" t="s">
        <v>1432</v>
      </c>
      <c r="B800" s="61">
        <v>100.0</v>
      </c>
      <c r="C800" s="61">
        <v>100.0</v>
      </c>
      <c r="D800" s="9">
        <f t="array" ref="D800">xlookup(A800,'données'!E$2:E$3608,'données'!K$2:K$3608)</f>
        <v>124</v>
      </c>
      <c r="E800" s="5" t="b">
        <f t="shared" si="1"/>
        <v>0</v>
      </c>
    </row>
    <row r="801">
      <c r="A801" s="50" t="s">
        <v>7835</v>
      </c>
      <c r="B801" s="61">
        <v>98.0</v>
      </c>
      <c r="C801" s="61">
        <v>99.0</v>
      </c>
      <c r="D801" s="9">
        <f t="array" ref="D801">xlookup(A801,'données'!E$2:E$3608,'données'!K$2:K$3608)</f>
        <v>125.8</v>
      </c>
      <c r="E801" s="5" t="b">
        <f t="shared" si="1"/>
        <v>0</v>
      </c>
    </row>
    <row r="802">
      <c r="A802" s="50" t="s">
        <v>4934</v>
      </c>
      <c r="B802" s="61">
        <v>99.0</v>
      </c>
      <c r="C802" s="61">
        <v>99.0</v>
      </c>
      <c r="D802" s="9">
        <f t="array" ref="D802">xlookup(A802,'données'!E$2:E$3608,'données'!K$2:K$3608)</f>
        <v>128.4</v>
      </c>
      <c r="E802" s="5" t="b">
        <f t="shared" si="1"/>
        <v>0</v>
      </c>
    </row>
    <row r="803">
      <c r="A803" s="50" t="s">
        <v>6461</v>
      </c>
      <c r="B803" s="61">
        <v>100.0</v>
      </c>
      <c r="C803" s="61">
        <v>100.0</v>
      </c>
      <c r="D803" s="9">
        <f t="array" ref="D803">xlookup(A803,'données'!E$2:E$3608,'données'!K$2:K$3608)</f>
        <v>114.8</v>
      </c>
      <c r="E803" s="5" t="b">
        <f t="shared" si="1"/>
        <v>0</v>
      </c>
    </row>
    <row r="804">
      <c r="A804" s="50" t="s">
        <v>1429</v>
      </c>
      <c r="B804" s="61">
        <v>100.0</v>
      </c>
      <c r="C804" s="61">
        <v>100.0</v>
      </c>
      <c r="D804" s="9">
        <f t="array" ref="D804">xlookup(A804,'données'!E$2:E$3608,'données'!K$2:K$3608)</f>
        <v>137</v>
      </c>
      <c r="E804" s="5" t="b">
        <f t="shared" si="1"/>
        <v>0</v>
      </c>
    </row>
    <row r="805">
      <c r="A805" s="50" t="s">
        <v>6460</v>
      </c>
      <c r="B805" s="61">
        <v>99.0</v>
      </c>
      <c r="C805" s="61">
        <v>99.0</v>
      </c>
      <c r="D805" s="9">
        <f t="array" ref="D805">xlookup(A805,'données'!E$2:E$3608,'données'!K$2:K$3608)</f>
        <v>125.5</v>
      </c>
      <c r="E805" s="5" t="b">
        <f t="shared" si="1"/>
        <v>0</v>
      </c>
    </row>
    <row r="806">
      <c r="A806" s="50" t="s">
        <v>7834</v>
      </c>
      <c r="B806" s="61">
        <v>100.0</v>
      </c>
      <c r="C806" s="61">
        <v>100.0</v>
      </c>
      <c r="D806" s="9">
        <f t="array" ref="D806">xlookup(A806,'données'!E$2:E$3608,'données'!K$2:K$3608)</f>
        <v>139.6</v>
      </c>
      <c r="E806" s="5" t="b">
        <f t="shared" si="1"/>
        <v>0</v>
      </c>
    </row>
    <row r="807">
      <c r="A807" s="50" t="s">
        <v>7831</v>
      </c>
      <c r="B807" s="61">
        <v>95.0</v>
      </c>
      <c r="C807" s="61">
        <v>97.0</v>
      </c>
      <c r="D807" s="9">
        <f t="array" ref="D807">xlookup(A807,'données'!E$2:E$3608,'données'!K$2:K$3608)</f>
        <v>117.8</v>
      </c>
      <c r="E807" s="5" t="b">
        <f t="shared" si="1"/>
        <v>0</v>
      </c>
    </row>
    <row r="808">
      <c r="A808" s="50" t="s">
        <v>6458</v>
      </c>
      <c r="B808" s="61">
        <v>99.0</v>
      </c>
      <c r="C808" s="50"/>
      <c r="D808" s="9">
        <f t="array" ref="D808">xlookup(A808,'données'!E$2:E$3608,'données'!K$2:K$3608)</f>
        <v>119.6</v>
      </c>
      <c r="E808" s="5" t="b">
        <f t="shared" si="1"/>
        <v>0</v>
      </c>
    </row>
    <row r="809">
      <c r="A809" s="50" t="s">
        <v>1426</v>
      </c>
      <c r="B809" s="61">
        <v>98.0</v>
      </c>
      <c r="C809" s="61">
        <v>99.0</v>
      </c>
      <c r="D809" s="9">
        <f t="array" ref="D809">xlookup(A809,'données'!E$2:E$3608,'données'!K$2:K$3608)</f>
        <v>113.9</v>
      </c>
      <c r="E809" s="5" t="b">
        <f t="shared" si="1"/>
        <v>0</v>
      </c>
    </row>
    <row r="810">
      <c r="A810" s="50" t="s">
        <v>6456</v>
      </c>
      <c r="B810" s="61">
        <v>97.0</v>
      </c>
      <c r="C810" s="61">
        <v>98.0</v>
      </c>
      <c r="D810" s="9">
        <f t="array" ref="D810">xlookup(A810,'données'!E$2:E$3608,'données'!K$2:K$3608)</f>
        <v>118.9</v>
      </c>
      <c r="E810" s="5" t="b">
        <f t="shared" si="1"/>
        <v>0</v>
      </c>
    </row>
    <row r="811">
      <c r="A811" s="50" t="s">
        <v>4927</v>
      </c>
      <c r="B811" s="61">
        <v>98.0</v>
      </c>
      <c r="C811" s="61">
        <v>99.0</v>
      </c>
      <c r="D811" s="9">
        <f t="array" ref="D811">xlookup(A811,'données'!E$2:E$3608,'données'!K$2:K$3608)</f>
        <v>120.8</v>
      </c>
      <c r="E811" s="5" t="b">
        <f t="shared" si="1"/>
        <v>0</v>
      </c>
    </row>
    <row r="812">
      <c r="A812" s="50" t="s">
        <v>6453</v>
      </c>
      <c r="B812" s="61">
        <v>94.0</v>
      </c>
      <c r="C812" s="61">
        <v>95.0</v>
      </c>
      <c r="D812" s="9">
        <f t="array" ref="D812">xlookup(A812,'données'!E$2:E$3608,'données'!K$2:K$3608)</f>
        <v>102.5</v>
      </c>
      <c r="E812" s="5" t="b">
        <f t="shared" si="1"/>
        <v>0</v>
      </c>
    </row>
    <row r="813">
      <c r="A813" s="50" t="s">
        <v>1423</v>
      </c>
      <c r="B813" s="61">
        <v>96.0</v>
      </c>
      <c r="C813" s="61">
        <v>99.0</v>
      </c>
      <c r="D813" s="9">
        <f t="array" ref="D813">xlookup(A813,'données'!E$2:E$3608,'données'!K$2:K$3608)</f>
        <v>107.3</v>
      </c>
      <c r="E813" s="5" t="b">
        <f t="shared" si="1"/>
        <v>0</v>
      </c>
    </row>
    <row r="814">
      <c r="A814" s="50" t="s">
        <v>3294</v>
      </c>
      <c r="B814" s="61">
        <v>96.0</v>
      </c>
      <c r="C814" s="61">
        <v>97.0</v>
      </c>
      <c r="D814" s="9">
        <f t="array" ref="D814">xlookup(A814,'données'!E$2:E$3608,'données'!K$2:K$3608)</f>
        <v>102.6</v>
      </c>
      <c r="E814" s="5" t="b">
        <f t="shared" si="1"/>
        <v>0</v>
      </c>
    </row>
    <row r="815">
      <c r="A815" s="50" t="s">
        <v>1420</v>
      </c>
      <c r="B815" s="61">
        <v>98.0</v>
      </c>
      <c r="C815" s="61">
        <v>99.0</v>
      </c>
      <c r="D815" s="9">
        <f t="array" ref="D815">xlookup(A815,'données'!E$2:E$3608,'données'!K$2:K$3608)</f>
        <v>124.2</v>
      </c>
      <c r="E815" s="5" t="b">
        <f t="shared" si="1"/>
        <v>0</v>
      </c>
    </row>
    <row r="816">
      <c r="A816" s="50" t="s">
        <v>4925</v>
      </c>
      <c r="B816" s="61">
        <v>97.0</v>
      </c>
      <c r="C816" s="61">
        <v>99.0</v>
      </c>
      <c r="D816" s="9">
        <f t="array" ref="D816">xlookup(A816,'données'!E$2:E$3608,'données'!K$2:K$3608)</f>
        <v>121</v>
      </c>
      <c r="E816" s="5" t="b">
        <f t="shared" si="1"/>
        <v>0</v>
      </c>
    </row>
    <row r="817">
      <c r="A817" s="50" t="s">
        <v>6451</v>
      </c>
      <c r="B817" s="61">
        <v>99.0</v>
      </c>
      <c r="C817" s="61">
        <v>99.0</v>
      </c>
      <c r="D817" s="9">
        <f t="array" ref="D817">xlookup(A817,'données'!E$2:E$3608,'données'!K$2:K$3608)</f>
        <v>131.7</v>
      </c>
      <c r="E817" s="5" t="b">
        <f t="shared" si="1"/>
        <v>0</v>
      </c>
    </row>
    <row r="818">
      <c r="A818" s="50" t="s">
        <v>7829</v>
      </c>
      <c r="B818" s="61">
        <v>100.0</v>
      </c>
      <c r="C818" s="61">
        <v>100.0</v>
      </c>
      <c r="D818" s="9">
        <f t="array" ref="D818">xlookup(A818,'données'!E$2:E$3608,'données'!K$2:K$3608)</f>
        <v>122</v>
      </c>
      <c r="E818" s="5" t="b">
        <f t="shared" si="1"/>
        <v>0</v>
      </c>
    </row>
    <row r="819">
      <c r="A819" s="50" t="s">
        <v>3292</v>
      </c>
      <c r="B819" s="61">
        <v>99.0</v>
      </c>
      <c r="C819" s="61">
        <v>99.0</v>
      </c>
      <c r="D819" s="9">
        <f t="array" ref="D819">xlookup(A819,'données'!E$2:E$3608,'données'!K$2:K$3608)</f>
        <v>123.8</v>
      </c>
      <c r="E819" s="5" t="b">
        <f t="shared" si="1"/>
        <v>0</v>
      </c>
    </row>
    <row r="820">
      <c r="A820" s="50" t="s">
        <v>7827</v>
      </c>
      <c r="B820" s="61">
        <v>96.0</v>
      </c>
      <c r="C820" s="61">
        <v>97.0</v>
      </c>
      <c r="D820" s="9">
        <f t="array" ref="D820">xlookup(A820,'données'!E$2:E$3608,'données'!K$2:K$3608)</f>
        <v>120.3</v>
      </c>
      <c r="E820" s="5" t="b">
        <f t="shared" si="1"/>
        <v>0</v>
      </c>
    </row>
    <row r="821">
      <c r="A821" s="50" t="s">
        <v>6446</v>
      </c>
      <c r="B821" s="61">
        <v>99.0</v>
      </c>
      <c r="C821" s="61">
        <v>99.0</v>
      </c>
      <c r="D821" s="9">
        <f t="array" ref="D821">xlookup(A821,'données'!E$2:E$3608,'données'!K$2:K$3608)</f>
        <v>133</v>
      </c>
      <c r="E821" s="5" t="b">
        <f t="shared" si="1"/>
        <v>0</v>
      </c>
    </row>
    <row r="822">
      <c r="A822" s="50" t="s">
        <v>6445</v>
      </c>
      <c r="B822" s="61">
        <v>98.0</v>
      </c>
      <c r="C822" s="61">
        <v>98.0</v>
      </c>
      <c r="D822" s="9">
        <f t="array" ref="D822">xlookup(A822,'données'!E$2:E$3608,'données'!K$2:K$3608)</f>
        <v>105.3</v>
      </c>
      <c r="E822" s="5" t="b">
        <f t="shared" si="1"/>
        <v>0</v>
      </c>
    </row>
    <row r="823">
      <c r="A823" s="50" t="s">
        <v>4922</v>
      </c>
      <c r="B823" s="61">
        <v>99.0</v>
      </c>
      <c r="C823" s="61">
        <v>100.0</v>
      </c>
      <c r="D823" s="9">
        <f t="array" ref="D823">xlookup(A823,'données'!E$2:E$3608,'données'!K$2:K$3608)</f>
        <v>115.1</v>
      </c>
      <c r="E823" s="5" t="b">
        <f t="shared" si="1"/>
        <v>0</v>
      </c>
    </row>
    <row r="824">
      <c r="A824" s="50" t="s">
        <v>6442</v>
      </c>
      <c r="B824" s="61">
        <v>97.0</v>
      </c>
      <c r="C824" s="61">
        <v>97.0</v>
      </c>
      <c r="D824" s="9">
        <f t="array" ref="D824">xlookup(A824,'données'!E$2:E$3608,'données'!K$2:K$3608)</f>
        <v>110.2</v>
      </c>
      <c r="E824" s="5" t="b">
        <f t="shared" si="1"/>
        <v>0</v>
      </c>
    </row>
    <row r="825">
      <c r="A825" s="50" t="s">
        <v>3286</v>
      </c>
      <c r="B825" s="61">
        <v>100.0</v>
      </c>
      <c r="C825" s="61">
        <v>100.0</v>
      </c>
      <c r="D825" s="9">
        <f t="array" ref="D825">xlookup(A825,'données'!E$2:E$3608,'données'!K$2:K$3608)</f>
        <v>119.9</v>
      </c>
      <c r="E825" s="5" t="b">
        <f t="shared" si="1"/>
        <v>0</v>
      </c>
    </row>
    <row r="826">
      <c r="A826" s="50" t="s">
        <v>1408</v>
      </c>
      <c r="B826" s="61">
        <v>97.0</v>
      </c>
      <c r="C826" s="61">
        <v>99.0</v>
      </c>
      <c r="D826" s="9">
        <f t="array" ref="D826">xlookup(A826,'données'!E$2:E$3608,'données'!K$2:K$3608)</f>
        <v>119.1</v>
      </c>
      <c r="E826" s="5" t="b">
        <f t="shared" si="1"/>
        <v>0</v>
      </c>
    </row>
    <row r="827">
      <c r="A827" s="50" t="s">
        <v>4917</v>
      </c>
      <c r="B827" s="61">
        <v>99.0</v>
      </c>
      <c r="C827" s="61">
        <v>99.0</v>
      </c>
      <c r="D827" s="9">
        <f t="array" ref="D827">xlookup(A827,'données'!E$2:E$3608,'données'!K$2:K$3608)</f>
        <v>129.8</v>
      </c>
      <c r="E827" s="5" t="b">
        <f t="shared" si="1"/>
        <v>0</v>
      </c>
    </row>
    <row r="828">
      <c r="A828" s="50" t="s">
        <v>4916</v>
      </c>
      <c r="B828" s="61">
        <v>98.0</v>
      </c>
      <c r="C828" s="61">
        <v>100.0</v>
      </c>
      <c r="D828" s="9">
        <f t="array" ref="D828">xlookup(A828,'données'!E$2:E$3608,'données'!K$2:K$3608)</f>
        <v>111.8</v>
      </c>
      <c r="E828" s="5" t="b">
        <f t="shared" si="1"/>
        <v>0</v>
      </c>
    </row>
    <row r="829">
      <c r="A829" s="50" t="s">
        <v>3281</v>
      </c>
      <c r="B829" s="61">
        <v>99.0</v>
      </c>
      <c r="C829" s="61">
        <v>100.0</v>
      </c>
      <c r="D829" s="9">
        <f t="array" ref="D829">xlookup(A829,'données'!E$2:E$3608,'données'!K$2:K$3608)</f>
        <v>122.1</v>
      </c>
      <c r="E829" s="5" t="b">
        <f t="shared" si="1"/>
        <v>0</v>
      </c>
    </row>
    <row r="830">
      <c r="A830" s="50" t="s">
        <v>3279</v>
      </c>
      <c r="B830" s="61">
        <v>98.0</v>
      </c>
      <c r="C830" s="61">
        <v>98.0</v>
      </c>
      <c r="D830" s="9">
        <f t="array" ref="D830">xlookup(A830,'données'!E$2:E$3608,'données'!K$2:K$3608)</f>
        <v>112.1</v>
      </c>
      <c r="E830" s="5" t="b">
        <f t="shared" si="1"/>
        <v>0</v>
      </c>
    </row>
    <row r="831">
      <c r="A831" s="50" t="s">
        <v>6439</v>
      </c>
      <c r="B831" s="61">
        <v>98.0</v>
      </c>
      <c r="C831" s="61">
        <v>98.0</v>
      </c>
      <c r="D831" s="9">
        <f t="array" ref="D831">xlookup(A831,'données'!E$2:E$3608,'données'!K$2:K$3608)</f>
        <v>110.7</v>
      </c>
      <c r="E831" s="5" t="b">
        <f t="shared" si="1"/>
        <v>0</v>
      </c>
    </row>
    <row r="832">
      <c r="A832" s="50" t="s">
        <v>6437</v>
      </c>
      <c r="B832" s="61">
        <v>96.0</v>
      </c>
      <c r="C832" s="61">
        <v>99.0</v>
      </c>
      <c r="D832" s="9">
        <f t="array" ref="D832">xlookup(A832,'données'!E$2:E$3608,'données'!K$2:K$3608)</f>
        <v>112.4</v>
      </c>
      <c r="E832" s="5" t="b">
        <f t="shared" si="1"/>
        <v>0</v>
      </c>
    </row>
    <row r="833">
      <c r="A833" s="50" t="s">
        <v>4914</v>
      </c>
      <c r="B833" s="61">
        <v>95.0</v>
      </c>
      <c r="C833" s="61">
        <v>97.0</v>
      </c>
      <c r="D833" s="9">
        <f t="array" ref="D833">xlookup(A833,'données'!E$2:E$3608,'données'!K$2:K$3608)</f>
        <v>109.1</v>
      </c>
      <c r="E833" s="5" t="b">
        <f t="shared" si="1"/>
        <v>0</v>
      </c>
    </row>
    <row r="834">
      <c r="A834" s="50" t="s">
        <v>3276</v>
      </c>
      <c r="B834" s="61">
        <v>100.0</v>
      </c>
      <c r="C834" s="50"/>
      <c r="D834" s="9">
        <f t="array" ref="D834">xlookup(A834,'données'!E$2:E$3608,'données'!K$2:K$3608)</f>
        <v>110.2</v>
      </c>
      <c r="E834" s="5" t="b">
        <f t="shared" si="1"/>
        <v>0</v>
      </c>
    </row>
    <row r="835">
      <c r="A835" s="50" t="s">
        <v>7820</v>
      </c>
      <c r="B835" s="61">
        <v>90.0</v>
      </c>
      <c r="C835" s="61">
        <v>97.0</v>
      </c>
      <c r="D835" s="9">
        <f t="array" ref="D835">xlookup(A835,'données'!E$2:E$3608,'données'!K$2:K$3608)</f>
        <v>105.4</v>
      </c>
      <c r="E835" s="5" t="b">
        <f t="shared" si="1"/>
        <v>0</v>
      </c>
    </row>
    <row r="836">
      <c r="A836" s="50" t="s">
        <v>3274</v>
      </c>
      <c r="B836" s="61">
        <v>100.0</v>
      </c>
      <c r="C836" s="61">
        <v>100.0</v>
      </c>
      <c r="D836" s="9">
        <f t="array" ref="D836">xlookup(A836,'données'!E$2:E$3608,'données'!K$2:K$3608)</f>
        <v>112.8</v>
      </c>
      <c r="E836" s="5" t="b">
        <f t="shared" si="1"/>
        <v>0</v>
      </c>
    </row>
    <row r="837">
      <c r="A837" s="50" t="s">
        <v>3273</v>
      </c>
      <c r="B837" s="61">
        <v>99.0</v>
      </c>
      <c r="C837" s="61">
        <v>99.0</v>
      </c>
      <c r="D837" s="9">
        <f t="array" ref="D837">xlookup(A837,'données'!E$2:E$3608,'données'!K$2:K$3608)</f>
        <v>123.9</v>
      </c>
      <c r="E837" s="5" t="b">
        <f t="shared" si="1"/>
        <v>0</v>
      </c>
    </row>
    <row r="838">
      <c r="A838" s="50" t="s">
        <v>4910</v>
      </c>
      <c r="B838" s="61">
        <v>98.0</v>
      </c>
      <c r="C838" s="61">
        <v>98.0</v>
      </c>
      <c r="D838" s="9">
        <f t="array" ref="D838">xlookup(A838,'données'!E$2:E$3608,'données'!K$2:K$3608)</f>
        <v>104.5</v>
      </c>
      <c r="E838" s="5" t="b">
        <f t="shared" si="1"/>
        <v>0</v>
      </c>
    </row>
    <row r="839">
      <c r="A839" s="50" t="s">
        <v>3270</v>
      </c>
      <c r="B839" s="61">
        <v>98.0</v>
      </c>
      <c r="C839" s="61">
        <v>99.0</v>
      </c>
      <c r="D839" s="9">
        <f t="array" ref="D839">xlookup(A839,'données'!E$2:E$3608,'données'!K$2:K$3608)</f>
        <v>112.3</v>
      </c>
      <c r="E839" s="5" t="b">
        <f t="shared" si="1"/>
        <v>0</v>
      </c>
    </row>
    <row r="840">
      <c r="A840" s="50" t="s">
        <v>3267</v>
      </c>
      <c r="B840" s="61">
        <v>98.0</v>
      </c>
      <c r="C840" s="61">
        <v>99.0</v>
      </c>
      <c r="D840" s="9">
        <f t="array" ref="D840">xlookup(A840,'données'!E$2:E$3608,'données'!K$2:K$3608)</f>
        <v>106.2</v>
      </c>
      <c r="E840" s="5" t="b">
        <f t="shared" si="1"/>
        <v>0</v>
      </c>
    </row>
    <row r="841">
      <c r="A841" s="50" t="s">
        <v>4906</v>
      </c>
      <c r="B841" s="61">
        <v>96.0</v>
      </c>
      <c r="C841" s="61">
        <v>98.0</v>
      </c>
      <c r="D841" s="9">
        <f t="array" ref="D841">xlookup(A841,'données'!E$2:E$3608,'données'!K$2:K$3608)</f>
        <v>110.2</v>
      </c>
      <c r="E841" s="5" t="b">
        <f t="shared" si="1"/>
        <v>0</v>
      </c>
    </row>
    <row r="842">
      <c r="A842" s="50" t="s">
        <v>1401</v>
      </c>
      <c r="B842" s="61">
        <v>97.0</v>
      </c>
      <c r="C842" s="61">
        <v>97.0</v>
      </c>
      <c r="D842" s="9">
        <f t="array" ref="D842">xlookup(A842,'données'!E$2:E$3608,'données'!K$2:K$3608)</f>
        <v>121.5</v>
      </c>
      <c r="E842" s="5" t="b">
        <f t="shared" si="1"/>
        <v>0</v>
      </c>
    </row>
    <row r="843">
      <c r="A843" s="50" t="s">
        <v>3266</v>
      </c>
      <c r="B843" s="61">
        <v>97.0</v>
      </c>
      <c r="C843" s="61">
        <v>97.0</v>
      </c>
      <c r="D843" s="9">
        <f t="array" ref="D843">xlookup(A843,'données'!E$2:E$3608,'données'!K$2:K$3608)</f>
        <v>129</v>
      </c>
      <c r="E843" s="5" t="b">
        <f t="shared" si="1"/>
        <v>0</v>
      </c>
    </row>
    <row r="844">
      <c r="A844" s="50" t="s">
        <v>3263</v>
      </c>
      <c r="B844" s="61">
        <v>95.0</v>
      </c>
      <c r="C844" s="61">
        <v>96.0</v>
      </c>
      <c r="D844" s="9">
        <f t="array" ref="D844">xlookup(A844,'données'!E$2:E$3608,'données'!K$2:K$3608)</f>
        <v>103.8</v>
      </c>
      <c r="E844" s="5" t="b">
        <f t="shared" si="1"/>
        <v>0</v>
      </c>
    </row>
    <row r="845">
      <c r="A845" s="50" t="s">
        <v>3260</v>
      </c>
      <c r="B845" s="61">
        <v>98.0</v>
      </c>
      <c r="C845" s="61">
        <v>98.0</v>
      </c>
      <c r="D845" s="9">
        <f t="array" ref="D845">xlookup(A845,'données'!E$2:E$3608,'données'!K$2:K$3608)</f>
        <v>111.7</v>
      </c>
      <c r="E845" s="5" t="b">
        <f t="shared" si="1"/>
        <v>0</v>
      </c>
    </row>
    <row r="846">
      <c r="A846" s="50" t="s">
        <v>7816</v>
      </c>
      <c r="B846" s="61">
        <v>95.0</v>
      </c>
      <c r="C846" s="61">
        <v>95.0</v>
      </c>
      <c r="D846" s="9">
        <f t="array" ref="D846">xlookup(A846,'données'!E$2:E$3608,'données'!K$2:K$3608)</f>
        <v>106.4</v>
      </c>
      <c r="E846" s="5" t="b">
        <f t="shared" si="1"/>
        <v>0</v>
      </c>
    </row>
    <row r="847">
      <c r="A847" s="50" t="s">
        <v>6433</v>
      </c>
      <c r="B847" s="61">
        <v>94.0</v>
      </c>
      <c r="C847" s="61">
        <v>94.0</v>
      </c>
      <c r="D847" s="9">
        <f t="array" ref="D847">xlookup(A847,'données'!E$2:E$3608,'données'!K$2:K$3608)</f>
        <v>109.1</v>
      </c>
      <c r="E847" s="5" t="b">
        <f t="shared" si="1"/>
        <v>0</v>
      </c>
    </row>
    <row r="848">
      <c r="A848" s="50" t="s">
        <v>6431</v>
      </c>
      <c r="B848" s="61">
        <v>100.0</v>
      </c>
      <c r="C848" s="61">
        <v>100.0</v>
      </c>
      <c r="D848" s="9">
        <f t="array" ref="D848">xlookup(A848,'données'!E$2:E$3608,'données'!K$2:K$3608)</f>
        <v>118.7</v>
      </c>
      <c r="E848" s="5" t="b">
        <f t="shared" si="1"/>
        <v>0</v>
      </c>
    </row>
    <row r="849">
      <c r="A849" s="50" t="s">
        <v>7814</v>
      </c>
      <c r="B849" s="61">
        <v>91.0</v>
      </c>
      <c r="C849" s="61">
        <v>96.0</v>
      </c>
      <c r="D849" s="9">
        <f t="array" ref="D849">xlookup(A849,'données'!E$2:E$3608,'données'!K$2:K$3608)</f>
        <v>110.5</v>
      </c>
      <c r="E849" s="5" t="b">
        <f t="shared" si="1"/>
        <v>0</v>
      </c>
    </row>
    <row r="850">
      <c r="A850" s="50" t="s">
        <v>6429</v>
      </c>
      <c r="B850" s="61">
        <v>97.0</v>
      </c>
      <c r="C850" s="61">
        <v>96.0</v>
      </c>
      <c r="D850" s="9">
        <f t="array" ref="D850">xlookup(A850,'données'!E$2:E$3608,'données'!K$2:K$3608)</f>
        <v>105</v>
      </c>
      <c r="E850" s="5" t="b">
        <f t="shared" si="1"/>
        <v>0</v>
      </c>
    </row>
    <row r="851">
      <c r="A851" s="50" t="s">
        <v>3249</v>
      </c>
      <c r="B851" s="61">
        <v>100.0</v>
      </c>
      <c r="C851" s="61">
        <v>100.0</v>
      </c>
      <c r="D851" s="9">
        <f t="array" ref="D851">xlookup(A851,'données'!E$2:E$3608,'données'!K$2:K$3608)</f>
        <v>121.8</v>
      </c>
      <c r="E851" s="5" t="b">
        <f t="shared" si="1"/>
        <v>0</v>
      </c>
    </row>
    <row r="852">
      <c r="A852" s="50" t="s">
        <v>4904</v>
      </c>
      <c r="B852" s="61">
        <v>100.0</v>
      </c>
      <c r="C852" s="61">
        <v>100.0</v>
      </c>
      <c r="D852" s="9">
        <f t="array" ref="D852">xlookup(A852,'données'!E$2:E$3608,'données'!K$2:K$3608)</f>
        <v>102.3</v>
      </c>
      <c r="E852" s="5" t="b">
        <f t="shared" si="1"/>
        <v>0</v>
      </c>
    </row>
    <row r="853">
      <c r="A853" s="50" t="s">
        <v>3248</v>
      </c>
      <c r="B853" s="61">
        <v>100.0</v>
      </c>
      <c r="C853" s="61">
        <v>100.0</v>
      </c>
      <c r="D853" s="9">
        <f t="array" ref="D853">xlookup(A853,'données'!E$2:E$3608,'données'!K$2:K$3608)</f>
        <v>116.3</v>
      </c>
      <c r="E853" s="5" t="b">
        <f t="shared" si="1"/>
        <v>0</v>
      </c>
    </row>
    <row r="854">
      <c r="A854" s="50" t="s">
        <v>4901</v>
      </c>
      <c r="B854" s="61">
        <v>98.0</v>
      </c>
      <c r="C854" s="61">
        <v>99.0</v>
      </c>
      <c r="D854" s="9">
        <f t="array" ref="D854">xlookup(A854,'données'!E$2:E$3608,'données'!K$2:K$3608)</f>
        <v>113.9</v>
      </c>
      <c r="E854" s="5" t="b">
        <f t="shared" si="1"/>
        <v>0</v>
      </c>
    </row>
    <row r="855">
      <c r="A855" s="50" t="s">
        <v>7809</v>
      </c>
      <c r="B855" s="61">
        <v>93.0</v>
      </c>
      <c r="C855" s="61">
        <v>97.0</v>
      </c>
      <c r="D855" s="9">
        <f t="array" ref="D855">xlookup(A855,'données'!E$2:E$3608,'données'!K$2:K$3608)</f>
        <v>106.4</v>
      </c>
      <c r="E855" s="5" t="b">
        <f t="shared" si="1"/>
        <v>0</v>
      </c>
    </row>
    <row r="856">
      <c r="A856" s="50" t="s">
        <v>7808</v>
      </c>
      <c r="B856" s="61">
        <v>98.0</v>
      </c>
      <c r="C856" s="61">
        <v>97.0</v>
      </c>
      <c r="D856" s="9">
        <f t="array" ref="D856">xlookup(A856,'données'!E$2:E$3608,'données'!K$2:K$3608)</f>
        <v>106.1</v>
      </c>
      <c r="E856" s="5" t="b">
        <f t="shared" si="1"/>
        <v>0</v>
      </c>
    </row>
    <row r="857">
      <c r="A857" s="50" t="s">
        <v>4899</v>
      </c>
      <c r="B857" s="61">
        <v>97.0</v>
      </c>
      <c r="C857" s="61">
        <v>99.0</v>
      </c>
      <c r="D857" s="9">
        <f t="array" ref="D857">xlookup(A857,'données'!E$2:E$3608,'données'!K$2:K$3608)</f>
        <v>109.6</v>
      </c>
      <c r="E857" s="5" t="b">
        <f t="shared" si="1"/>
        <v>0</v>
      </c>
    </row>
    <row r="858">
      <c r="A858" s="50" t="s">
        <v>1394</v>
      </c>
      <c r="B858" s="61">
        <v>98.0</v>
      </c>
      <c r="C858" s="61">
        <v>98.0</v>
      </c>
      <c r="D858" s="9">
        <f t="array" ref="D858">xlookup(A858,'données'!E$2:E$3608,'données'!K$2:K$3608)</f>
        <v>105.3</v>
      </c>
      <c r="E858" s="5" t="b">
        <f t="shared" si="1"/>
        <v>0</v>
      </c>
    </row>
    <row r="859">
      <c r="A859" s="50" t="s">
        <v>3242</v>
      </c>
      <c r="B859" s="61">
        <v>96.0</v>
      </c>
      <c r="C859" s="61">
        <v>97.0</v>
      </c>
      <c r="D859" s="9">
        <f t="array" ref="D859">xlookup(A859,'données'!E$2:E$3608,'données'!K$2:K$3608)</f>
        <v>106.6</v>
      </c>
      <c r="E859" s="5" t="b">
        <f t="shared" si="1"/>
        <v>0</v>
      </c>
    </row>
    <row r="860">
      <c r="A860" s="50" t="s">
        <v>6421</v>
      </c>
      <c r="B860" s="61">
        <v>99.0</v>
      </c>
      <c r="C860" s="61">
        <v>99.0</v>
      </c>
      <c r="D860" s="9">
        <f t="array" ref="D860">xlookup(A860,'données'!E$2:E$3608,'données'!K$2:K$3608)</f>
        <v>123.7</v>
      </c>
      <c r="E860" s="5" t="b">
        <f t="shared" si="1"/>
        <v>0</v>
      </c>
    </row>
    <row r="861">
      <c r="A861" s="50" t="s">
        <v>3239</v>
      </c>
      <c r="B861" s="61">
        <v>99.0</v>
      </c>
      <c r="C861" s="61">
        <v>100.0</v>
      </c>
      <c r="D861" s="9">
        <f t="array" ref="D861">xlookup(A861,'données'!E$2:E$3608,'données'!K$2:K$3608)</f>
        <v>112</v>
      </c>
      <c r="E861" s="5" t="b">
        <f t="shared" si="1"/>
        <v>0</v>
      </c>
    </row>
    <row r="862">
      <c r="A862" s="50" t="s">
        <v>6419</v>
      </c>
      <c r="B862" s="61">
        <v>98.0</v>
      </c>
      <c r="C862" s="61">
        <v>99.0</v>
      </c>
      <c r="D862" s="9">
        <f t="array" ref="D862">xlookup(A862,'données'!E$2:E$3608,'données'!K$2:K$3608)</f>
        <v>116</v>
      </c>
      <c r="E862" s="5" t="b">
        <f t="shared" si="1"/>
        <v>0</v>
      </c>
    </row>
    <row r="863">
      <c r="A863" s="50" t="s">
        <v>6417</v>
      </c>
      <c r="B863" s="61">
        <v>99.0</v>
      </c>
      <c r="C863" s="61">
        <v>99.0</v>
      </c>
      <c r="D863" s="9">
        <f t="array" ref="D863">xlookup(A863,'données'!E$2:E$3608,'données'!K$2:K$3608)</f>
        <v>127.5</v>
      </c>
      <c r="E863" s="5" t="b">
        <f t="shared" si="1"/>
        <v>0</v>
      </c>
    </row>
    <row r="864">
      <c r="A864" s="50" t="s">
        <v>4897</v>
      </c>
      <c r="B864" s="61">
        <v>95.0</v>
      </c>
      <c r="C864" s="61">
        <v>95.0</v>
      </c>
      <c r="D864" s="9">
        <f t="array" ref="D864">xlookup(A864,'données'!E$2:E$3608,'données'!K$2:K$3608)</f>
        <v>104.6</v>
      </c>
      <c r="E864" s="5" t="b">
        <f t="shared" si="1"/>
        <v>0</v>
      </c>
    </row>
    <row r="865">
      <c r="A865" s="50" t="s">
        <v>1391</v>
      </c>
      <c r="B865" s="61">
        <v>99.0</v>
      </c>
      <c r="C865" s="61">
        <v>99.0</v>
      </c>
      <c r="D865" s="9">
        <f t="array" ref="D865">xlookup(A865,'données'!E$2:E$3608,'données'!K$2:K$3608)</f>
        <v>113</v>
      </c>
      <c r="E865" s="5" t="b">
        <f t="shared" si="1"/>
        <v>0</v>
      </c>
    </row>
    <row r="866">
      <c r="A866" s="50" t="s">
        <v>6414</v>
      </c>
      <c r="B866" s="61">
        <v>96.0</v>
      </c>
      <c r="C866" s="61">
        <v>93.0</v>
      </c>
      <c r="D866" s="9">
        <f t="array" ref="D866">xlookup(A866,'données'!E$2:E$3608,'données'!K$2:K$3608)</f>
        <v>105.7</v>
      </c>
      <c r="E866" s="5" t="b">
        <f t="shared" si="1"/>
        <v>0</v>
      </c>
    </row>
    <row r="867">
      <c r="A867" s="50" t="s">
        <v>4895</v>
      </c>
      <c r="B867" s="61">
        <v>96.0</v>
      </c>
      <c r="C867" s="61">
        <v>99.0</v>
      </c>
      <c r="D867" s="9">
        <f t="array" ref="D867">xlookup(A867,'données'!E$2:E$3608,'données'!K$2:K$3608)</f>
        <v>109.2</v>
      </c>
      <c r="E867" s="5" t="b">
        <f t="shared" si="1"/>
        <v>0</v>
      </c>
    </row>
    <row r="868">
      <c r="A868" s="50" t="s">
        <v>7805</v>
      </c>
      <c r="B868" s="61">
        <v>98.0</v>
      </c>
      <c r="C868" s="61">
        <v>98.0</v>
      </c>
      <c r="D868" s="9">
        <f t="array" ref="D868">xlookup(A868,'données'!E$2:E$3608,'données'!K$2:K$3608)</f>
        <v>118.5</v>
      </c>
      <c r="E868" s="5" t="b">
        <f t="shared" si="1"/>
        <v>0</v>
      </c>
    </row>
    <row r="869">
      <c r="A869" s="50" t="s">
        <v>1387</v>
      </c>
      <c r="B869" s="61">
        <v>95.0</v>
      </c>
      <c r="C869" s="61">
        <v>95.0</v>
      </c>
      <c r="D869" s="9">
        <f t="array" ref="D869">xlookup(A869,'données'!E$2:E$3608,'données'!K$2:K$3608)</f>
        <v>114.3</v>
      </c>
      <c r="E869" s="5" t="b">
        <f t="shared" si="1"/>
        <v>0</v>
      </c>
    </row>
    <row r="870">
      <c r="A870" s="50" t="s">
        <v>7800</v>
      </c>
      <c r="B870" s="61">
        <v>99.0</v>
      </c>
      <c r="C870" s="61">
        <v>99.0</v>
      </c>
      <c r="D870" s="9">
        <f t="array" ref="D870">xlookup(A870,'données'!E$2:E$3608,'données'!K$2:K$3608)</f>
        <v>110.6</v>
      </c>
      <c r="E870" s="5" t="b">
        <f t="shared" si="1"/>
        <v>0</v>
      </c>
    </row>
    <row r="871">
      <c r="A871" s="50" t="s">
        <v>7798</v>
      </c>
      <c r="B871" s="61">
        <v>97.0</v>
      </c>
      <c r="C871" s="61">
        <v>95.0</v>
      </c>
      <c r="D871" s="9">
        <f t="array" ref="D871">xlookup(A871,'données'!E$2:E$3608,'données'!K$2:K$3608)</f>
        <v>110.1</v>
      </c>
      <c r="E871" s="5" t="b">
        <f t="shared" si="1"/>
        <v>0</v>
      </c>
    </row>
    <row r="872">
      <c r="A872" s="50" t="s">
        <v>3233</v>
      </c>
      <c r="B872" s="61">
        <v>100.0</v>
      </c>
      <c r="C872" s="61">
        <v>100.0</v>
      </c>
      <c r="D872" s="9">
        <f t="array" ref="D872">xlookup(A872,'données'!E$2:E$3608,'données'!K$2:K$3608)</f>
        <v>114</v>
      </c>
      <c r="E872" s="5" t="b">
        <f t="shared" si="1"/>
        <v>0</v>
      </c>
    </row>
    <row r="873">
      <c r="A873" s="50" t="s">
        <v>1384</v>
      </c>
      <c r="B873" s="61">
        <v>100.0</v>
      </c>
      <c r="C873" s="61">
        <v>100.0</v>
      </c>
      <c r="D873" s="9">
        <f t="array" ref="D873">xlookup(A873,'données'!E$2:E$3608,'données'!K$2:K$3608)</f>
        <v>71</v>
      </c>
      <c r="E873" s="5" t="b">
        <f t="shared" si="1"/>
        <v>0</v>
      </c>
    </row>
    <row r="874">
      <c r="A874" s="50" t="s">
        <v>7795</v>
      </c>
      <c r="B874" s="61">
        <v>100.0</v>
      </c>
      <c r="C874" s="61">
        <v>100.0</v>
      </c>
      <c r="D874" s="9">
        <f t="array" ref="D874">xlookup(A874,'données'!E$2:E$3608,'données'!K$2:K$3608)</f>
        <v>133</v>
      </c>
      <c r="E874" s="5" t="b">
        <f t="shared" si="1"/>
        <v>0</v>
      </c>
    </row>
    <row r="875">
      <c r="A875" s="50" t="s">
        <v>7793</v>
      </c>
      <c r="B875" s="61">
        <v>100.0</v>
      </c>
      <c r="C875" s="61">
        <v>100.0</v>
      </c>
      <c r="D875" s="9">
        <f t="array" ref="D875">xlookup(A875,'données'!E$2:E$3608,'données'!K$2:K$3608)</f>
        <v>131.1</v>
      </c>
      <c r="E875" s="5" t="b">
        <f t="shared" si="1"/>
        <v>0</v>
      </c>
    </row>
    <row r="876">
      <c r="A876" s="50" t="s">
        <v>7791</v>
      </c>
      <c r="B876" s="61">
        <v>100.0</v>
      </c>
      <c r="C876" s="61">
        <v>100.0</v>
      </c>
      <c r="D876" s="9">
        <f t="array" ref="D876">xlookup(A876,'données'!E$2:E$3608,'données'!K$2:K$3608)</f>
        <v>113</v>
      </c>
      <c r="E876" s="5" t="b">
        <f t="shared" si="1"/>
        <v>0</v>
      </c>
    </row>
    <row r="877">
      <c r="A877" s="50" t="s">
        <v>7788</v>
      </c>
      <c r="B877" s="61">
        <v>97.0</v>
      </c>
      <c r="C877" s="61">
        <v>97.0</v>
      </c>
      <c r="D877" s="9">
        <f t="array" ref="D877">xlookup(A877,'données'!E$2:E$3608,'données'!K$2:K$3608)</f>
        <v>113.9</v>
      </c>
      <c r="E877" s="5" t="b">
        <f t="shared" si="1"/>
        <v>0</v>
      </c>
    </row>
    <row r="878">
      <c r="A878" s="50" t="s">
        <v>4887</v>
      </c>
      <c r="B878" s="61">
        <v>98.0</v>
      </c>
      <c r="C878" s="61">
        <v>99.0</v>
      </c>
      <c r="D878" s="9">
        <f t="array" ref="D878">xlookup(A878,'données'!E$2:E$3608,'données'!K$2:K$3608)</f>
        <v>128.6</v>
      </c>
      <c r="E878" s="5" t="b">
        <f t="shared" si="1"/>
        <v>0</v>
      </c>
    </row>
    <row r="879">
      <c r="A879" s="50" t="s">
        <v>1381</v>
      </c>
      <c r="B879" s="61">
        <v>90.0</v>
      </c>
      <c r="C879" s="61">
        <v>93.0</v>
      </c>
      <c r="D879" s="9">
        <f t="array" ref="D879">xlookup(A879,'données'!E$2:E$3608,'données'!K$2:K$3608)</f>
        <v>83.8</v>
      </c>
      <c r="E879" s="5" t="b">
        <f t="shared" si="1"/>
        <v>0</v>
      </c>
    </row>
    <row r="880">
      <c r="A880" s="50" t="s">
        <v>3227</v>
      </c>
      <c r="B880" s="61">
        <v>100.0</v>
      </c>
      <c r="C880" s="61">
        <v>100.0</v>
      </c>
      <c r="D880" s="9">
        <f t="array" ref="D880">xlookup(A880,'données'!E$2:E$3608,'données'!K$2:K$3608)</f>
        <v>124.3</v>
      </c>
      <c r="E880" s="5" t="b">
        <f t="shared" si="1"/>
        <v>0</v>
      </c>
    </row>
    <row r="881">
      <c r="A881" s="50" t="s">
        <v>7785</v>
      </c>
      <c r="B881" s="61">
        <v>98.0</v>
      </c>
      <c r="C881" s="61">
        <v>98.0</v>
      </c>
      <c r="D881" s="9">
        <f t="array" ref="D881">xlookup(A881,'données'!E$2:E$3608,'données'!K$2:K$3608)</f>
        <v>102.4</v>
      </c>
      <c r="E881" s="5" t="b">
        <f t="shared" si="1"/>
        <v>0</v>
      </c>
    </row>
    <row r="882">
      <c r="A882" s="50" t="s">
        <v>3225</v>
      </c>
      <c r="B882" s="61">
        <v>97.0</v>
      </c>
      <c r="C882" s="61">
        <v>98.0</v>
      </c>
      <c r="D882" s="9">
        <f t="array" ref="D882">xlookup(A882,'données'!E$2:E$3608,'données'!K$2:K$3608)</f>
        <v>134.6</v>
      </c>
      <c r="E882" s="5" t="b">
        <f t="shared" si="1"/>
        <v>0</v>
      </c>
    </row>
    <row r="883">
      <c r="A883" s="50" t="s">
        <v>1378</v>
      </c>
      <c r="B883" s="61">
        <v>100.0</v>
      </c>
      <c r="C883" s="50"/>
      <c r="D883" s="9">
        <f t="array" ref="D883">xlookup(A883,'données'!E$2:E$3608,'données'!K$2:K$3608)</f>
        <v>125.8</v>
      </c>
      <c r="E883" s="5" t="b">
        <f t="shared" si="1"/>
        <v>0</v>
      </c>
    </row>
    <row r="884">
      <c r="A884" s="50" t="s">
        <v>6411</v>
      </c>
      <c r="B884" s="61">
        <v>93.0</v>
      </c>
      <c r="C884" s="61">
        <v>97.0</v>
      </c>
      <c r="D884" s="9">
        <f t="array" ref="D884">xlookup(A884,'données'!E$2:E$3608,'données'!K$2:K$3608)</f>
        <v>102.8</v>
      </c>
      <c r="E884" s="5" t="b">
        <f t="shared" si="1"/>
        <v>0</v>
      </c>
    </row>
    <row r="885">
      <c r="A885" s="50" t="s">
        <v>1376</v>
      </c>
      <c r="B885" s="61">
        <v>99.0</v>
      </c>
      <c r="C885" s="61">
        <v>99.0</v>
      </c>
      <c r="D885" s="9">
        <f t="array" ref="D885">xlookup(A885,'données'!E$2:E$3608,'données'!K$2:K$3608)</f>
        <v>131.3</v>
      </c>
      <c r="E885" s="5" t="b">
        <f t="shared" si="1"/>
        <v>0</v>
      </c>
    </row>
    <row r="886">
      <c r="A886" s="50" t="s">
        <v>3218</v>
      </c>
      <c r="B886" s="61">
        <v>96.0</v>
      </c>
      <c r="C886" s="61">
        <v>97.0</v>
      </c>
      <c r="D886" s="9">
        <f t="array" ref="D886">xlookup(A886,'données'!E$2:E$3608,'données'!K$2:K$3608)</f>
        <v>106.7</v>
      </c>
      <c r="E886" s="5" t="b">
        <f t="shared" si="1"/>
        <v>0</v>
      </c>
    </row>
    <row r="887">
      <c r="A887" s="50" t="s">
        <v>1371</v>
      </c>
      <c r="B887" s="61">
        <v>100.0</v>
      </c>
      <c r="C887" s="61">
        <v>100.0</v>
      </c>
      <c r="D887" s="9">
        <f t="array" ref="D887">xlookup(A887,'données'!E$2:E$3608,'données'!K$2:K$3608)</f>
        <v>113.8</v>
      </c>
      <c r="E887" s="5" t="b">
        <f t="shared" si="1"/>
        <v>0</v>
      </c>
    </row>
    <row r="888">
      <c r="A888" s="50" t="s">
        <v>7782</v>
      </c>
      <c r="B888" s="61">
        <v>95.0</v>
      </c>
      <c r="C888" s="61">
        <v>97.0</v>
      </c>
      <c r="D888" s="9">
        <f t="array" ref="D888">xlookup(A888,'données'!E$2:E$3608,'données'!K$2:K$3608)</f>
        <v>116.6</v>
      </c>
      <c r="E888" s="5" t="b">
        <f t="shared" si="1"/>
        <v>0</v>
      </c>
    </row>
    <row r="889">
      <c r="A889" s="50" t="s">
        <v>1366</v>
      </c>
      <c r="B889" s="61">
        <v>99.0</v>
      </c>
      <c r="C889" s="61">
        <v>99.0</v>
      </c>
      <c r="D889" s="9">
        <f t="array" ref="D889">xlookup(A889,'données'!E$2:E$3608,'données'!K$2:K$3608)</f>
        <v>95.6</v>
      </c>
      <c r="E889" s="5" t="b">
        <f t="shared" si="1"/>
        <v>0</v>
      </c>
    </row>
    <row r="890">
      <c r="A890" s="50" t="s">
        <v>1363</v>
      </c>
      <c r="B890" s="61">
        <v>96.0</v>
      </c>
      <c r="C890" s="61">
        <v>98.0</v>
      </c>
      <c r="D890" s="9">
        <f t="array" ref="D890">xlookup(A890,'données'!E$2:E$3608,'données'!K$2:K$3608)</f>
        <v>107.6</v>
      </c>
      <c r="E890" s="5" t="b">
        <f t="shared" si="1"/>
        <v>0</v>
      </c>
    </row>
    <row r="891">
      <c r="A891" s="50" t="s">
        <v>7780</v>
      </c>
      <c r="B891" s="61">
        <v>87.0</v>
      </c>
      <c r="C891" s="61">
        <v>90.0</v>
      </c>
      <c r="D891" s="9">
        <f t="array" ref="D891">xlookup(A891,'données'!E$2:E$3608,'données'!K$2:K$3608)</f>
        <v>81.2</v>
      </c>
      <c r="E891" s="5" t="b">
        <f t="shared" si="1"/>
        <v>0</v>
      </c>
    </row>
    <row r="892">
      <c r="A892" s="50" t="s">
        <v>4880</v>
      </c>
      <c r="B892" s="61">
        <v>96.0</v>
      </c>
      <c r="C892" s="61">
        <v>99.0</v>
      </c>
      <c r="D892" s="9">
        <f t="array" ref="D892">xlookup(A892,'données'!E$2:E$3608,'données'!K$2:K$3608)</f>
        <v>94.7</v>
      </c>
      <c r="E892" s="5" t="b">
        <f t="shared" si="1"/>
        <v>0</v>
      </c>
    </row>
    <row r="893">
      <c r="A893" s="50" t="s">
        <v>4878</v>
      </c>
      <c r="B893" s="61">
        <v>95.0</v>
      </c>
      <c r="C893" s="50"/>
      <c r="D893" s="9">
        <f t="array" ref="D893">xlookup(A893,'données'!E$2:E$3608,'données'!K$2:K$3608)</f>
        <v>121.1</v>
      </c>
      <c r="E893" s="5" t="b">
        <f t="shared" si="1"/>
        <v>0</v>
      </c>
    </row>
    <row r="894">
      <c r="A894" s="50" t="s">
        <v>6398</v>
      </c>
      <c r="B894" s="61">
        <v>99.0</v>
      </c>
      <c r="C894" s="61">
        <v>100.0</v>
      </c>
      <c r="D894" s="9">
        <f t="array" ref="D894">xlookup(A894,'données'!E$2:E$3608,'données'!K$2:K$3608)</f>
        <v>121.8</v>
      </c>
      <c r="E894" s="5" t="b">
        <f t="shared" si="1"/>
        <v>0</v>
      </c>
    </row>
    <row r="895">
      <c r="A895" s="50" t="s">
        <v>1354</v>
      </c>
      <c r="B895" s="61">
        <v>99.0</v>
      </c>
      <c r="C895" s="61">
        <v>99.0</v>
      </c>
      <c r="D895" s="9">
        <f t="array" ref="D895">xlookup(A895,'données'!E$2:E$3608,'données'!K$2:K$3608)</f>
        <v>125.7</v>
      </c>
      <c r="E895" s="5" t="b">
        <f t="shared" si="1"/>
        <v>0</v>
      </c>
    </row>
    <row r="896">
      <c r="A896" s="50" t="s">
        <v>6393</v>
      </c>
      <c r="B896" s="61">
        <v>98.0</v>
      </c>
      <c r="C896" s="50"/>
      <c r="D896" s="9">
        <f t="array" ref="D896">xlookup(A896,'données'!E$2:E$3608,'données'!K$2:K$3608)</f>
        <v>118.5</v>
      </c>
      <c r="E896" s="5" t="b">
        <f t="shared" si="1"/>
        <v>0</v>
      </c>
    </row>
    <row r="897">
      <c r="A897" s="50" t="s">
        <v>7772</v>
      </c>
      <c r="B897" s="61">
        <v>100.0</v>
      </c>
      <c r="C897" s="50"/>
      <c r="D897" s="9">
        <f t="array" ref="D897">xlookup(A897,'données'!E$2:E$3608,'données'!K$2:K$3608)</f>
        <v>109.6</v>
      </c>
      <c r="E897" s="5" t="b">
        <f t="shared" si="1"/>
        <v>0</v>
      </c>
    </row>
    <row r="898">
      <c r="A898" s="50" t="s">
        <v>4872</v>
      </c>
      <c r="B898" s="61">
        <v>100.0</v>
      </c>
      <c r="C898" s="50"/>
      <c r="D898" s="9">
        <f t="array" ref="D898">xlookup(A898,'données'!E$2:E$3608,'données'!K$2:K$3608)</f>
        <v>107.2</v>
      </c>
      <c r="E898" s="5" t="b">
        <f t="shared" si="1"/>
        <v>0</v>
      </c>
    </row>
    <row r="899">
      <c r="A899" s="50" t="s">
        <v>6391</v>
      </c>
      <c r="B899" s="61">
        <v>99.0</v>
      </c>
      <c r="C899" s="50"/>
      <c r="D899" s="9">
        <f t="array" ref="D899">xlookup(A899,'données'!E$2:E$3608,'données'!K$2:K$3608)</f>
        <v>132.3</v>
      </c>
      <c r="E899" s="5" t="b">
        <f t="shared" si="1"/>
        <v>0</v>
      </c>
    </row>
    <row r="900">
      <c r="A900" s="50" t="s">
        <v>1346</v>
      </c>
      <c r="B900" s="61">
        <v>94.0</v>
      </c>
      <c r="C900" s="50"/>
      <c r="D900" s="9">
        <f t="array" ref="D900">xlookup(A900,'données'!E$2:E$3608,'données'!K$2:K$3608)</f>
        <v>120.9</v>
      </c>
      <c r="E900" s="5" t="b">
        <f t="shared" si="1"/>
        <v>0</v>
      </c>
    </row>
    <row r="901">
      <c r="A901" s="50" t="s">
        <v>6389</v>
      </c>
      <c r="B901" s="61">
        <v>100.0</v>
      </c>
      <c r="C901" s="61">
        <v>100.0</v>
      </c>
      <c r="D901" s="9">
        <f t="array" ref="D901">xlookup(A901,'données'!E$2:E$3608,'données'!K$2:K$3608)</f>
        <v>125.6</v>
      </c>
      <c r="E901" s="5" t="b">
        <f t="shared" si="1"/>
        <v>0</v>
      </c>
    </row>
    <row r="902">
      <c r="A902" s="50" t="s">
        <v>6387</v>
      </c>
      <c r="B902" s="61">
        <v>100.0</v>
      </c>
      <c r="C902" s="61">
        <v>100.0</v>
      </c>
      <c r="D902" s="9">
        <f t="array" ref="D902">xlookup(A902,'données'!E$2:E$3608,'données'!K$2:K$3608)</f>
        <v>135.5</v>
      </c>
      <c r="E902" s="5" t="b">
        <f t="shared" si="1"/>
        <v>0</v>
      </c>
    </row>
    <row r="903">
      <c r="A903" s="50" t="s">
        <v>6385</v>
      </c>
      <c r="B903" s="61">
        <v>100.0</v>
      </c>
      <c r="C903" s="61">
        <v>100.0</v>
      </c>
      <c r="D903" s="9">
        <f t="array" ref="D903">xlookup(A903,'données'!E$2:E$3608,'données'!K$2:K$3608)</f>
        <v>145.3</v>
      </c>
      <c r="E903" s="5" t="b">
        <f t="shared" si="1"/>
        <v>0</v>
      </c>
    </row>
    <row r="904">
      <c r="A904" s="50" t="s">
        <v>7770</v>
      </c>
      <c r="B904" s="61">
        <v>100.0</v>
      </c>
      <c r="C904" s="61">
        <v>100.0</v>
      </c>
      <c r="D904" s="9">
        <f t="array" ref="D904">xlookup(A904,'données'!E$2:E$3608,'données'!K$2:K$3608)</f>
        <v>128.5</v>
      </c>
      <c r="E904" s="5" t="b">
        <f t="shared" si="1"/>
        <v>0</v>
      </c>
    </row>
    <row r="905">
      <c r="A905" s="50" t="s">
        <v>3208</v>
      </c>
      <c r="B905" s="61">
        <v>100.0</v>
      </c>
      <c r="C905" s="61">
        <v>100.0</v>
      </c>
      <c r="D905" s="9">
        <f t="array" ref="D905">xlookup(A905,'données'!E$2:E$3608,'données'!K$2:K$3608)</f>
        <v>128.7</v>
      </c>
      <c r="E905" s="5" t="b">
        <f t="shared" si="1"/>
        <v>0</v>
      </c>
    </row>
    <row r="906">
      <c r="A906" s="50" t="s">
        <v>4870</v>
      </c>
      <c r="B906" s="61">
        <v>100.0</v>
      </c>
      <c r="C906" s="50"/>
      <c r="D906" s="9">
        <f t="array" ref="D906">xlookup(A906,'données'!E$2:E$3608,'données'!K$2:K$3608)</f>
        <v>117</v>
      </c>
      <c r="E906" s="5" t="b">
        <f t="shared" si="1"/>
        <v>0</v>
      </c>
    </row>
    <row r="907">
      <c r="A907" s="50" t="s">
        <v>3206</v>
      </c>
      <c r="B907" s="61">
        <v>99.0</v>
      </c>
      <c r="C907" s="61">
        <v>99.0</v>
      </c>
      <c r="D907" s="9">
        <f t="array" ref="D907">xlookup(A907,'données'!E$2:E$3608,'données'!K$2:K$3608)</f>
        <v>130</v>
      </c>
      <c r="E907" s="5" t="b">
        <f t="shared" si="1"/>
        <v>0</v>
      </c>
    </row>
    <row r="908">
      <c r="A908" s="50" t="s">
        <v>7768</v>
      </c>
      <c r="B908" s="61">
        <v>100.0</v>
      </c>
      <c r="C908" s="61">
        <v>100.0</v>
      </c>
      <c r="D908" s="9">
        <f t="array" ref="D908">xlookup(A908,'données'!E$2:E$3608,'données'!K$2:K$3608)</f>
        <v>147.3</v>
      </c>
      <c r="E908" s="5" t="b">
        <f t="shared" si="1"/>
        <v>0</v>
      </c>
    </row>
    <row r="909">
      <c r="A909" s="50" t="s">
        <v>1343</v>
      </c>
      <c r="B909" s="61">
        <v>100.0</v>
      </c>
      <c r="C909" s="61">
        <v>100.0</v>
      </c>
      <c r="D909" s="9">
        <f t="array" ref="D909">xlookup(A909,'données'!E$2:E$3608,'données'!K$2:K$3608)</f>
        <v>138</v>
      </c>
      <c r="E909" s="5" t="b">
        <f t="shared" si="1"/>
        <v>0</v>
      </c>
    </row>
    <row r="910">
      <c r="A910" s="50" t="s">
        <v>6383</v>
      </c>
      <c r="B910" s="61">
        <v>99.0</v>
      </c>
      <c r="C910" s="61">
        <v>98.0</v>
      </c>
      <c r="D910" s="9">
        <f t="array" ref="D910">xlookup(A910,'données'!E$2:E$3608,'données'!K$2:K$3608)</f>
        <v>113.8</v>
      </c>
      <c r="E910" s="5" t="b">
        <f t="shared" si="1"/>
        <v>0</v>
      </c>
    </row>
    <row r="911">
      <c r="A911" s="50" t="s">
        <v>3203</v>
      </c>
      <c r="B911" s="61">
        <v>100.0</v>
      </c>
      <c r="C911" s="61">
        <v>100.0</v>
      </c>
      <c r="D911" s="9">
        <f t="array" ref="D911">xlookup(A911,'données'!E$2:E$3608,'données'!K$2:K$3608)</f>
        <v>145.2</v>
      </c>
      <c r="E911" s="5" t="b">
        <f t="shared" si="1"/>
        <v>0</v>
      </c>
    </row>
    <row r="912">
      <c r="A912" s="50" t="s">
        <v>6380</v>
      </c>
      <c r="B912" s="61">
        <v>99.0</v>
      </c>
      <c r="C912" s="61">
        <v>99.0</v>
      </c>
      <c r="D912" s="9">
        <f t="array" ref="D912">xlookup(A912,'données'!E$2:E$3608,'données'!K$2:K$3608)</f>
        <v>127.3</v>
      </c>
      <c r="E912" s="5" t="b">
        <f t="shared" si="1"/>
        <v>0</v>
      </c>
    </row>
    <row r="913">
      <c r="A913" s="50" t="s">
        <v>3201</v>
      </c>
      <c r="B913" s="61">
        <v>100.0</v>
      </c>
      <c r="C913" s="61">
        <v>100.0</v>
      </c>
      <c r="D913" s="9">
        <f t="array" ref="D913">xlookup(A913,'données'!E$2:E$3608,'données'!K$2:K$3608)</f>
        <v>117.5</v>
      </c>
      <c r="E913" s="5" t="b">
        <f t="shared" si="1"/>
        <v>0</v>
      </c>
    </row>
    <row r="914">
      <c r="A914" s="50" t="s">
        <v>4868</v>
      </c>
      <c r="B914" s="61">
        <v>99.0</v>
      </c>
      <c r="C914" s="61">
        <v>99.0</v>
      </c>
      <c r="D914" s="9">
        <f t="array" ref="D914">xlookup(A914,'données'!E$2:E$3608,'données'!K$2:K$3608)</f>
        <v>125.7</v>
      </c>
      <c r="E914" s="5" t="b">
        <f t="shared" si="1"/>
        <v>0</v>
      </c>
    </row>
    <row r="915">
      <c r="A915" s="50" t="s">
        <v>7766</v>
      </c>
      <c r="B915" s="61">
        <v>99.0</v>
      </c>
      <c r="C915" s="61">
        <v>99.0</v>
      </c>
      <c r="D915" s="9">
        <f t="array" ref="D915">xlookup(A915,'données'!E$2:E$3608,'données'!K$2:K$3608)</f>
        <v>127.6</v>
      </c>
      <c r="E915" s="5" t="b">
        <f t="shared" si="1"/>
        <v>0</v>
      </c>
    </row>
    <row r="916">
      <c r="A916" s="50" t="s">
        <v>7764</v>
      </c>
      <c r="B916" s="61">
        <v>100.0</v>
      </c>
      <c r="C916" s="61">
        <v>100.0</v>
      </c>
      <c r="D916" s="9">
        <f t="array" ref="D916">xlookup(A916,'données'!E$2:E$3608,'données'!K$2:K$3608)</f>
        <v>117.9</v>
      </c>
      <c r="E916" s="5" t="b">
        <f t="shared" si="1"/>
        <v>0</v>
      </c>
    </row>
    <row r="917">
      <c r="A917" s="50" t="s">
        <v>4866</v>
      </c>
      <c r="B917" s="61">
        <v>99.0</v>
      </c>
      <c r="C917" s="61">
        <v>99.0</v>
      </c>
      <c r="D917" s="9">
        <f t="array" ref="D917">xlookup(A917,'données'!E$2:E$3608,'données'!K$2:K$3608)</f>
        <v>148.9</v>
      </c>
      <c r="E917" s="5" t="b">
        <f t="shared" si="1"/>
        <v>0</v>
      </c>
    </row>
    <row r="918">
      <c r="A918" s="50" t="s">
        <v>4865</v>
      </c>
      <c r="B918" s="61">
        <v>100.0</v>
      </c>
      <c r="C918" s="61">
        <v>100.0</v>
      </c>
      <c r="D918" s="9">
        <f t="array" ref="D918">xlookup(A918,'données'!E$2:E$3608,'données'!K$2:K$3608)</f>
        <v>135.1</v>
      </c>
      <c r="E918" s="5" t="b">
        <f t="shared" si="1"/>
        <v>0</v>
      </c>
    </row>
    <row r="919">
      <c r="A919" s="50" t="s">
        <v>7762</v>
      </c>
      <c r="B919" s="61">
        <v>100.0</v>
      </c>
      <c r="C919" s="61">
        <v>100.0</v>
      </c>
      <c r="D919" s="9">
        <f t="array" ref="D919">xlookup(A919,'données'!E$2:E$3608,'données'!K$2:K$3608)</f>
        <v>135</v>
      </c>
      <c r="E919" s="5" t="b">
        <f t="shared" si="1"/>
        <v>0</v>
      </c>
    </row>
    <row r="920">
      <c r="A920" s="50" t="s">
        <v>1341</v>
      </c>
      <c r="B920" s="61">
        <v>100.0</v>
      </c>
      <c r="C920" s="61">
        <v>100.0</v>
      </c>
      <c r="D920" s="9">
        <f t="array" ref="D920">xlookup(A920,'données'!E$2:E$3608,'données'!K$2:K$3608)</f>
        <v>132.7</v>
      </c>
      <c r="E920" s="5" t="b">
        <f t="shared" si="1"/>
        <v>0</v>
      </c>
    </row>
    <row r="921">
      <c r="A921" s="50" t="s">
        <v>7761</v>
      </c>
      <c r="B921" s="61">
        <v>100.0</v>
      </c>
      <c r="C921" s="61">
        <v>100.0</v>
      </c>
      <c r="D921" s="9">
        <f t="array" ref="D921">xlookup(A921,'données'!E$2:E$3608,'données'!K$2:K$3608)</f>
        <v>134.1</v>
      </c>
      <c r="E921" s="5" t="b">
        <f t="shared" si="1"/>
        <v>0</v>
      </c>
    </row>
    <row r="922">
      <c r="A922" s="50" t="s">
        <v>4863</v>
      </c>
      <c r="B922" s="61">
        <v>92.0</v>
      </c>
      <c r="C922" s="61">
        <v>93.0</v>
      </c>
      <c r="D922" s="9">
        <f t="array" ref="D922">xlookup(A922,'données'!E$2:E$3608,'données'!K$2:K$3608)</f>
        <v>96.9</v>
      </c>
      <c r="E922" s="5" t="b">
        <f t="shared" si="1"/>
        <v>0</v>
      </c>
    </row>
    <row r="923">
      <c r="A923" s="50" t="s">
        <v>1338</v>
      </c>
      <c r="B923" s="61">
        <v>98.0</v>
      </c>
      <c r="C923" s="61">
        <v>99.0</v>
      </c>
      <c r="D923" s="9">
        <f t="array" ref="D923">xlookup(A923,'données'!E$2:E$3608,'données'!K$2:K$3608)</f>
        <v>116.5</v>
      </c>
      <c r="E923" s="5" t="b">
        <f t="shared" si="1"/>
        <v>0</v>
      </c>
    </row>
    <row r="924">
      <c r="A924" s="50" t="s">
        <v>6379</v>
      </c>
      <c r="B924" s="61">
        <v>94.0</v>
      </c>
      <c r="C924" s="61">
        <v>99.0</v>
      </c>
      <c r="D924" s="9">
        <f t="array" ref="D924">xlookup(A924,'données'!E$2:E$3608,'données'!K$2:K$3608)</f>
        <v>89.2</v>
      </c>
      <c r="E924" s="5" t="b">
        <f t="shared" si="1"/>
        <v>0</v>
      </c>
    </row>
    <row r="925">
      <c r="A925" s="50" t="s">
        <v>3197</v>
      </c>
      <c r="B925" s="61">
        <v>91.0</v>
      </c>
      <c r="C925" s="61">
        <v>94.0</v>
      </c>
      <c r="D925" s="9">
        <f t="array" ref="D925">xlookup(A925,'données'!E$2:E$3608,'données'!K$2:K$3608)</f>
        <v>90.6</v>
      </c>
      <c r="E925" s="5" t="b">
        <f t="shared" si="1"/>
        <v>0</v>
      </c>
    </row>
    <row r="926">
      <c r="A926" s="50" t="s">
        <v>3195</v>
      </c>
      <c r="B926" s="61">
        <v>89.0</v>
      </c>
      <c r="C926" s="61">
        <v>91.0</v>
      </c>
      <c r="D926" s="9">
        <f t="array" ref="D926">xlookup(A926,'données'!E$2:E$3608,'données'!K$2:K$3608)</f>
        <v>102.5</v>
      </c>
      <c r="E926" s="5" t="b">
        <f t="shared" si="1"/>
        <v>0</v>
      </c>
    </row>
    <row r="927">
      <c r="A927" s="50" t="s">
        <v>3190</v>
      </c>
      <c r="B927" s="61">
        <v>97.0</v>
      </c>
      <c r="C927" s="61">
        <v>99.0</v>
      </c>
      <c r="D927" s="9">
        <f t="array" ref="D927">xlookup(A927,'données'!E$2:E$3608,'données'!K$2:K$3608)</f>
        <v>116.8</v>
      </c>
      <c r="E927" s="5" t="b">
        <f t="shared" si="1"/>
        <v>0</v>
      </c>
    </row>
    <row r="928">
      <c r="A928" s="50" t="s">
        <v>7752</v>
      </c>
      <c r="B928" s="61">
        <v>87.0</v>
      </c>
      <c r="C928" s="61">
        <v>94.0</v>
      </c>
      <c r="D928" s="9">
        <f t="array" ref="D928">xlookup(A928,'données'!E$2:E$3608,'données'!K$2:K$3608)</f>
        <v>121.5</v>
      </c>
      <c r="E928" s="5" t="b">
        <f t="shared" si="1"/>
        <v>0</v>
      </c>
    </row>
    <row r="929">
      <c r="A929" s="50" t="s">
        <v>4861</v>
      </c>
      <c r="B929" s="61">
        <v>91.0</v>
      </c>
      <c r="C929" s="61">
        <v>96.0</v>
      </c>
      <c r="D929" s="9">
        <f t="array" ref="D929">xlookup(A929,'données'!E$2:E$3608,'données'!K$2:K$3608)</f>
        <v>107.9</v>
      </c>
      <c r="E929" s="5" t="b">
        <f t="shared" si="1"/>
        <v>0</v>
      </c>
    </row>
    <row r="930">
      <c r="A930" s="50" t="s">
        <v>3186</v>
      </c>
      <c r="B930" s="61">
        <v>94.0</v>
      </c>
      <c r="C930" s="61">
        <v>97.0</v>
      </c>
      <c r="D930" s="9">
        <f t="array" ref="D930">xlookup(A930,'données'!E$2:E$3608,'données'!K$2:K$3608)</f>
        <v>90.2</v>
      </c>
      <c r="E930" s="5" t="b">
        <f t="shared" si="1"/>
        <v>0</v>
      </c>
    </row>
    <row r="931">
      <c r="A931" s="50" t="s">
        <v>1329</v>
      </c>
      <c r="B931" s="61">
        <v>90.0</v>
      </c>
      <c r="C931" s="61">
        <v>91.0</v>
      </c>
      <c r="D931" s="9">
        <f t="array" ref="D931">xlookup(A931,'données'!E$2:E$3608,'données'!K$2:K$3608)</f>
        <v>104.4</v>
      </c>
      <c r="E931" s="5" t="b">
        <f t="shared" si="1"/>
        <v>0</v>
      </c>
    </row>
    <row r="932">
      <c r="A932" s="50" t="s">
        <v>7746</v>
      </c>
      <c r="B932" s="61">
        <v>97.0</v>
      </c>
      <c r="C932" s="61">
        <v>98.0</v>
      </c>
      <c r="D932" s="9">
        <f t="array" ref="D932">xlookup(A932,'données'!E$2:E$3608,'données'!K$2:K$3608)</f>
        <v>114.7</v>
      </c>
      <c r="E932" s="5" t="b">
        <f t="shared" si="1"/>
        <v>0</v>
      </c>
    </row>
    <row r="933">
      <c r="A933" s="50" t="s">
        <v>1326</v>
      </c>
      <c r="B933" s="61">
        <v>86.0</v>
      </c>
      <c r="C933" s="61">
        <v>91.0</v>
      </c>
      <c r="D933" s="9">
        <f t="array" ref="D933">xlookup(A933,'données'!E$2:E$3608,'données'!K$2:K$3608)</f>
        <v>92.2</v>
      </c>
      <c r="E933" s="5" t="b">
        <f t="shared" si="1"/>
        <v>0</v>
      </c>
    </row>
    <row r="934">
      <c r="A934" s="50" t="s">
        <v>3184</v>
      </c>
      <c r="B934" s="61">
        <v>92.0</v>
      </c>
      <c r="C934" s="61">
        <v>95.0</v>
      </c>
      <c r="D934" s="9">
        <f t="array" ref="D934">xlookup(A934,'données'!E$2:E$3608,'données'!K$2:K$3608)</f>
        <v>105.6</v>
      </c>
      <c r="E934" s="5" t="b">
        <f t="shared" si="1"/>
        <v>0</v>
      </c>
    </row>
    <row r="935">
      <c r="A935" s="50" t="s">
        <v>1323</v>
      </c>
      <c r="B935" s="61">
        <v>97.0</v>
      </c>
      <c r="C935" s="61">
        <v>97.0</v>
      </c>
      <c r="D935" s="9">
        <f t="array" ref="D935">xlookup(A935,'données'!E$2:E$3608,'données'!K$2:K$3608)</f>
        <v>133.5</v>
      </c>
      <c r="E935" s="5" t="b">
        <f t="shared" si="1"/>
        <v>0</v>
      </c>
    </row>
    <row r="936">
      <c r="A936" s="50" t="s">
        <v>4856</v>
      </c>
      <c r="B936" s="61">
        <v>94.0</v>
      </c>
      <c r="C936" s="61">
        <v>96.0</v>
      </c>
      <c r="D936" s="9">
        <f t="array" ref="D936">xlookup(A936,'données'!E$2:E$3608,'données'!K$2:K$3608)</f>
        <v>110.9</v>
      </c>
      <c r="E936" s="5" t="b">
        <f t="shared" si="1"/>
        <v>0</v>
      </c>
    </row>
    <row r="937">
      <c r="A937" s="50" t="s">
        <v>3182</v>
      </c>
      <c r="B937" s="61">
        <v>95.0</v>
      </c>
      <c r="C937" s="61">
        <v>96.0</v>
      </c>
      <c r="D937" s="9">
        <f t="array" ref="D937">xlookup(A937,'données'!E$2:E$3608,'données'!K$2:K$3608)</f>
        <v>131.8</v>
      </c>
      <c r="E937" s="5" t="b">
        <f t="shared" si="1"/>
        <v>0</v>
      </c>
    </row>
    <row r="938">
      <c r="A938" s="50" t="s">
        <v>3179</v>
      </c>
      <c r="B938" s="61">
        <v>99.0</v>
      </c>
      <c r="C938" s="61">
        <v>99.0</v>
      </c>
      <c r="D938" s="9">
        <f t="array" ref="D938">xlookup(A938,'données'!E$2:E$3608,'données'!K$2:K$3608)</f>
        <v>129.1</v>
      </c>
      <c r="E938" s="5" t="b">
        <f t="shared" si="1"/>
        <v>0</v>
      </c>
    </row>
    <row r="939">
      <c r="A939" s="50" t="s">
        <v>7744</v>
      </c>
      <c r="B939" s="61">
        <v>99.0</v>
      </c>
      <c r="C939" s="61">
        <v>99.0</v>
      </c>
      <c r="D939" s="9">
        <f t="array" ref="D939">xlookup(A939,'données'!E$2:E$3608,'données'!K$2:K$3608)</f>
        <v>136.8</v>
      </c>
      <c r="E939" s="5" t="b">
        <f t="shared" si="1"/>
        <v>0</v>
      </c>
    </row>
    <row r="940">
      <c r="A940" s="50" t="s">
        <v>7742</v>
      </c>
      <c r="B940" s="61">
        <v>97.0</v>
      </c>
      <c r="C940" s="61">
        <v>98.0</v>
      </c>
      <c r="D940" s="9">
        <f t="array" ref="D940">xlookup(A940,'données'!E$2:E$3608,'données'!K$2:K$3608)</f>
        <v>113.5</v>
      </c>
      <c r="E940" s="5" t="b">
        <f t="shared" si="1"/>
        <v>0</v>
      </c>
    </row>
    <row r="941">
      <c r="A941" s="50" t="s">
        <v>4853</v>
      </c>
      <c r="B941" s="61">
        <v>100.0</v>
      </c>
      <c r="C941" s="50"/>
      <c r="D941" s="9">
        <f t="array" ref="D941">xlookup(A941,'données'!E$2:E$3608,'données'!K$2:K$3608)</f>
        <v>99.9</v>
      </c>
      <c r="E941" s="5" t="b">
        <f t="shared" si="1"/>
        <v>0</v>
      </c>
    </row>
    <row r="942">
      <c r="A942" s="50" t="s">
        <v>1313</v>
      </c>
      <c r="B942" s="61">
        <v>91.0</v>
      </c>
      <c r="C942" s="61">
        <v>95.0</v>
      </c>
      <c r="D942" s="9">
        <f t="array" ref="D942">xlookup(A942,'données'!E$2:E$3608,'données'!K$2:K$3608)</f>
        <v>103.3</v>
      </c>
      <c r="E942" s="5" t="b">
        <f t="shared" si="1"/>
        <v>0</v>
      </c>
    </row>
    <row r="943">
      <c r="A943" s="50" t="s">
        <v>7735</v>
      </c>
      <c r="B943" s="61">
        <v>94.0</v>
      </c>
      <c r="C943" s="50"/>
      <c r="D943" s="9">
        <f t="array" ref="D943">xlookup(A943,'données'!E$2:E$3608,'données'!K$2:K$3608)</f>
        <v>105.2</v>
      </c>
      <c r="E943" s="5" t="b">
        <f t="shared" si="1"/>
        <v>0</v>
      </c>
    </row>
    <row r="944">
      <c r="A944" s="50" t="s">
        <v>4850</v>
      </c>
      <c r="B944" s="61">
        <v>95.0</v>
      </c>
      <c r="C944" s="50"/>
      <c r="D944" s="9">
        <f t="array" ref="D944">xlookup(A944,'données'!E$2:E$3608,'données'!K$2:K$3608)</f>
        <v>114.8</v>
      </c>
      <c r="E944" s="5" t="b">
        <f t="shared" si="1"/>
        <v>0</v>
      </c>
    </row>
    <row r="945">
      <c r="A945" s="50" t="s">
        <v>6370</v>
      </c>
      <c r="B945" s="61">
        <v>91.0</v>
      </c>
      <c r="C945" s="50"/>
      <c r="D945" s="9">
        <f t="array" ref="D945">xlookup(A945,'données'!E$2:E$3608,'données'!K$2:K$3608)</f>
        <v>105.3</v>
      </c>
      <c r="E945" s="5" t="b">
        <f t="shared" si="1"/>
        <v>0</v>
      </c>
    </row>
    <row r="946">
      <c r="A946" s="50" t="s">
        <v>1308</v>
      </c>
      <c r="B946" s="61">
        <v>90.0</v>
      </c>
      <c r="C946" s="61">
        <v>94.0</v>
      </c>
      <c r="D946" s="9">
        <f t="array" ref="D946">xlookup(A946,'données'!E$2:E$3608,'données'!K$2:K$3608)</f>
        <v>90.5</v>
      </c>
      <c r="E946" s="5" t="b">
        <f t="shared" si="1"/>
        <v>0</v>
      </c>
    </row>
    <row r="947">
      <c r="A947" s="50" t="s">
        <v>1306</v>
      </c>
      <c r="B947" s="61">
        <v>94.0</v>
      </c>
      <c r="C947" s="61">
        <v>94.0</v>
      </c>
      <c r="D947" s="9">
        <f t="array" ref="D947">xlookup(A947,'données'!E$2:E$3608,'données'!K$2:K$3608)</f>
        <v>103.4</v>
      </c>
      <c r="E947" s="5" t="b">
        <f t="shared" si="1"/>
        <v>0</v>
      </c>
    </row>
    <row r="948">
      <c r="A948" s="50" t="s">
        <v>1304</v>
      </c>
      <c r="B948" s="61">
        <v>100.0</v>
      </c>
      <c r="C948" s="61">
        <v>100.0</v>
      </c>
      <c r="D948" s="9">
        <f t="array" ref="D948">xlookup(A948,'données'!E$2:E$3608,'données'!K$2:K$3608)</f>
        <v>127</v>
      </c>
      <c r="E948" s="5" t="b">
        <f t="shared" si="1"/>
        <v>0</v>
      </c>
    </row>
    <row r="949">
      <c r="A949" s="50" t="s">
        <v>1302</v>
      </c>
      <c r="B949" s="61">
        <v>100.0</v>
      </c>
      <c r="C949" s="61">
        <v>100.0</v>
      </c>
      <c r="D949" s="9">
        <f t="array" ref="D949">xlookup(A949,'données'!E$2:E$3608,'données'!K$2:K$3608)</f>
        <v>118.8</v>
      </c>
      <c r="E949" s="5" t="b">
        <f t="shared" si="1"/>
        <v>0</v>
      </c>
    </row>
    <row r="950">
      <c r="A950" s="50" t="s">
        <v>7729</v>
      </c>
      <c r="B950" s="61">
        <v>100.0</v>
      </c>
      <c r="C950" s="61">
        <v>100.0</v>
      </c>
      <c r="D950" s="9">
        <f t="array" ref="D950">xlookup(A950,'données'!E$2:E$3608,'données'!K$2:K$3608)</f>
        <v>137.6</v>
      </c>
      <c r="E950" s="5" t="b">
        <f t="shared" si="1"/>
        <v>0</v>
      </c>
    </row>
    <row r="951">
      <c r="A951" s="50" t="s">
        <v>7727</v>
      </c>
      <c r="B951" s="61">
        <v>100.0</v>
      </c>
      <c r="C951" s="61">
        <v>100.0</v>
      </c>
      <c r="D951" s="9">
        <f t="array" ref="D951">xlookup(A951,'données'!E$2:E$3608,'données'!K$2:K$3608)</f>
        <v>134.8</v>
      </c>
      <c r="E951" s="5" t="b">
        <f t="shared" si="1"/>
        <v>0</v>
      </c>
    </row>
    <row r="952">
      <c r="A952" s="50" t="s">
        <v>1299</v>
      </c>
      <c r="B952" s="61">
        <v>98.0</v>
      </c>
      <c r="C952" s="61">
        <v>98.0</v>
      </c>
      <c r="D952" s="9">
        <f t="array" ref="D952">xlookup(A952,'données'!E$2:E$3608,'données'!K$2:K$3608)</f>
        <v>116.1</v>
      </c>
      <c r="E952" s="5" t="b">
        <f t="shared" si="1"/>
        <v>0</v>
      </c>
    </row>
    <row r="953">
      <c r="A953" s="50" t="s">
        <v>1296</v>
      </c>
      <c r="B953" s="61">
        <v>100.0</v>
      </c>
      <c r="C953" s="61">
        <v>100.0</v>
      </c>
      <c r="D953" s="9">
        <f t="array" ref="D953">xlookup(A953,'données'!E$2:E$3608,'données'!K$2:K$3608)</f>
        <v>109.9</v>
      </c>
      <c r="E953" s="5" t="b">
        <f t="shared" si="1"/>
        <v>0</v>
      </c>
    </row>
    <row r="954">
      <c r="A954" s="50" t="s">
        <v>3169</v>
      </c>
      <c r="B954" s="61">
        <v>98.0</v>
      </c>
      <c r="C954" s="61">
        <v>100.0</v>
      </c>
      <c r="D954" s="9">
        <f t="array" ref="D954">xlookup(A954,'données'!E$2:E$3608,'données'!K$2:K$3608)</f>
        <v>111.2</v>
      </c>
      <c r="E954" s="5" t="b">
        <f t="shared" si="1"/>
        <v>0</v>
      </c>
    </row>
    <row r="955">
      <c r="A955" s="50" t="s">
        <v>1293</v>
      </c>
      <c r="B955" s="61">
        <v>98.0</v>
      </c>
      <c r="C955" s="61">
        <v>99.0</v>
      </c>
      <c r="D955" s="9">
        <f t="array" ref="D955">xlookup(A955,'données'!E$2:E$3608,'données'!K$2:K$3608)</f>
        <v>121.5</v>
      </c>
      <c r="E955" s="5" t="b">
        <f t="shared" si="1"/>
        <v>0</v>
      </c>
    </row>
    <row r="956">
      <c r="A956" s="50" t="s">
        <v>4844</v>
      </c>
      <c r="B956" s="61">
        <v>99.0</v>
      </c>
      <c r="C956" s="61">
        <v>99.0</v>
      </c>
      <c r="D956" s="9">
        <f t="array" ref="D956">xlookup(A956,'données'!E$2:E$3608,'données'!K$2:K$3608)</f>
        <v>118.2</v>
      </c>
      <c r="E956" s="5" t="b">
        <f t="shared" si="1"/>
        <v>0</v>
      </c>
    </row>
    <row r="957">
      <c r="A957" s="50" t="s">
        <v>6362</v>
      </c>
      <c r="B957" s="61">
        <v>95.0</v>
      </c>
      <c r="C957" s="61">
        <v>93.0</v>
      </c>
      <c r="D957" s="9">
        <f t="array" ref="D957">xlookup(A957,'données'!E$2:E$3608,'données'!K$2:K$3608)</f>
        <v>98.8</v>
      </c>
      <c r="E957" s="5" t="b">
        <f t="shared" si="1"/>
        <v>0</v>
      </c>
    </row>
    <row r="958">
      <c r="A958" s="50" t="s">
        <v>6360</v>
      </c>
      <c r="B958" s="61">
        <v>92.0</v>
      </c>
      <c r="C958" s="61">
        <v>95.0</v>
      </c>
      <c r="D958" s="9">
        <f t="array" ref="D958">xlookup(A958,'données'!E$2:E$3608,'données'!K$2:K$3608)</f>
        <v>103</v>
      </c>
      <c r="E958" s="5" t="b">
        <f t="shared" si="1"/>
        <v>0</v>
      </c>
    </row>
    <row r="959">
      <c r="A959" s="50" t="s">
        <v>3165</v>
      </c>
      <c r="B959" s="61">
        <v>93.0</v>
      </c>
      <c r="C959" s="61">
        <v>95.0</v>
      </c>
      <c r="D959" s="9">
        <f t="array" ref="D959">xlookup(A959,'données'!E$2:E$3608,'données'!K$2:K$3608)</f>
        <v>103.4</v>
      </c>
      <c r="E959" s="5" t="b">
        <f t="shared" si="1"/>
        <v>0</v>
      </c>
    </row>
    <row r="960">
      <c r="A960" s="50" t="s">
        <v>6358</v>
      </c>
      <c r="B960" s="61">
        <v>96.0</v>
      </c>
      <c r="C960" s="61">
        <v>99.0</v>
      </c>
      <c r="D960" s="9">
        <f t="array" ref="D960">xlookup(A960,'données'!E$2:E$3608,'données'!K$2:K$3608)</f>
        <v>120.5</v>
      </c>
      <c r="E960" s="5" t="b">
        <f t="shared" si="1"/>
        <v>0</v>
      </c>
    </row>
    <row r="961">
      <c r="A961" s="50" t="s">
        <v>6356</v>
      </c>
      <c r="B961" s="61">
        <v>99.0</v>
      </c>
      <c r="C961" s="61">
        <v>99.0</v>
      </c>
      <c r="D961" s="9">
        <f t="array" ref="D961">xlookup(A961,'données'!E$2:E$3608,'données'!K$2:K$3608)</f>
        <v>117.3</v>
      </c>
      <c r="E961" s="5" t="b">
        <f t="shared" si="1"/>
        <v>0</v>
      </c>
    </row>
    <row r="962">
      <c r="A962" s="50" t="s">
        <v>3164</v>
      </c>
      <c r="B962" s="61">
        <v>97.0</v>
      </c>
      <c r="C962" s="61">
        <v>99.0</v>
      </c>
      <c r="D962" s="9">
        <f t="array" ref="D962">xlookup(A962,'données'!E$2:E$3608,'données'!K$2:K$3608)</f>
        <v>108.1</v>
      </c>
      <c r="E962" s="5" t="b">
        <f t="shared" si="1"/>
        <v>0</v>
      </c>
    </row>
    <row r="963">
      <c r="A963" s="50" t="s">
        <v>1288</v>
      </c>
      <c r="B963" s="61">
        <v>97.0</v>
      </c>
      <c r="C963" s="61">
        <v>97.0</v>
      </c>
      <c r="D963" s="9">
        <f t="array" ref="D963">xlookup(A963,'données'!E$2:E$3608,'données'!K$2:K$3608)</f>
        <v>110.7</v>
      </c>
      <c r="E963" s="5" t="b">
        <f t="shared" si="1"/>
        <v>0</v>
      </c>
    </row>
    <row r="964">
      <c r="A964" s="50" t="s">
        <v>1285</v>
      </c>
      <c r="B964" s="61">
        <v>99.0</v>
      </c>
      <c r="C964" s="61">
        <v>99.0</v>
      </c>
      <c r="D964" s="9">
        <f t="array" ref="D964">xlookup(A964,'données'!E$2:E$3608,'données'!K$2:K$3608)</f>
        <v>127.4</v>
      </c>
      <c r="E964" s="5" t="b">
        <f t="shared" si="1"/>
        <v>0</v>
      </c>
    </row>
    <row r="965">
      <c r="A965" s="50" t="s">
        <v>1282</v>
      </c>
      <c r="B965" s="61">
        <v>100.0</v>
      </c>
      <c r="C965" s="61">
        <v>100.0</v>
      </c>
      <c r="D965" s="9">
        <f t="array" ref="D965">xlookup(A965,'données'!E$2:E$3608,'données'!K$2:K$3608)</f>
        <v>115.1</v>
      </c>
      <c r="E965" s="5" t="b">
        <f t="shared" si="1"/>
        <v>0</v>
      </c>
    </row>
    <row r="966">
      <c r="A966" s="50" t="s">
        <v>4837</v>
      </c>
      <c r="B966" s="61">
        <v>100.0</v>
      </c>
      <c r="C966" s="61">
        <v>100.0</v>
      </c>
      <c r="D966" s="9">
        <f t="array" ref="D966">xlookup(A966,'données'!E$2:E$3608,'données'!K$2:K$3608)</f>
        <v>110.9</v>
      </c>
      <c r="E966" s="5" t="b">
        <f t="shared" si="1"/>
        <v>0</v>
      </c>
    </row>
    <row r="967">
      <c r="A967" s="50" t="s">
        <v>7725</v>
      </c>
      <c r="B967" s="61">
        <v>94.0</v>
      </c>
      <c r="C967" s="61">
        <v>94.0</v>
      </c>
      <c r="D967" s="9">
        <f t="array" ref="D967">xlookup(A967,'données'!E$2:E$3608,'données'!K$2:K$3608)</f>
        <v>103.5</v>
      </c>
      <c r="E967" s="5" t="b">
        <f t="shared" si="1"/>
        <v>0</v>
      </c>
    </row>
    <row r="968">
      <c r="A968" s="50" t="s">
        <v>1278</v>
      </c>
      <c r="B968" s="61">
        <v>98.0</v>
      </c>
      <c r="C968" s="61">
        <v>99.0</v>
      </c>
      <c r="D968" s="9">
        <f t="array" ref="D968">xlookup(A968,'données'!E$2:E$3608,'données'!K$2:K$3608)</f>
        <v>125.3</v>
      </c>
      <c r="E968" s="5" t="b">
        <f t="shared" si="1"/>
        <v>0</v>
      </c>
    </row>
    <row r="969">
      <c r="A969" s="50" t="s">
        <v>3161</v>
      </c>
      <c r="B969" s="61">
        <v>97.0</v>
      </c>
      <c r="C969" s="61">
        <v>97.0</v>
      </c>
      <c r="D969" s="9">
        <f t="array" ref="D969">xlookup(A969,'données'!E$2:E$3608,'données'!K$2:K$3608)</f>
        <v>118</v>
      </c>
      <c r="E969" s="5" t="b">
        <f t="shared" si="1"/>
        <v>0</v>
      </c>
    </row>
    <row r="970">
      <c r="A970" s="50" t="s">
        <v>6351</v>
      </c>
      <c r="B970" s="61">
        <v>100.0</v>
      </c>
      <c r="C970" s="61">
        <v>100.0</v>
      </c>
      <c r="D970" s="9">
        <f t="array" ref="D970">xlookup(A970,'données'!E$2:E$3608,'données'!K$2:K$3608)</f>
        <v>107.2</v>
      </c>
      <c r="E970" s="5" t="b">
        <f t="shared" si="1"/>
        <v>0</v>
      </c>
    </row>
    <row r="971">
      <c r="A971" s="50" t="s">
        <v>7723</v>
      </c>
      <c r="B971" s="61">
        <v>95.0</v>
      </c>
      <c r="C971" s="61">
        <v>97.0</v>
      </c>
      <c r="D971" s="9">
        <f t="array" ref="D971">xlookup(A971,'données'!E$2:E$3608,'données'!K$2:K$3608)</f>
        <v>101.7</v>
      </c>
      <c r="E971" s="5" t="b">
        <f t="shared" si="1"/>
        <v>0</v>
      </c>
    </row>
    <row r="972">
      <c r="A972" s="50" t="s">
        <v>3155</v>
      </c>
      <c r="B972" s="61">
        <v>98.0</v>
      </c>
      <c r="C972" s="61">
        <v>98.0</v>
      </c>
      <c r="D972" s="9">
        <f t="array" ref="D972">xlookup(A972,'données'!E$2:E$3608,'données'!K$2:K$3608)</f>
        <v>120.7</v>
      </c>
      <c r="E972" s="5" t="b">
        <f t="shared" si="1"/>
        <v>0</v>
      </c>
    </row>
    <row r="973">
      <c r="A973" s="50" t="s">
        <v>1273</v>
      </c>
      <c r="B973" s="61">
        <v>99.0</v>
      </c>
      <c r="C973" s="61">
        <v>100.0</v>
      </c>
      <c r="D973" s="9">
        <f t="array" ref="D973">xlookup(A973,'données'!E$2:E$3608,'données'!K$2:K$3608)</f>
        <v>123.9</v>
      </c>
      <c r="E973" s="5" t="b">
        <f t="shared" si="1"/>
        <v>0</v>
      </c>
    </row>
    <row r="974">
      <c r="A974" s="50" t="s">
        <v>4834</v>
      </c>
      <c r="B974" s="61">
        <v>94.0</v>
      </c>
      <c r="C974" s="61">
        <v>98.0</v>
      </c>
      <c r="D974" s="9">
        <f t="array" ref="D974">xlookup(A974,'données'!E$2:E$3608,'données'!K$2:K$3608)</f>
        <v>112</v>
      </c>
      <c r="E974" s="5" t="b">
        <f t="shared" si="1"/>
        <v>0</v>
      </c>
    </row>
    <row r="975">
      <c r="A975" s="50" t="s">
        <v>6349</v>
      </c>
      <c r="B975" s="61">
        <v>99.0</v>
      </c>
      <c r="C975" s="61">
        <v>96.0</v>
      </c>
      <c r="D975" s="9">
        <f t="array" ref="D975">xlookup(A975,'données'!E$2:E$3608,'données'!K$2:K$3608)</f>
        <v>120</v>
      </c>
      <c r="E975" s="5" t="b">
        <f t="shared" si="1"/>
        <v>0</v>
      </c>
    </row>
    <row r="976">
      <c r="A976" s="50" t="s">
        <v>3151</v>
      </c>
      <c r="B976" s="61">
        <v>94.0</v>
      </c>
      <c r="C976" s="50"/>
      <c r="D976" s="9">
        <f t="array" ref="D976">xlookup(A976,'données'!E$2:E$3608,'données'!K$2:K$3608)</f>
        <v>116.8</v>
      </c>
      <c r="E976" s="5" t="b">
        <f t="shared" si="1"/>
        <v>0</v>
      </c>
    </row>
    <row r="977">
      <c r="A977" s="50" t="s">
        <v>6346</v>
      </c>
      <c r="B977" s="61">
        <v>100.0</v>
      </c>
      <c r="C977" s="61">
        <v>100.0</v>
      </c>
      <c r="D977" s="9">
        <f t="array" ref="D977">xlookup(A977,'données'!E$2:E$3608,'données'!K$2:K$3608)</f>
        <v>123.9</v>
      </c>
      <c r="E977" s="5" t="b">
        <f t="shared" si="1"/>
        <v>0</v>
      </c>
    </row>
    <row r="978">
      <c r="A978" s="50" t="s">
        <v>4832</v>
      </c>
      <c r="B978" s="61">
        <v>100.0</v>
      </c>
      <c r="C978" s="61">
        <v>100.0</v>
      </c>
      <c r="D978" s="9">
        <f t="array" ref="D978">xlookup(A978,'données'!E$2:E$3608,'données'!K$2:K$3608)</f>
        <v>138.7</v>
      </c>
      <c r="E978" s="5" t="b">
        <f t="shared" si="1"/>
        <v>0</v>
      </c>
    </row>
    <row r="979">
      <c r="A979" s="50" t="s">
        <v>3149</v>
      </c>
      <c r="B979" s="61">
        <v>99.0</v>
      </c>
      <c r="C979" s="61">
        <v>99.0</v>
      </c>
      <c r="D979" s="9">
        <f t="array" ref="D979">xlookup(A979,'données'!E$2:E$3608,'données'!K$2:K$3608)</f>
        <v>124.3</v>
      </c>
      <c r="E979" s="5" t="b">
        <f t="shared" si="1"/>
        <v>0</v>
      </c>
    </row>
    <row r="980">
      <c r="A980" s="50" t="s">
        <v>1271</v>
      </c>
      <c r="B980" s="61">
        <v>100.0</v>
      </c>
      <c r="C980" s="61">
        <v>100.0</v>
      </c>
      <c r="D980" s="9">
        <f t="array" ref="D980">xlookup(A980,'données'!E$2:E$3608,'données'!K$2:K$3608)</f>
        <v>130.3</v>
      </c>
      <c r="E980" s="5" t="b">
        <f t="shared" si="1"/>
        <v>0</v>
      </c>
    </row>
    <row r="981">
      <c r="A981" s="50" t="s">
        <v>7719</v>
      </c>
      <c r="B981" s="61">
        <v>100.0</v>
      </c>
      <c r="C981" s="61">
        <v>100.0</v>
      </c>
      <c r="D981" s="9">
        <f t="array" ref="D981">xlookup(A981,'données'!E$2:E$3608,'données'!K$2:K$3608)</f>
        <v>133.8</v>
      </c>
      <c r="E981" s="5" t="b">
        <f t="shared" si="1"/>
        <v>0</v>
      </c>
    </row>
    <row r="982">
      <c r="A982" s="50" t="s">
        <v>6344</v>
      </c>
      <c r="B982" s="61">
        <v>100.0</v>
      </c>
      <c r="C982" s="61">
        <v>100.0</v>
      </c>
      <c r="D982" s="9">
        <f t="array" ref="D982">xlookup(A982,'données'!E$2:E$3608,'données'!K$2:K$3608)</f>
        <v>121.5</v>
      </c>
      <c r="E982" s="5" t="b">
        <f t="shared" si="1"/>
        <v>0</v>
      </c>
    </row>
    <row r="983">
      <c r="A983" s="50" t="s">
        <v>4830</v>
      </c>
      <c r="B983" s="61">
        <v>100.0</v>
      </c>
      <c r="C983" s="61">
        <v>100.0</v>
      </c>
      <c r="D983" s="9">
        <f t="array" ref="D983">xlookup(A983,'données'!E$2:E$3608,'données'!K$2:K$3608)</f>
        <v>142</v>
      </c>
      <c r="E983" s="5" t="b">
        <f t="shared" si="1"/>
        <v>0</v>
      </c>
    </row>
    <row r="984">
      <c r="A984" s="50" t="s">
        <v>3146</v>
      </c>
      <c r="B984" s="61">
        <v>98.0</v>
      </c>
      <c r="C984" s="61">
        <v>98.0</v>
      </c>
      <c r="D984" s="9">
        <f t="array" ref="D984">xlookup(A984,'données'!E$2:E$3608,'données'!K$2:K$3608)</f>
        <v>117.9</v>
      </c>
      <c r="E984" s="5" t="b">
        <f t="shared" si="1"/>
        <v>0</v>
      </c>
    </row>
    <row r="985">
      <c r="A985" s="50" t="s">
        <v>4827</v>
      </c>
      <c r="B985" s="61">
        <v>99.0</v>
      </c>
      <c r="C985" s="61">
        <v>98.0</v>
      </c>
      <c r="D985" s="9">
        <f t="array" ref="D985">xlookup(A985,'données'!E$2:E$3608,'données'!K$2:K$3608)</f>
        <v>114.5</v>
      </c>
      <c r="E985" s="5" t="b">
        <f t="shared" si="1"/>
        <v>0</v>
      </c>
    </row>
    <row r="986">
      <c r="A986" s="50" t="s">
        <v>4825</v>
      </c>
      <c r="B986" s="61">
        <v>97.0</v>
      </c>
      <c r="C986" s="50"/>
      <c r="D986" s="9">
        <f t="array" ref="D986">xlookup(A986,'données'!E$2:E$3608,'données'!K$2:K$3608)</f>
        <v>114.5</v>
      </c>
      <c r="E986" s="5" t="b">
        <f t="shared" si="1"/>
        <v>0</v>
      </c>
    </row>
    <row r="987">
      <c r="A987" s="50" t="s">
        <v>7717</v>
      </c>
      <c r="B987" s="61">
        <v>88.0</v>
      </c>
      <c r="C987" s="50"/>
      <c r="D987" s="9">
        <f t="array" ref="D987">xlookup(A987,'données'!E$2:E$3608,'données'!K$2:K$3608)</f>
        <v>86.2</v>
      </c>
      <c r="E987" s="5" t="b">
        <f t="shared" si="1"/>
        <v>0</v>
      </c>
    </row>
    <row r="988">
      <c r="A988" s="50" t="s">
        <v>6340</v>
      </c>
      <c r="B988" s="61">
        <v>95.0</v>
      </c>
      <c r="C988" s="61">
        <v>98.0</v>
      </c>
      <c r="D988" s="9">
        <f t="array" ref="D988">xlookup(A988,'données'!E$2:E$3608,'données'!K$2:K$3608)</f>
        <v>108</v>
      </c>
      <c r="E988" s="5" t="b">
        <f t="shared" si="1"/>
        <v>0</v>
      </c>
    </row>
    <row r="989">
      <c r="A989" s="50" t="s">
        <v>6339</v>
      </c>
      <c r="B989" s="61">
        <v>95.0</v>
      </c>
      <c r="C989" s="61">
        <v>98.0</v>
      </c>
      <c r="D989" s="9">
        <f t="array" ref="D989">xlookup(A989,'données'!E$2:E$3608,'données'!K$2:K$3608)</f>
        <v>103.3</v>
      </c>
      <c r="E989" s="5" t="b">
        <f t="shared" si="1"/>
        <v>0</v>
      </c>
    </row>
    <row r="990">
      <c r="A990" s="50" t="s">
        <v>1267</v>
      </c>
      <c r="B990" s="61">
        <v>94.0</v>
      </c>
      <c r="C990" s="61">
        <v>94.0</v>
      </c>
      <c r="D990" s="9">
        <f t="array" ref="D990">xlookup(A990,'données'!E$2:E$3608,'données'!K$2:K$3608)</f>
        <v>104.8</v>
      </c>
      <c r="E990" s="5" t="b">
        <f t="shared" si="1"/>
        <v>0</v>
      </c>
    </row>
    <row r="991">
      <c r="A991" s="50" t="s">
        <v>6338</v>
      </c>
      <c r="B991" s="61">
        <v>95.0</v>
      </c>
      <c r="C991" s="61">
        <v>95.0</v>
      </c>
      <c r="D991" s="9">
        <f t="array" ref="D991">xlookup(A991,'données'!E$2:E$3608,'données'!K$2:K$3608)</f>
        <v>100.8</v>
      </c>
      <c r="E991" s="5" t="b">
        <f t="shared" si="1"/>
        <v>0</v>
      </c>
    </row>
    <row r="992">
      <c r="A992" s="50" t="s">
        <v>6336</v>
      </c>
      <c r="B992" s="61">
        <v>97.0</v>
      </c>
      <c r="C992" s="61">
        <v>97.0</v>
      </c>
      <c r="D992" s="9">
        <f t="array" ref="D992">xlookup(A992,'données'!E$2:E$3608,'données'!K$2:K$3608)</f>
        <v>127</v>
      </c>
      <c r="E992" s="5" t="b">
        <f t="shared" si="1"/>
        <v>0</v>
      </c>
    </row>
    <row r="993">
      <c r="A993" s="50" t="s">
        <v>6334</v>
      </c>
      <c r="B993" s="61">
        <v>99.0</v>
      </c>
      <c r="C993" s="61">
        <v>99.0</v>
      </c>
      <c r="D993" s="9">
        <f t="array" ref="D993">xlookup(A993,'données'!E$2:E$3608,'données'!K$2:K$3608)</f>
        <v>120.8</v>
      </c>
      <c r="E993" s="5" t="b">
        <f t="shared" si="1"/>
        <v>0</v>
      </c>
    </row>
    <row r="994">
      <c r="A994" s="50" t="s">
        <v>6332</v>
      </c>
      <c r="B994" s="61">
        <v>97.0</v>
      </c>
      <c r="C994" s="61">
        <v>97.0</v>
      </c>
      <c r="D994" s="9">
        <f t="array" ref="D994">xlookup(A994,'données'!E$2:E$3608,'données'!K$2:K$3608)</f>
        <v>132.7</v>
      </c>
      <c r="E994" s="5" t="b">
        <f t="shared" si="1"/>
        <v>0</v>
      </c>
    </row>
    <row r="995">
      <c r="A995" s="50" t="s">
        <v>6331</v>
      </c>
      <c r="B995" s="61">
        <v>93.0</v>
      </c>
      <c r="C995" s="61">
        <v>96.0</v>
      </c>
      <c r="D995" s="9">
        <f t="array" ref="D995">xlookup(A995,'données'!E$2:E$3608,'données'!K$2:K$3608)</f>
        <v>100.3</v>
      </c>
      <c r="E995" s="5" t="b">
        <f t="shared" si="1"/>
        <v>0</v>
      </c>
    </row>
    <row r="996">
      <c r="A996" s="50" t="s">
        <v>6329</v>
      </c>
      <c r="B996" s="61">
        <v>98.0</v>
      </c>
      <c r="C996" s="61">
        <v>99.0</v>
      </c>
      <c r="D996" s="9">
        <f t="array" ref="D996">xlookup(A996,'données'!E$2:E$3608,'données'!K$2:K$3608)</f>
        <v>122.3</v>
      </c>
      <c r="E996" s="5" t="b">
        <f t="shared" si="1"/>
        <v>0</v>
      </c>
    </row>
    <row r="997">
      <c r="A997" s="50" t="s">
        <v>4823</v>
      </c>
      <c r="B997" s="61">
        <v>98.0</v>
      </c>
      <c r="C997" s="61">
        <v>98.0</v>
      </c>
      <c r="D997" s="9">
        <f t="array" ref="D997">xlookup(A997,'données'!E$2:E$3608,'données'!K$2:K$3608)</f>
        <v>111.9</v>
      </c>
      <c r="E997" s="5" t="b">
        <f t="shared" si="1"/>
        <v>0</v>
      </c>
    </row>
    <row r="998">
      <c r="A998" s="50" t="s">
        <v>1264</v>
      </c>
      <c r="B998" s="61">
        <v>100.0</v>
      </c>
      <c r="C998" s="61">
        <v>100.0</v>
      </c>
      <c r="D998" s="9">
        <f t="array" ref="D998">xlookup(A998,'données'!E$2:E$3608,'données'!K$2:K$3608)</f>
        <v>132.7</v>
      </c>
      <c r="E998" s="5" t="b">
        <f t="shared" si="1"/>
        <v>0</v>
      </c>
    </row>
    <row r="999">
      <c r="A999" s="50" t="s">
        <v>6321</v>
      </c>
      <c r="B999" s="61">
        <v>97.0</v>
      </c>
      <c r="C999" s="61">
        <v>98.0</v>
      </c>
      <c r="D999" s="9">
        <f t="array" ref="D999">xlookup(A999,'données'!E$2:E$3608,'données'!K$2:K$3608)</f>
        <v>121.3</v>
      </c>
      <c r="E999" s="5" t="b">
        <f t="shared" si="1"/>
        <v>0</v>
      </c>
    </row>
    <row r="1000">
      <c r="A1000" s="50" t="s">
        <v>7716</v>
      </c>
      <c r="B1000" s="61">
        <v>99.0</v>
      </c>
      <c r="C1000" s="61">
        <v>99.0</v>
      </c>
      <c r="D1000" s="9">
        <f t="array" ref="D1000">xlookup(A1000,'données'!E$2:E$3608,'données'!K$2:K$3608)</f>
        <v>115.2</v>
      </c>
      <c r="E1000" s="5" t="b">
        <f t="shared" si="1"/>
        <v>0</v>
      </c>
    </row>
    <row r="1001">
      <c r="A1001" s="50" t="s">
        <v>7713</v>
      </c>
      <c r="B1001" s="61">
        <v>98.0</v>
      </c>
      <c r="C1001" s="61">
        <v>98.0</v>
      </c>
      <c r="D1001" s="9">
        <f t="array" ref="D1001">xlookup(A1001,'données'!E$2:E$3608,'données'!K$2:K$3608)</f>
        <v>117.3</v>
      </c>
      <c r="E1001" s="5" t="b">
        <f t="shared" si="1"/>
        <v>0</v>
      </c>
    </row>
    <row r="1002">
      <c r="A1002" s="50" t="s">
        <v>7709</v>
      </c>
      <c r="B1002" s="61">
        <v>95.0</v>
      </c>
      <c r="C1002" s="61">
        <v>97.0</v>
      </c>
      <c r="D1002" s="9">
        <f t="array" ref="D1002">xlookup(A1002,'données'!E$2:E$3608,'données'!K$2:K$3608)</f>
        <v>103.8</v>
      </c>
      <c r="E1002" s="5" t="b">
        <f t="shared" si="1"/>
        <v>0</v>
      </c>
    </row>
    <row r="1003">
      <c r="A1003" s="50" t="s">
        <v>1261</v>
      </c>
      <c r="B1003" s="61">
        <v>98.0</v>
      </c>
      <c r="C1003" s="61">
        <v>98.0</v>
      </c>
      <c r="D1003" s="9">
        <f t="array" ref="D1003">xlookup(A1003,'données'!E$2:E$3608,'données'!K$2:K$3608)</f>
        <v>119.5</v>
      </c>
      <c r="E1003" s="5" t="b">
        <f t="shared" si="1"/>
        <v>0</v>
      </c>
    </row>
    <row r="1004">
      <c r="A1004" s="50" t="s">
        <v>3141</v>
      </c>
      <c r="B1004" s="61">
        <v>100.0</v>
      </c>
      <c r="C1004" s="61">
        <v>100.0</v>
      </c>
      <c r="D1004" s="9">
        <f t="array" ref="D1004">xlookup(A1004,'données'!E$2:E$3608,'données'!K$2:K$3608)</f>
        <v>123.6</v>
      </c>
      <c r="E1004" s="5" t="b">
        <f t="shared" si="1"/>
        <v>0</v>
      </c>
    </row>
    <row r="1005">
      <c r="A1005" s="50" t="s">
        <v>4816</v>
      </c>
      <c r="B1005" s="61">
        <v>96.0</v>
      </c>
      <c r="C1005" s="61">
        <v>96.0</v>
      </c>
      <c r="D1005" s="9">
        <f t="array" ref="D1005">xlookup(A1005,'données'!E$2:E$3608,'données'!K$2:K$3608)</f>
        <v>110.7</v>
      </c>
      <c r="E1005" s="5" t="b">
        <f t="shared" si="1"/>
        <v>0</v>
      </c>
    </row>
    <row r="1006">
      <c r="A1006" s="50" t="s">
        <v>3138</v>
      </c>
      <c r="B1006" s="61">
        <v>97.0</v>
      </c>
      <c r="C1006" s="61">
        <v>99.0</v>
      </c>
      <c r="D1006" s="9">
        <f t="array" ref="D1006">xlookup(A1006,'données'!E$2:E$3608,'données'!K$2:K$3608)</f>
        <v>108.6</v>
      </c>
      <c r="E1006" s="5" t="b">
        <f t="shared" si="1"/>
        <v>0</v>
      </c>
    </row>
    <row r="1007">
      <c r="A1007" s="50" t="s">
        <v>4814</v>
      </c>
      <c r="B1007" s="61">
        <v>94.0</v>
      </c>
      <c r="C1007" s="61">
        <v>96.0</v>
      </c>
      <c r="D1007" s="9">
        <f t="array" ref="D1007">xlookup(A1007,'données'!E$2:E$3608,'données'!K$2:K$3608)</f>
        <v>101.8</v>
      </c>
      <c r="E1007" s="5" t="b">
        <f t="shared" si="1"/>
        <v>0</v>
      </c>
    </row>
    <row r="1008">
      <c r="A1008" s="50" t="s">
        <v>3136</v>
      </c>
      <c r="B1008" s="61">
        <v>100.0</v>
      </c>
      <c r="C1008" s="61">
        <v>100.0</v>
      </c>
      <c r="D1008" s="9">
        <f t="array" ref="D1008">xlookup(A1008,'données'!E$2:E$3608,'données'!K$2:K$3608)</f>
        <v>127.5</v>
      </c>
      <c r="E1008" s="5" t="b">
        <f t="shared" si="1"/>
        <v>0</v>
      </c>
    </row>
    <row r="1009">
      <c r="A1009" s="50" t="s">
        <v>1256</v>
      </c>
      <c r="B1009" s="61">
        <v>100.0</v>
      </c>
      <c r="C1009" s="50"/>
      <c r="D1009" s="9">
        <f t="array" ref="D1009">xlookup(A1009,'données'!E$2:E$3608,'données'!K$2:K$3608)</f>
        <v>102</v>
      </c>
      <c r="E1009" s="5" t="b">
        <f t="shared" si="1"/>
        <v>0</v>
      </c>
    </row>
    <row r="1010">
      <c r="A1010" s="50" t="s">
        <v>6317</v>
      </c>
      <c r="B1010" s="61">
        <v>100.0</v>
      </c>
      <c r="C1010" s="61">
        <v>100.0</v>
      </c>
      <c r="D1010" s="9">
        <f t="array" ref="D1010">xlookup(A1010,'données'!E$2:E$3608,'données'!K$2:K$3608)</f>
        <v>124.6</v>
      </c>
      <c r="E1010" s="5" t="b">
        <f t="shared" si="1"/>
        <v>0</v>
      </c>
    </row>
    <row r="1011">
      <c r="A1011" s="50" t="s">
        <v>6314</v>
      </c>
      <c r="B1011" s="61">
        <v>98.0</v>
      </c>
      <c r="C1011" s="61">
        <v>98.0</v>
      </c>
      <c r="D1011" s="9">
        <f t="array" ref="D1011">xlookup(A1011,'données'!E$2:E$3608,'données'!K$2:K$3608)</f>
        <v>121.5</v>
      </c>
      <c r="E1011" s="5" t="b">
        <f t="shared" si="1"/>
        <v>0</v>
      </c>
    </row>
    <row r="1012">
      <c r="A1012" s="50" t="s">
        <v>3131</v>
      </c>
      <c r="B1012" s="61">
        <v>99.0</v>
      </c>
      <c r="C1012" s="61">
        <v>99.0</v>
      </c>
      <c r="D1012" s="9">
        <f t="array" ref="D1012">xlookup(A1012,'données'!E$2:E$3608,'données'!K$2:K$3608)</f>
        <v>112.3</v>
      </c>
      <c r="E1012" s="5" t="b">
        <f t="shared" si="1"/>
        <v>0</v>
      </c>
    </row>
    <row r="1013">
      <c r="A1013" s="50" t="s">
        <v>6310</v>
      </c>
      <c r="B1013" s="61">
        <v>97.0</v>
      </c>
      <c r="C1013" s="61">
        <v>98.0</v>
      </c>
      <c r="D1013" s="9">
        <f t="array" ref="D1013">xlookup(A1013,'données'!E$2:E$3608,'données'!K$2:K$3608)</f>
        <v>111.4</v>
      </c>
      <c r="E1013" s="5" t="b">
        <f t="shared" si="1"/>
        <v>0</v>
      </c>
    </row>
    <row r="1014">
      <c r="A1014" s="50" t="s">
        <v>6309</v>
      </c>
      <c r="B1014" s="61">
        <v>94.0</v>
      </c>
      <c r="C1014" s="61">
        <v>98.0</v>
      </c>
      <c r="D1014" s="9">
        <f t="array" ref="D1014">xlookup(A1014,'données'!E$2:E$3608,'données'!K$2:K$3608)</f>
        <v>96.8</v>
      </c>
      <c r="E1014" s="5" t="b">
        <f t="shared" si="1"/>
        <v>0</v>
      </c>
    </row>
    <row r="1015">
      <c r="A1015" s="50" t="s">
        <v>7704</v>
      </c>
      <c r="B1015" s="61">
        <v>98.0</v>
      </c>
      <c r="C1015" s="61">
        <v>99.0</v>
      </c>
      <c r="D1015" s="9">
        <f t="array" ref="D1015">xlookup(A1015,'données'!E$2:E$3608,'données'!K$2:K$3608)</f>
        <v>108.4</v>
      </c>
      <c r="E1015" s="5" t="b">
        <f t="shared" si="1"/>
        <v>0</v>
      </c>
    </row>
    <row r="1016">
      <c r="A1016" s="50" t="s">
        <v>4811</v>
      </c>
      <c r="B1016" s="61">
        <v>96.0</v>
      </c>
      <c r="C1016" s="61">
        <v>95.0</v>
      </c>
      <c r="D1016" s="9">
        <f t="array" ref="D1016">xlookup(A1016,'données'!E$2:E$3608,'données'!K$2:K$3608)</f>
        <v>112.5</v>
      </c>
      <c r="E1016" s="5" t="b">
        <f t="shared" si="1"/>
        <v>0</v>
      </c>
    </row>
    <row r="1017">
      <c r="A1017" s="50" t="s">
        <v>6306</v>
      </c>
      <c r="B1017" s="61">
        <v>100.0</v>
      </c>
      <c r="C1017" s="61">
        <v>100.0</v>
      </c>
      <c r="D1017" s="9">
        <f t="array" ref="D1017">xlookup(A1017,'données'!E$2:E$3608,'données'!K$2:K$3608)</f>
        <v>112.3</v>
      </c>
      <c r="E1017" s="5" t="b">
        <f t="shared" si="1"/>
        <v>0</v>
      </c>
    </row>
    <row r="1018">
      <c r="A1018" s="50" t="s">
        <v>3129</v>
      </c>
      <c r="B1018" s="61">
        <v>90.0</v>
      </c>
      <c r="C1018" s="50"/>
      <c r="D1018" s="9">
        <f t="array" ref="D1018">xlookup(A1018,'données'!E$2:E$3608,'données'!K$2:K$3608)</f>
        <v>98.7</v>
      </c>
      <c r="E1018" s="5" t="b">
        <f t="shared" si="1"/>
        <v>0</v>
      </c>
    </row>
    <row r="1019">
      <c r="A1019" s="50" t="s">
        <v>3128</v>
      </c>
      <c r="B1019" s="61">
        <v>100.0</v>
      </c>
      <c r="C1019" s="61">
        <v>100.0</v>
      </c>
      <c r="D1019" s="9">
        <f t="array" ref="D1019">xlookup(A1019,'données'!E$2:E$3608,'données'!K$2:K$3608)</f>
        <v>119.1</v>
      </c>
      <c r="E1019" s="5" t="b">
        <f t="shared" si="1"/>
        <v>0</v>
      </c>
    </row>
    <row r="1020">
      <c r="A1020" s="50" t="s">
        <v>4805</v>
      </c>
      <c r="B1020" s="61">
        <v>99.0</v>
      </c>
      <c r="C1020" s="61">
        <v>99.0</v>
      </c>
      <c r="D1020" s="9">
        <f t="array" ref="D1020">xlookup(A1020,'données'!E$2:E$3608,'données'!K$2:K$3608)</f>
        <v>103.2</v>
      </c>
      <c r="E1020" s="5" t="b">
        <f t="shared" si="1"/>
        <v>0</v>
      </c>
    </row>
    <row r="1021">
      <c r="A1021" s="50" t="s">
        <v>1253</v>
      </c>
      <c r="B1021" s="61">
        <v>97.0</v>
      </c>
      <c r="C1021" s="61">
        <v>97.0</v>
      </c>
      <c r="D1021" s="9">
        <f t="array" ref="D1021">xlookup(A1021,'données'!E$2:E$3608,'données'!K$2:K$3608)</f>
        <v>105</v>
      </c>
      <c r="E1021" s="5" t="b">
        <f t="shared" si="1"/>
        <v>0</v>
      </c>
    </row>
    <row r="1022">
      <c r="A1022" s="50" t="s">
        <v>6304</v>
      </c>
      <c r="B1022" s="61">
        <v>99.0</v>
      </c>
      <c r="C1022" s="61">
        <v>99.0</v>
      </c>
      <c r="D1022" s="9">
        <f t="array" ref="D1022">xlookup(A1022,'données'!E$2:E$3608,'données'!K$2:K$3608)</f>
        <v>112</v>
      </c>
      <c r="E1022" s="5" t="b">
        <f t="shared" si="1"/>
        <v>0</v>
      </c>
    </row>
    <row r="1023">
      <c r="A1023" s="50" t="s">
        <v>6300</v>
      </c>
      <c r="B1023" s="61">
        <v>99.0</v>
      </c>
      <c r="C1023" s="61">
        <v>99.0</v>
      </c>
      <c r="D1023" s="9">
        <f t="array" ref="D1023">xlookup(A1023,'données'!E$2:E$3608,'données'!K$2:K$3608)</f>
        <v>118.3</v>
      </c>
      <c r="E1023" s="5" t="b">
        <f t="shared" si="1"/>
        <v>0</v>
      </c>
    </row>
    <row r="1024">
      <c r="A1024" s="50" t="s">
        <v>1250</v>
      </c>
      <c r="B1024" s="61">
        <v>92.0</v>
      </c>
      <c r="C1024" s="61">
        <v>95.0</v>
      </c>
      <c r="D1024" s="9">
        <f t="array" ref="D1024">xlookup(A1024,'données'!E$2:E$3608,'données'!K$2:K$3608)</f>
        <v>110.9</v>
      </c>
      <c r="E1024" s="5" t="b">
        <f t="shared" si="1"/>
        <v>0</v>
      </c>
    </row>
    <row r="1025">
      <c r="A1025" s="50" t="s">
        <v>6298</v>
      </c>
      <c r="B1025" s="61">
        <v>97.0</v>
      </c>
      <c r="C1025" s="61">
        <v>97.0</v>
      </c>
      <c r="D1025" s="9">
        <f t="array" ref="D1025">xlookup(A1025,'données'!E$2:E$3608,'données'!K$2:K$3608)</f>
        <v>117.8</v>
      </c>
      <c r="E1025" s="5" t="b">
        <f t="shared" si="1"/>
        <v>0</v>
      </c>
    </row>
    <row r="1026">
      <c r="A1026" s="50" t="s">
        <v>4797</v>
      </c>
      <c r="B1026" s="61">
        <v>97.0</v>
      </c>
      <c r="C1026" s="61">
        <v>97.0</v>
      </c>
      <c r="D1026" s="9">
        <f t="array" ref="D1026">xlookup(A1026,'données'!E$2:E$3608,'données'!K$2:K$3608)</f>
        <v>118.6</v>
      </c>
      <c r="E1026" s="5" t="b">
        <f t="shared" si="1"/>
        <v>0</v>
      </c>
    </row>
    <row r="1027">
      <c r="A1027" s="50" t="s">
        <v>7699</v>
      </c>
      <c r="B1027" s="61">
        <v>97.0</v>
      </c>
      <c r="C1027" s="61">
        <v>99.0</v>
      </c>
      <c r="D1027" s="9">
        <f t="array" ref="D1027">xlookup(A1027,'données'!E$2:E$3608,'données'!K$2:K$3608)</f>
        <v>116.5</v>
      </c>
      <c r="E1027" s="5" t="b">
        <f t="shared" si="1"/>
        <v>0</v>
      </c>
    </row>
    <row r="1028">
      <c r="A1028" s="50" t="s">
        <v>7696</v>
      </c>
      <c r="B1028" s="61">
        <v>98.0</v>
      </c>
      <c r="C1028" s="61">
        <v>99.0</v>
      </c>
      <c r="D1028" s="9">
        <f t="array" ref="D1028">xlookup(A1028,'données'!E$2:E$3608,'données'!K$2:K$3608)</f>
        <v>117</v>
      </c>
      <c r="E1028" s="5" t="b">
        <f t="shared" si="1"/>
        <v>0</v>
      </c>
    </row>
    <row r="1029">
      <c r="A1029" s="50" t="s">
        <v>1244</v>
      </c>
      <c r="B1029" s="61">
        <v>100.0</v>
      </c>
      <c r="C1029" s="61">
        <v>100.0</v>
      </c>
      <c r="D1029" s="9">
        <f t="array" ref="D1029">xlookup(A1029,'données'!E$2:E$3608,'données'!K$2:K$3608)</f>
        <v>128</v>
      </c>
      <c r="E1029" s="5" t="b">
        <f t="shared" si="1"/>
        <v>0</v>
      </c>
    </row>
    <row r="1030">
      <c r="A1030" s="50" t="s">
        <v>6295</v>
      </c>
      <c r="B1030" s="61">
        <v>99.0</v>
      </c>
      <c r="C1030" s="61">
        <v>99.0</v>
      </c>
      <c r="D1030" s="9">
        <f t="array" ref="D1030">xlookup(A1030,'données'!E$2:E$3608,'données'!K$2:K$3608)</f>
        <v>116.6</v>
      </c>
      <c r="E1030" s="5" t="b">
        <f t="shared" si="1"/>
        <v>0</v>
      </c>
    </row>
    <row r="1031">
      <c r="A1031" s="50" t="s">
        <v>7694</v>
      </c>
      <c r="B1031" s="61">
        <v>97.0</v>
      </c>
      <c r="C1031" s="61">
        <v>99.0</v>
      </c>
      <c r="D1031" s="9">
        <f t="array" ref="D1031">xlookup(A1031,'données'!E$2:E$3608,'données'!K$2:K$3608)</f>
        <v>124</v>
      </c>
      <c r="E1031" s="5" t="b">
        <f t="shared" si="1"/>
        <v>0</v>
      </c>
    </row>
    <row r="1032">
      <c r="A1032" s="50" t="s">
        <v>1241</v>
      </c>
      <c r="B1032" s="61">
        <v>98.0</v>
      </c>
      <c r="C1032" s="50"/>
      <c r="D1032" s="9">
        <f t="array" ref="D1032">xlookup(A1032,'données'!E$2:E$3608,'données'!K$2:K$3608)</f>
        <v>113.7</v>
      </c>
      <c r="E1032" s="5" t="b">
        <f t="shared" si="1"/>
        <v>0</v>
      </c>
    </row>
    <row r="1033">
      <c r="A1033" s="50" t="s">
        <v>7691</v>
      </c>
      <c r="B1033" s="61">
        <v>100.0</v>
      </c>
      <c r="C1033" s="61">
        <v>100.0</v>
      </c>
      <c r="D1033" s="9">
        <f t="array" ref="D1033">xlookup(A1033,'données'!E$2:E$3608,'données'!K$2:K$3608)</f>
        <v>112</v>
      </c>
      <c r="E1033" s="5" t="b">
        <f t="shared" si="1"/>
        <v>0</v>
      </c>
    </row>
    <row r="1034">
      <c r="A1034" s="50" t="s">
        <v>3124</v>
      </c>
      <c r="B1034" s="61">
        <v>95.0</v>
      </c>
      <c r="C1034" s="61">
        <v>97.0</v>
      </c>
      <c r="D1034" s="9">
        <f t="array" ref="D1034">xlookup(A1034,'données'!E$2:E$3608,'données'!K$2:K$3608)</f>
        <v>116.9</v>
      </c>
      <c r="E1034" s="5" t="b">
        <f t="shared" si="1"/>
        <v>0</v>
      </c>
    </row>
    <row r="1035">
      <c r="A1035" s="50" t="s">
        <v>3120</v>
      </c>
      <c r="B1035" s="61">
        <v>98.0</v>
      </c>
      <c r="C1035" s="50"/>
      <c r="D1035" s="9">
        <f t="array" ref="D1035">xlookup(A1035,'données'!E$2:E$3608,'données'!K$2:K$3608)</f>
        <v>113.5</v>
      </c>
      <c r="E1035" s="5" t="b">
        <f t="shared" si="1"/>
        <v>0</v>
      </c>
    </row>
    <row r="1036">
      <c r="A1036" s="50" t="s">
        <v>4792</v>
      </c>
      <c r="B1036" s="61">
        <v>100.0</v>
      </c>
      <c r="C1036" s="61">
        <v>100.0</v>
      </c>
      <c r="D1036" s="9">
        <f t="array" ref="D1036">xlookup(A1036,'données'!E$2:E$3608,'données'!K$2:K$3608)</f>
        <v>110.9</v>
      </c>
      <c r="E1036" s="5" t="b">
        <f t="shared" si="1"/>
        <v>0</v>
      </c>
    </row>
    <row r="1037">
      <c r="A1037" s="50" t="s">
        <v>3116</v>
      </c>
      <c r="B1037" s="61">
        <v>99.0</v>
      </c>
      <c r="C1037" s="61">
        <v>98.0</v>
      </c>
      <c r="D1037" s="9">
        <f t="array" ref="D1037">xlookup(A1037,'données'!E$2:E$3608,'données'!K$2:K$3608)</f>
        <v>101.9</v>
      </c>
      <c r="E1037" s="5" t="b">
        <f t="shared" si="1"/>
        <v>0</v>
      </c>
    </row>
    <row r="1038">
      <c r="A1038" s="50" t="s">
        <v>7687</v>
      </c>
      <c r="B1038" s="61">
        <v>100.0</v>
      </c>
      <c r="C1038" s="61">
        <v>100.0</v>
      </c>
      <c r="D1038" s="9">
        <f t="array" ref="D1038">xlookup(A1038,'données'!E$2:E$3608,'données'!K$2:K$3608)</f>
        <v>120.5</v>
      </c>
      <c r="E1038" s="5" t="b">
        <f t="shared" si="1"/>
        <v>0</v>
      </c>
    </row>
    <row r="1039">
      <c r="A1039" s="50" t="s">
        <v>3115</v>
      </c>
      <c r="B1039" s="61">
        <v>100.0</v>
      </c>
      <c r="C1039" s="61">
        <v>100.0</v>
      </c>
      <c r="D1039" s="9">
        <f t="array" ref="D1039">xlookup(A1039,'données'!E$2:E$3608,'données'!K$2:K$3608)</f>
        <v>126.6</v>
      </c>
      <c r="E1039" s="5" t="b">
        <f t="shared" si="1"/>
        <v>0</v>
      </c>
    </row>
    <row r="1040">
      <c r="A1040" s="50" t="s">
        <v>4790</v>
      </c>
      <c r="B1040" s="61">
        <v>100.0</v>
      </c>
      <c r="C1040" s="61">
        <v>100.0</v>
      </c>
      <c r="D1040" s="9">
        <f t="array" ref="D1040">xlookup(A1040,'données'!E$2:E$3608,'données'!K$2:K$3608)</f>
        <v>126.2</v>
      </c>
      <c r="E1040" s="5" t="b">
        <f t="shared" si="1"/>
        <v>0</v>
      </c>
    </row>
    <row r="1041">
      <c r="A1041" s="50" t="s">
        <v>1238</v>
      </c>
      <c r="B1041" s="61">
        <v>100.0</v>
      </c>
      <c r="C1041" s="61">
        <v>100.0</v>
      </c>
      <c r="D1041" s="9">
        <f t="array" ref="D1041">xlookup(A1041,'données'!E$2:E$3608,'données'!K$2:K$3608)</f>
        <v>108.3</v>
      </c>
      <c r="E1041" s="5" t="b">
        <f t="shared" si="1"/>
        <v>0</v>
      </c>
    </row>
    <row r="1042">
      <c r="A1042" s="50" t="s">
        <v>4789</v>
      </c>
      <c r="B1042" s="61">
        <v>100.0</v>
      </c>
      <c r="C1042" s="61">
        <v>100.0</v>
      </c>
      <c r="D1042" s="9">
        <f t="array" ref="D1042">xlookup(A1042,'données'!E$2:E$3608,'données'!K$2:K$3608)</f>
        <v>115.4</v>
      </c>
      <c r="E1042" s="5" t="b">
        <f t="shared" si="1"/>
        <v>0</v>
      </c>
    </row>
    <row r="1043">
      <c r="A1043" s="50" t="s">
        <v>3114</v>
      </c>
      <c r="B1043" s="61">
        <v>100.0</v>
      </c>
      <c r="C1043" s="61">
        <v>100.0</v>
      </c>
      <c r="D1043" s="9">
        <f t="array" ref="D1043">xlookup(A1043,'données'!E$2:E$3608,'données'!K$2:K$3608)</f>
        <v>117.9</v>
      </c>
      <c r="E1043" s="5" t="b">
        <f t="shared" si="1"/>
        <v>0</v>
      </c>
    </row>
    <row r="1044">
      <c r="A1044" s="50" t="s">
        <v>3111</v>
      </c>
      <c r="B1044" s="61">
        <v>96.0</v>
      </c>
      <c r="C1044" s="61">
        <v>96.0</v>
      </c>
      <c r="D1044" s="9">
        <f t="array" ref="D1044">xlookup(A1044,'données'!E$2:E$3608,'données'!K$2:K$3608)</f>
        <v>112</v>
      </c>
      <c r="E1044" s="5" t="b">
        <f t="shared" si="1"/>
        <v>0</v>
      </c>
    </row>
    <row r="1045">
      <c r="A1045" s="50" t="s">
        <v>1236</v>
      </c>
      <c r="B1045" s="61">
        <v>99.0</v>
      </c>
      <c r="C1045" s="61">
        <v>99.0</v>
      </c>
      <c r="D1045" s="9">
        <f t="array" ref="D1045">xlookup(A1045,'données'!E$2:E$3608,'données'!K$2:K$3608)</f>
        <v>126.4</v>
      </c>
      <c r="E1045" s="5" t="b">
        <f t="shared" si="1"/>
        <v>0</v>
      </c>
    </row>
    <row r="1046">
      <c r="A1046" s="50" t="s">
        <v>1233</v>
      </c>
      <c r="B1046" s="61">
        <v>99.0</v>
      </c>
      <c r="C1046" s="61">
        <v>100.0</v>
      </c>
      <c r="D1046" s="9">
        <f t="array" ref="D1046">xlookup(A1046,'données'!E$2:E$3608,'données'!K$2:K$3608)</f>
        <v>128.3</v>
      </c>
      <c r="E1046" s="5" t="b">
        <f t="shared" si="1"/>
        <v>0</v>
      </c>
    </row>
    <row r="1047">
      <c r="A1047" s="50" t="s">
        <v>1226</v>
      </c>
      <c r="B1047" s="61">
        <v>98.0</v>
      </c>
      <c r="C1047" s="61">
        <v>99.0</v>
      </c>
      <c r="D1047" s="9">
        <f t="array" ref="D1047">xlookup(A1047,'données'!E$2:E$3608,'données'!K$2:K$3608)</f>
        <v>112</v>
      </c>
      <c r="E1047" s="5" t="b">
        <f t="shared" si="1"/>
        <v>0</v>
      </c>
    </row>
    <row r="1048">
      <c r="A1048" s="50" t="s">
        <v>1223</v>
      </c>
      <c r="B1048" s="61">
        <v>98.0</v>
      </c>
      <c r="C1048" s="61">
        <v>98.0</v>
      </c>
      <c r="D1048" s="9">
        <f t="array" ref="D1048">xlookup(A1048,'données'!E$2:E$3608,'données'!K$2:K$3608)</f>
        <v>122.2</v>
      </c>
      <c r="E1048" s="5" t="b">
        <f t="shared" si="1"/>
        <v>0</v>
      </c>
    </row>
    <row r="1049">
      <c r="A1049" s="50" t="s">
        <v>6287</v>
      </c>
      <c r="B1049" s="61">
        <v>98.0</v>
      </c>
      <c r="C1049" s="61">
        <v>97.0</v>
      </c>
      <c r="D1049" s="9">
        <f t="array" ref="D1049">xlookup(A1049,'données'!E$2:E$3608,'données'!K$2:K$3608)</f>
        <v>127.6</v>
      </c>
      <c r="E1049" s="5" t="b">
        <f t="shared" si="1"/>
        <v>0</v>
      </c>
    </row>
    <row r="1050">
      <c r="A1050" s="50" t="s">
        <v>7684</v>
      </c>
      <c r="B1050" s="61">
        <v>99.0</v>
      </c>
      <c r="C1050" s="61">
        <v>99.0</v>
      </c>
      <c r="D1050" s="9">
        <f t="array" ref="D1050">xlookup(A1050,'données'!E$2:E$3608,'données'!K$2:K$3608)</f>
        <v>114</v>
      </c>
      <c r="E1050" s="5" t="b">
        <f t="shared" si="1"/>
        <v>0</v>
      </c>
    </row>
    <row r="1051">
      <c r="A1051" s="50" t="s">
        <v>1217</v>
      </c>
      <c r="B1051" s="61">
        <v>99.0</v>
      </c>
      <c r="C1051" s="61">
        <v>100.0</v>
      </c>
      <c r="D1051" s="9">
        <f t="array" ref="D1051">xlookup(A1051,'données'!E$2:E$3608,'données'!K$2:K$3608)</f>
        <v>117.6</v>
      </c>
      <c r="E1051" s="5" t="b">
        <f t="shared" si="1"/>
        <v>0</v>
      </c>
    </row>
    <row r="1052">
      <c r="A1052" s="50" t="s">
        <v>3104</v>
      </c>
      <c r="B1052" s="61">
        <v>99.0</v>
      </c>
      <c r="C1052" s="61">
        <v>99.0</v>
      </c>
      <c r="D1052" s="9">
        <f t="array" ref="D1052">xlookup(A1052,'données'!E$2:E$3608,'données'!K$2:K$3608)</f>
        <v>125.4</v>
      </c>
      <c r="E1052" s="5" t="b">
        <f t="shared" si="1"/>
        <v>0</v>
      </c>
    </row>
    <row r="1053">
      <c r="A1053" s="50" t="s">
        <v>6285</v>
      </c>
      <c r="B1053" s="61">
        <v>99.0</v>
      </c>
      <c r="C1053" s="61">
        <v>99.0</v>
      </c>
      <c r="D1053" s="9">
        <f t="array" ref="D1053">xlookup(A1053,'données'!E$2:E$3608,'données'!K$2:K$3608)</f>
        <v>113.4</v>
      </c>
      <c r="E1053" s="5" t="b">
        <f t="shared" si="1"/>
        <v>0</v>
      </c>
    </row>
    <row r="1054">
      <c r="A1054" s="50" t="s">
        <v>3099</v>
      </c>
      <c r="B1054" s="61">
        <v>98.0</v>
      </c>
      <c r="C1054" s="61">
        <v>99.0</v>
      </c>
      <c r="D1054" s="9">
        <f t="array" ref="D1054">xlookup(A1054,'données'!E$2:E$3608,'données'!K$2:K$3608)</f>
        <v>126.4</v>
      </c>
      <c r="E1054" s="5" t="b">
        <f t="shared" si="1"/>
        <v>0</v>
      </c>
    </row>
    <row r="1055">
      <c r="A1055" s="50" t="s">
        <v>7682</v>
      </c>
      <c r="B1055" s="61">
        <v>95.0</v>
      </c>
      <c r="C1055" s="61">
        <v>97.0</v>
      </c>
      <c r="D1055" s="9">
        <f t="array" ref="D1055">xlookup(A1055,'données'!E$2:E$3608,'données'!K$2:K$3608)</f>
        <v>107.1</v>
      </c>
      <c r="E1055" s="5" t="b">
        <f t="shared" si="1"/>
        <v>0</v>
      </c>
    </row>
    <row r="1056">
      <c r="A1056" s="50" t="s">
        <v>4776</v>
      </c>
      <c r="B1056" s="61">
        <v>99.0</v>
      </c>
      <c r="C1056" s="61">
        <v>99.0</v>
      </c>
      <c r="D1056" s="9">
        <f t="array" ref="D1056">xlookup(A1056,'données'!E$2:E$3608,'données'!K$2:K$3608)</f>
        <v>124.7</v>
      </c>
      <c r="E1056" s="5" t="b">
        <f t="shared" si="1"/>
        <v>0</v>
      </c>
    </row>
    <row r="1057">
      <c r="A1057" s="50" t="s">
        <v>1211</v>
      </c>
      <c r="B1057" s="61">
        <v>99.0</v>
      </c>
      <c r="C1057" s="61">
        <v>100.0</v>
      </c>
      <c r="D1057" s="9">
        <f t="array" ref="D1057">xlookup(A1057,'données'!E$2:E$3608,'données'!K$2:K$3608)</f>
        <v>121.5</v>
      </c>
      <c r="E1057" s="5" t="b">
        <f t="shared" si="1"/>
        <v>0</v>
      </c>
    </row>
    <row r="1058">
      <c r="A1058" s="50" t="s">
        <v>7680</v>
      </c>
      <c r="B1058" s="61">
        <v>100.0</v>
      </c>
      <c r="C1058" s="61">
        <v>100.0</v>
      </c>
      <c r="D1058" s="9">
        <f t="array" ref="D1058">xlookup(A1058,'données'!E$2:E$3608,'données'!K$2:K$3608)</f>
        <v>121.9</v>
      </c>
      <c r="E1058" s="5" t="b">
        <f t="shared" si="1"/>
        <v>0</v>
      </c>
    </row>
    <row r="1059">
      <c r="A1059" s="50" t="s">
        <v>7678</v>
      </c>
      <c r="B1059" s="61">
        <v>97.0</v>
      </c>
      <c r="C1059" s="61">
        <v>97.0</v>
      </c>
      <c r="D1059" s="9">
        <f t="array" ref="D1059">xlookup(A1059,'données'!E$2:E$3608,'données'!K$2:K$3608)</f>
        <v>124</v>
      </c>
      <c r="E1059" s="5" t="b">
        <f t="shared" si="1"/>
        <v>0</v>
      </c>
    </row>
    <row r="1060">
      <c r="A1060" s="50" t="s">
        <v>3096</v>
      </c>
      <c r="B1060" s="61">
        <v>100.0</v>
      </c>
      <c r="C1060" s="61">
        <v>100.0</v>
      </c>
      <c r="D1060" s="9">
        <f t="array" ref="D1060">xlookup(A1060,'données'!E$2:E$3608,'données'!K$2:K$3608)</f>
        <v>144.7</v>
      </c>
      <c r="E1060" s="5" t="b">
        <f t="shared" si="1"/>
        <v>0</v>
      </c>
    </row>
    <row r="1061">
      <c r="A1061" s="50" t="s">
        <v>3094</v>
      </c>
      <c r="B1061" s="61">
        <v>98.0</v>
      </c>
      <c r="C1061" s="61">
        <v>99.0</v>
      </c>
      <c r="D1061" s="9">
        <f t="array" ref="D1061">xlookup(A1061,'données'!E$2:E$3608,'données'!K$2:K$3608)</f>
        <v>129.2</v>
      </c>
      <c r="E1061" s="5" t="b">
        <f t="shared" si="1"/>
        <v>0</v>
      </c>
    </row>
    <row r="1062">
      <c r="A1062" s="50" t="s">
        <v>6275</v>
      </c>
      <c r="B1062" s="61">
        <v>99.0</v>
      </c>
      <c r="C1062" s="61">
        <v>100.0</v>
      </c>
      <c r="D1062" s="9">
        <f t="array" ref="D1062">xlookup(A1062,'données'!E$2:E$3608,'données'!K$2:K$3608)</f>
        <v>132.7</v>
      </c>
      <c r="E1062" s="5" t="b">
        <f t="shared" si="1"/>
        <v>0</v>
      </c>
    </row>
    <row r="1063">
      <c r="A1063" s="50" t="s">
        <v>3090</v>
      </c>
      <c r="B1063" s="61">
        <v>99.0</v>
      </c>
      <c r="C1063" s="61">
        <v>99.0</v>
      </c>
      <c r="D1063" s="9">
        <f t="array" ref="D1063">xlookup(A1063,'données'!E$2:E$3608,'données'!K$2:K$3608)</f>
        <v>127.4</v>
      </c>
      <c r="E1063" s="5" t="b">
        <f t="shared" si="1"/>
        <v>0</v>
      </c>
    </row>
    <row r="1064">
      <c r="A1064" s="50" t="s">
        <v>3087</v>
      </c>
      <c r="B1064" s="61">
        <v>97.0</v>
      </c>
      <c r="C1064" s="61">
        <v>96.0</v>
      </c>
      <c r="D1064" s="9">
        <f t="array" ref="D1064">xlookup(A1064,'données'!E$2:E$3608,'données'!K$2:K$3608)</f>
        <v>123.8</v>
      </c>
      <c r="E1064" s="5" t="b">
        <f t="shared" si="1"/>
        <v>0</v>
      </c>
    </row>
    <row r="1065">
      <c r="A1065" s="50" t="s">
        <v>4772</v>
      </c>
      <c r="B1065" s="61">
        <v>100.0</v>
      </c>
      <c r="C1065" s="61">
        <v>100.0</v>
      </c>
      <c r="D1065" s="9">
        <f t="array" ref="D1065">xlookup(A1065,'données'!E$2:E$3608,'données'!K$2:K$3608)</f>
        <v>122.3</v>
      </c>
      <c r="E1065" s="5" t="b">
        <f t="shared" si="1"/>
        <v>0</v>
      </c>
    </row>
    <row r="1066">
      <c r="A1066" s="50" t="s">
        <v>7675</v>
      </c>
      <c r="B1066" s="61">
        <v>100.0</v>
      </c>
      <c r="C1066" s="61">
        <v>100.0</v>
      </c>
      <c r="D1066" s="9">
        <f t="array" ref="D1066">xlookup(A1066,'données'!E$2:E$3608,'données'!K$2:K$3608)</f>
        <v>131.1</v>
      </c>
      <c r="E1066" s="5" t="b">
        <f t="shared" si="1"/>
        <v>0</v>
      </c>
    </row>
    <row r="1067">
      <c r="A1067" s="50" t="s">
        <v>6273</v>
      </c>
      <c r="B1067" s="61">
        <v>99.0</v>
      </c>
      <c r="C1067" s="61">
        <v>99.0</v>
      </c>
      <c r="D1067" s="9">
        <f t="array" ref="D1067">xlookup(A1067,'données'!E$2:E$3608,'données'!K$2:K$3608)</f>
        <v>112.7</v>
      </c>
      <c r="E1067" s="5" t="b">
        <f t="shared" si="1"/>
        <v>0</v>
      </c>
    </row>
    <row r="1068">
      <c r="A1068" s="50" t="s">
        <v>3082</v>
      </c>
      <c r="B1068" s="61">
        <v>93.0</v>
      </c>
      <c r="C1068" s="61">
        <v>93.0</v>
      </c>
      <c r="D1068" s="9">
        <f t="array" ref="D1068">xlookup(A1068,'données'!E$2:E$3608,'données'!K$2:K$3608)</f>
        <v>106.7</v>
      </c>
      <c r="E1068" s="5" t="b">
        <f t="shared" si="1"/>
        <v>0</v>
      </c>
    </row>
    <row r="1069">
      <c r="A1069" s="50" t="s">
        <v>4770</v>
      </c>
      <c r="B1069" s="61">
        <v>90.0</v>
      </c>
      <c r="C1069" s="61">
        <v>91.0</v>
      </c>
      <c r="D1069" s="9">
        <f t="array" ref="D1069">xlookup(A1069,'données'!E$2:E$3608,'données'!K$2:K$3608)</f>
        <v>90.3</v>
      </c>
      <c r="E1069" s="5" t="b">
        <f t="shared" si="1"/>
        <v>0</v>
      </c>
    </row>
    <row r="1070">
      <c r="A1070" s="50" t="s">
        <v>6271</v>
      </c>
      <c r="B1070" s="61">
        <v>98.0</v>
      </c>
      <c r="C1070" s="61">
        <v>92.0</v>
      </c>
      <c r="D1070" s="9">
        <f t="array" ref="D1070">xlookup(A1070,'données'!E$2:E$3608,'données'!K$2:K$3608)</f>
        <v>111.8</v>
      </c>
      <c r="E1070" s="5" t="b">
        <f t="shared" si="1"/>
        <v>0</v>
      </c>
    </row>
    <row r="1071">
      <c r="A1071" s="50" t="s">
        <v>1203</v>
      </c>
      <c r="B1071" s="61">
        <v>96.0</v>
      </c>
      <c r="C1071" s="61">
        <v>97.0</v>
      </c>
      <c r="D1071" s="9">
        <f t="array" ref="D1071">xlookup(A1071,'données'!E$2:E$3608,'données'!K$2:K$3608)</f>
        <v>107.6</v>
      </c>
      <c r="E1071" s="5" t="b">
        <f t="shared" si="1"/>
        <v>0</v>
      </c>
    </row>
    <row r="1072">
      <c r="A1072" s="50" t="s">
        <v>1200</v>
      </c>
      <c r="B1072" s="61">
        <v>97.0</v>
      </c>
      <c r="C1072" s="61">
        <v>98.0</v>
      </c>
      <c r="D1072" s="9">
        <f t="array" ref="D1072">xlookup(A1072,'données'!E$2:E$3608,'données'!K$2:K$3608)</f>
        <v>120.2</v>
      </c>
      <c r="E1072" s="5" t="b">
        <f t="shared" si="1"/>
        <v>0</v>
      </c>
    </row>
    <row r="1073">
      <c r="A1073" s="50" t="s">
        <v>4764</v>
      </c>
      <c r="B1073" s="61">
        <v>97.0</v>
      </c>
      <c r="C1073" s="61">
        <v>98.0</v>
      </c>
      <c r="D1073" s="9">
        <f t="array" ref="D1073">xlookup(A1073,'données'!E$2:E$3608,'données'!K$2:K$3608)</f>
        <v>118.2</v>
      </c>
      <c r="E1073" s="5" t="b">
        <f t="shared" si="1"/>
        <v>0</v>
      </c>
    </row>
    <row r="1074">
      <c r="A1074" s="50" t="s">
        <v>3074</v>
      </c>
      <c r="B1074" s="61">
        <v>96.0</v>
      </c>
      <c r="C1074" s="61">
        <v>98.0</v>
      </c>
      <c r="D1074" s="9">
        <f t="array" ref="D1074">xlookup(A1074,'données'!E$2:E$3608,'données'!K$2:K$3608)</f>
        <v>117.3</v>
      </c>
      <c r="E1074" s="5" t="b">
        <f t="shared" si="1"/>
        <v>0</v>
      </c>
    </row>
    <row r="1075">
      <c r="A1075" s="50" t="s">
        <v>1197</v>
      </c>
      <c r="B1075" s="61">
        <v>90.0</v>
      </c>
      <c r="C1075" s="50"/>
      <c r="D1075" s="9">
        <f t="array" ref="D1075">xlookup(A1075,'données'!E$2:E$3608,'données'!K$2:K$3608)</f>
        <v>100.7</v>
      </c>
      <c r="E1075" s="5" t="b">
        <f t="shared" si="1"/>
        <v>0</v>
      </c>
    </row>
    <row r="1076">
      <c r="A1076" s="50" t="s">
        <v>4761</v>
      </c>
      <c r="B1076" s="61">
        <v>99.0</v>
      </c>
      <c r="C1076" s="61">
        <v>99.0</v>
      </c>
      <c r="D1076" s="9">
        <f t="array" ref="D1076">xlookup(A1076,'données'!E$2:E$3608,'données'!K$2:K$3608)</f>
        <v>128.1</v>
      </c>
      <c r="E1076" s="5" t="b">
        <f t="shared" si="1"/>
        <v>0</v>
      </c>
    </row>
    <row r="1077">
      <c r="A1077" s="50" t="s">
        <v>3072</v>
      </c>
      <c r="B1077" s="61">
        <v>96.0</v>
      </c>
      <c r="C1077" s="61">
        <v>96.0</v>
      </c>
      <c r="D1077" s="9">
        <f t="array" ref="D1077">xlookup(A1077,'données'!E$2:E$3608,'données'!K$2:K$3608)</f>
        <v>122.4</v>
      </c>
      <c r="E1077" s="5" t="b">
        <f t="shared" si="1"/>
        <v>0</v>
      </c>
    </row>
    <row r="1078">
      <c r="A1078" s="50" t="s">
        <v>3070</v>
      </c>
      <c r="B1078" s="61">
        <v>99.0</v>
      </c>
      <c r="C1078" s="61">
        <v>99.0</v>
      </c>
      <c r="D1078" s="9">
        <f t="array" ref="D1078">xlookup(A1078,'données'!E$2:E$3608,'données'!K$2:K$3608)</f>
        <v>110.5</v>
      </c>
      <c r="E1078" s="5" t="b">
        <f t="shared" si="1"/>
        <v>0</v>
      </c>
    </row>
    <row r="1079">
      <c r="A1079" s="50" t="s">
        <v>7668</v>
      </c>
      <c r="B1079" s="61">
        <v>97.0</v>
      </c>
      <c r="C1079" s="61">
        <v>97.0</v>
      </c>
      <c r="D1079" s="9">
        <f t="array" ref="D1079">xlookup(A1079,'données'!E$2:E$3608,'données'!K$2:K$3608)</f>
        <v>97.8</v>
      </c>
      <c r="E1079" s="5" t="b">
        <f t="shared" si="1"/>
        <v>0</v>
      </c>
    </row>
    <row r="1080">
      <c r="A1080" s="50" t="s">
        <v>7666</v>
      </c>
      <c r="B1080" s="61">
        <v>97.0</v>
      </c>
      <c r="C1080" s="61">
        <v>97.0</v>
      </c>
      <c r="D1080" s="9">
        <f t="array" ref="D1080">xlookup(A1080,'données'!E$2:E$3608,'données'!K$2:K$3608)</f>
        <v>111.6</v>
      </c>
      <c r="E1080" s="5" t="b">
        <f t="shared" si="1"/>
        <v>0</v>
      </c>
    </row>
    <row r="1081">
      <c r="A1081" s="50" t="s">
        <v>4758</v>
      </c>
      <c r="B1081" s="61">
        <v>97.0</v>
      </c>
      <c r="C1081" s="61">
        <v>99.0</v>
      </c>
      <c r="D1081" s="9">
        <f t="array" ref="D1081">xlookup(A1081,'données'!E$2:E$3608,'données'!K$2:K$3608)</f>
        <v>99.1</v>
      </c>
      <c r="E1081" s="5" t="b">
        <f t="shared" si="1"/>
        <v>0</v>
      </c>
    </row>
    <row r="1082">
      <c r="A1082" s="50" t="s">
        <v>4755</v>
      </c>
      <c r="B1082" s="61">
        <v>99.0</v>
      </c>
      <c r="C1082" s="61">
        <v>98.0</v>
      </c>
      <c r="D1082" s="9">
        <f t="array" ref="D1082">xlookup(A1082,'données'!E$2:E$3608,'données'!K$2:K$3608)</f>
        <v>105.6</v>
      </c>
      <c r="E1082" s="5" t="b">
        <f t="shared" si="1"/>
        <v>0</v>
      </c>
    </row>
    <row r="1083">
      <c r="A1083" s="50" t="s">
        <v>1193</v>
      </c>
      <c r="B1083" s="61">
        <v>98.0</v>
      </c>
      <c r="C1083" s="61">
        <v>99.0</v>
      </c>
      <c r="D1083" s="9">
        <f t="array" ref="D1083">xlookup(A1083,'données'!E$2:E$3608,'données'!K$2:K$3608)</f>
        <v>110.6</v>
      </c>
      <c r="E1083" s="5" t="b">
        <f t="shared" si="1"/>
        <v>0</v>
      </c>
    </row>
    <row r="1084">
      <c r="A1084" s="50" t="s">
        <v>6270</v>
      </c>
      <c r="B1084" s="61">
        <v>100.0</v>
      </c>
      <c r="C1084" s="61">
        <v>100.0</v>
      </c>
      <c r="D1084" s="9">
        <f t="array" ref="D1084">xlookup(A1084,'données'!E$2:E$3608,'données'!K$2:K$3608)</f>
        <v>109.4</v>
      </c>
      <c r="E1084" s="5" t="b">
        <f t="shared" si="1"/>
        <v>0</v>
      </c>
    </row>
    <row r="1085">
      <c r="A1085" s="50" t="s">
        <v>6267</v>
      </c>
      <c r="B1085" s="61">
        <v>92.0</v>
      </c>
      <c r="C1085" s="61">
        <v>94.0</v>
      </c>
      <c r="D1085" s="9">
        <f t="array" ref="D1085">xlookup(A1085,'données'!E$2:E$3608,'données'!K$2:K$3608)</f>
        <v>97.2</v>
      </c>
      <c r="E1085" s="5" t="b">
        <f t="shared" si="1"/>
        <v>0</v>
      </c>
    </row>
    <row r="1086">
      <c r="A1086" s="50" t="s">
        <v>6265</v>
      </c>
      <c r="B1086" s="61">
        <v>96.0</v>
      </c>
      <c r="C1086" s="61">
        <v>96.0</v>
      </c>
      <c r="D1086" s="9">
        <f t="array" ref="D1086">xlookup(A1086,'données'!E$2:E$3608,'données'!K$2:K$3608)</f>
        <v>103</v>
      </c>
      <c r="E1086" s="5" t="b">
        <f t="shared" si="1"/>
        <v>0</v>
      </c>
    </row>
    <row r="1087">
      <c r="A1087" s="50" t="s">
        <v>6262</v>
      </c>
      <c r="B1087" s="61">
        <v>100.0</v>
      </c>
      <c r="C1087" s="50"/>
      <c r="D1087" s="9">
        <f t="array" ref="D1087">xlookup(A1087,'données'!E$2:E$3608,'données'!K$2:K$3608)</f>
        <v>120.1</v>
      </c>
      <c r="E1087" s="5" t="b">
        <f t="shared" si="1"/>
        <v>0</v>
      </c>
    </row>
    <row r="1088">
      <c r="A1088" s="50" t="s">
        <v>3065</v>
      </c>
      <c r="B1088" s="61">
        <v>99.0</v>
      </c>
      <c r="C1088" s="61">
        <v>99.0</v>
      </c>
      <c r="D1088" s="9">
        <f t="array" ref="D1088">xlookup(A1088,'données'!E$2:E$3608,'données'!K$2:K$3608)</f>
        <v>107.9</v>
      </c>
      <c r="E1088" s="5" t="b">
        <f t="shared" si="1"/>
        <v>0</v>
      </c>
    </row>
    <row r="1089">
      <c r="A1089" s="50" t="s">
        <v>3060</v>
      </c>
      <c r="B1089" s="61">
        <v>94.0</v>
      </c>
      <c r="C1089" s="61">
        <v>97.0</v>
      </c>
      <c r="D1089" s="9">
        <f t="array" ref="D1089">xlookup(A1089,'données'!E$2:E$3608,'données'!K$2:K$3608)</f>
        <v>105.9</v>
      </c>
      <c r="E1089" s="5" t="b">
        <f t="shared" si="1"/>
        <v>0</v>
      </c>
    </row>
    <row r="1090">
      <c r="A1090" s="50" t="s">
        <v>7661</v>
      </c>
      <c r="B1090" s="61">
        <v>100.0</v>
      </c>
      <c r="C1090" s="50"/>
      <c r="D1090" s="9">
        <f t="array" ref="D1090">xlookup(A1090,'données'!E$2:E$3608,'données'!K$2:K$3608)</f>
        <v>112.6</v>
      </c>
      <c r="E1090" s="5" t="b">
        <f t="shared" si="1"/>
        <v>0</v>
      </c>
    </row>
    <row r="1091">
      <c r="A1091" s="50" t="s">
        <v>6260</v>
      </c>
      <c r="B1091" s="61">
        <v>99.0</v>
      </c>
      <c r="C1091" s="61">
        <v>100.0</v>
      </c>
      <c r="D1091" s="9">
        <f t="array" ref="D1091">xlookup(A1091,'données'!E$2:E$3608,'données'!K$2:K$3608)</f>
        <v>109.9</v>
      </c>
      <c r="E1091" s="5" t="b">
        <f t="shared" si="1"/>
        <v>0</v>
      </c>
    </row>
    <row r="1092">
      <c r="A1092" s="50" t="s">
        <v>1189</v>
      </c>
      <c r="B1092" s="61">
        <v>100.0</v>
      </c>
      <c r="C1092" s="61">
        <v>100.0</v>
      </c>
      <c r="D1092" s="9">
        <f t="array" ref="D1092">xlookup(A1092,'données'!E$2:E$3608,'données'!K$2:K$3608)</f>
        <v>129.2</v>
      </c>
      <c r="E1092" s="5" t="b">
        <f t="shared" si="1"/>
        <v>0</v>
      </c>
    </row>
    <row r="1093">
      <c r="A1093" s="50" t="s">
        <v>3056</v>
      </c>
      <c r="B1093" s="61">
        <v>100.0</v>
      </c>
      <c r="C1093" s="61">
        <v>100.0</v>
      </c>
      <c r="D1093" s="9">
        <f t="array" ref="D1093">xlookup(A1093,'données'!E$2:E$3608,'données'!K$2:K$3608)</f>
        <v>123.1</v>
      </c>
      <c r="E1093" s="5" t="b">
        <f t="shared" si="1"/>
        <v>0</v>
      </c>
    </row>
    <row r="1094">
      <c r="A1094" s="50" t="s">
        <v>7659</v>
      </c>
      <c r="B1094" s="61">
        <v>100.0</v>
      </c>
      <c r="C1094" s="61">
        <v>100.0</v>
      </c>
      <c r="D1094" s="9">
        <f t="array" ref="D1094">xlookup(A1094,'données'!E$2:E$3608,'données'!K$2:K$3608)</f>
        <v>133.2</v>
      </c>
      <c r="E1094" s="5" t="b">
        <f t="shared" si="1"/>
        <v>0</v>
      </c>
    </row>
    <row r="1095">
      <c r="A1095" s="50" t="s">
        <v>1187</v>
      </c>
      <c r="B1095" s="61">
        <v>100.0</v>
      </c>
      <c r="C1095" s="61">
        <v>100.0</v>
      </c>
      <c r="D1095" s="9">
        <f t="array" ref="D1095">xlookup(A1095,'données'!E$2:E$3608,'données'!K$2:K$3608)</f>
        <v>116</v>
      </c>
      <c r="E1095" s="5" t="b">
        <f t="shared" si="1"/>
        <v>0</v>
      </c>
    </row>
    <row r="1096">
      <c r="A1096" s="50" t="s">
        <v>6252</v>
      </c>
      <c r="B1096" s="61">
        <v>100.0</v>
      </c>
      <c r="C1096" s="61">
        <v>100.0</v>
      </c>
      <c r="D1096" s="9">
        <f t="array" ref="D1096">xlookup(A1096,'données'!E$2:E$3608,'données'!K$2:K$3608)</f>
        <v>122.9</v>
      </c>
      <c r="E1096" s="5" t="b">
        <f t="shared" si="1"/>
        <v>0</v>
      </c>
    </row>
    <row r="1097">
      <c r="A1097" s="50" t="s">
        <v>3053</v>
      </c>
      <c r="B1097" s="61">
        <v>100.0</v>
      </c>
      <c r="C1097" s="61">
        <v>100.0</v>
      </c>
      <c r="D1097" s="9">
        <f t="array" ref="D1097">xlookup(A1097,'données'!E$2:E$3608,'données'!K$2:K$3608)</f>
        <v>125.7</v>
      </c>
      <c r="E1097" s="5" t="b">
        <f t="shared" si="1"/>
        <v>0</v>
      </c>
    </row>
    <row r="1098">
      <c r="A1098" s="50" t="s">
        <v>7657</v>
      </c>
      <c r="B1098" s="61">
        <v>100.0</v>
      </c>
      <c r="C1098" s="61">
        <v>100.0</v>
      </c>
      <c r="D1098" s="9">
        <f t="array" ref="D1098">xlookup(A1098,'données'!E$2:E$3608,'données'!K$2:K$3608)</f>
        <v>129</v>
      </c>
      <c r="E1098" s="5" t="b">
        <f t="shared" si="1"/>
        <v>0</v>
      </c>
    </row>
    <row r="1099">
      <c r="A1099" s="50" t="s">
        <v>3049</v>
      </c>
      <c r="B1099" s="61">
        <v>98.0</v>
      </c>
      <c r="C1099" s="61">
        <v>99.0</v>
      </c>
      <c r="D1099" s="9">
        <f t="array" ref="D1099">xlookup(A1099,'données'!E$2:E$3608,'données'!K$2:K$3608)</f>
        <v>105.4</v>
      </c>
      <c r="E1099" s="5" t="b">
        <f t="shared" si="1"/>
        <v>0</v>
      </c>
    </row>
    <row r="1100">
      <c r="A1100" s="50" t="s">
        <v>7653</v>
      </c>
      <c r="B1100" s="61">
        <v>98.0</v>
      </c>
      <c r="C1100" s="61">
        <v>97.0</v>
      </c>
      <c r="D1100" s="9">
        <f t="array" ref="D1100">xlookup(A1100,'données'!E$2:E$3608,'données'!K$2:K$3608)</f>
        <v>106.6</v>
      </c>
      <c r="E1100" s="5" t="b">
        <f t="shared" si="1"/>
        <v>0</v>
      </c>
    </row>
    <row r="1101">
      <c r="A1101" s="50" t="s">
        <v>1175</v>
      </c>
      <c r="B1101" s="61">
        <v>96.0</v>
      </c>
      <c r="C1101" s="61">
        <v>97.0</v>
      </c>
      <c r="D1101" s="9">
        <f t="array" ref="D1101">xlookup(A1101,'données'!E$2:E$3608,'données'!K$2:K$3608)</f>
        <v>106.1</v>
      </c>
      <c r="E1101" s="5" t="b">
        <f t="shared" si="1"/>
        <v>0</v>
      </c>
    </row>
    <row r="1102">
      <c r="A1102" s="50" t="s">
        <v>6245</v>
      </c>
      <c r="B1102" s="61">
        <v>97.0</v>
      </c>
      <c r="C1102" s="61">
        <v>97.0</v>
      </c>
      <c r="D1102" s="9">
        <f t="array" ref="D1102">xlookup(A1102,'données'!E$2:E$3608,'données'!K$2:K$3608)</f>
        <v>109.7</v>
      </c>
      <c r="E1102" s="5" t="b">
        <f t="shared" si="1"/>
        <v>0</v>
      </c>
    </row>
    <row r="1103">
      <c r="A1103" s="50" t="s">
        <v>4750</v>
      </c>
      <c r="B1103" s="61">
        <v>96.0</v>
      </c>
      <c r="C1103" s="61">
        <v>99.0</v>
      </c>
      <c r="D1103" s="9">
        <f t="array" ref="D1103">xlookup(A1103,'données'!E$2:E$3608,'données'!K$2:K$3608)</f>
        <v>109.2</v>
      </c>
      <c r="E1103" s="5" t="b">
        <f t="shared" si="1"/>
        <v>0</v>
      </c>
    </row>
    <row r="1104">
      <c r="A1104" s="50" t="s">
        <v>3031</v>
      </c>
      <c r="B1104" s="61">
        <v>93.0</v>
      </c>
      <c r="C1104" s="61">
        <v>97.0</v>
      </c>
      <c r="D1104" s="9">
        <f t="array" ref="D1104">xlookup(A1104,'données'!E$2:E$3608,'données'!K$2:K$3608)</f>
        <v>99.5</v>
      </c>
      <c r="E1104" s="5" t="b">
        <f t="shared" si="1"/>
        <v>0</v>
      </c>
    </row>
    <row r="1105">
      <c r="A1105" s="50" t="s">
        <v>6240</v>
      </c>
      <c r="B1105" s="61">
        <v>88.0</v>
      </c>
      <c r="C1105" s="61">
        <v>93.0</v>
      </c>
      <c r="D1105" s="9">
        <f t="array" ref="D1105">xlookup(A1105,'données'!E$2:E$3608,'données'!K$2:K$3608)</f>
        <v>82.4</v>
      </c>
      <c r="E1105" s="5" t="b">
        <f t="shared" si="1"/>
        <v>0</v>
      </c>
    </row>
    <row r="1106">
      <c r="A1106" s="50" t="s">
        <v>4749</v>
      </c>
      <c r="B1106" s="61">
        <v>94.0</v>
      </c>
      <c r="C1106" s="61">
        <v>96.0</v>
      </c>
      <c r="D1106" s="9">
        <f t="array" ref="D1106">xlookup(A1106,'données'!E$2:E$3608,'données'!K$2:K$3608)</f>
        <v>87.4</v>
      </c>
      <c r="E1106" s="5" t="b">
        <f t="shared" si="1"/>
        <v>0</v>
      </c>
    </row>
    <row r="1107">
      <c r="A1107" s="50" t="s">
        <v>1169</v>
      </c>
      <c r="B1107" s="61">
        <v>95.0</v>
      </c>
      <c r="C1107" s="61">
        <v>97.0</v>
      </c>
      <c r="D1107" s="9">
        <f t="array" ref="D1107">xlookup(A1107,'données'!E$2:E$3608,'données'!K$2:K$3608)</f>
        <v>92.8</v>
      </c>
      <c r="E1107" s="5" t="b">
        <f t="shared" si="1"/>
        <v>0</v>
      </c>
    </row>
    <row r="1108">
      <c r="A1108" s="50" t="s">
        <v>6238</v>
      </c>
      <c r="B1108" s="61">
        <v>92.0</v>
      </c>
      <c r="C1108" s="61">
        <v>97.0</v>
      </c>
      <c r="D1108" s="9">
        <f t="array" ref="D1108">xlookup(A1108,'données'!E$2:E$3608,'données'!K$2:K$3608)</f>
        <v>97.2</v>
      </c>
      <c r="E1108" s="5" t="b">
        <f t="shared" si="1"/>
        <v>0</v>
      </c>
    </row>
    <row r="1109">
      <c r="A1109" s="50" t="s">
        <v>3026</v>
      </c>
      <c r="B1109" s="61">
        <v>91.0</v>
      </c>
      <c r="C1109" s="61">
        <v>89.0</v>
      </c>
      <c r="D1109" s="9">
        <f t="array" ref="D1109">xlookup(A1109,'données'!E$2:E$3608,'données'!K$2:K$3608)</f>
        <v>100</v>
      </c>
      <c r="E1109" s="5" t="b">
        <f t="shared" si="1"/>
        <v>0</v>
      </c>
    </row>
    <row r="1110">
      <c r="A1110" s="50" t="s">
        <v>7650</v>
      </c>
      <c r="B1110" s="61">
        <v>94.0</v>
      </c>
      <c r="C1110" s="61">
        <v>97.0</v>
      </c>
      <c r="D1110" s="9">
        <f t="array" ref="D1110">xlookup(A1110,'données'!E$2:E$3608,'données'!K$2:K$3608)</f>
        <v>103.2</v>
      </c>
      <c r="E1110" s="5" t="b">
        <f t="shared" si="1"/>
        <v>0</v>
      </c>
    </row>
    <row r="1111">
      <c r="A1111" s="50" t="s">
        <v>3023</v>
      </c>
      <c r="B1111" s="61">
        <v>97.0</v>
      </c>
      <c r="C1111" s="61">
        <v>98.0</v>
      </c>
      <c r="D1111" s="9">
        <f t="array" ref="D1111">xlookup(A1111,'données'!E$2:E$3608,'données'!K$2:K$3608)</f>
        <v>104</v>
      </c>
      <c r="E1111" s="5" t="b">
        <f t="shared" si="1"/>
        <v>0</v>
      </c>
    </row>
    <row r="1112">
      <c r="A1112" s="50" t="s">
        <v>7647</v>
      </c>
      <c r="B1112" s="61">
        <v>95.0</v>
      </c>
      <c r="C1112" s="61">
        <v>95.0</v>
      </c>
      <c r="D1112" s="9">
        <f t="array" ref="D1112">xlookup(A1112,'données'!E$2:E$3608,'données'!K$2:K$3608)</f>
        <v>92.4</v>
      </c>
      <c r="E1112" s="5" t="b">
        <f t="shared" si="1"/>
        <v>0</v>
      </c>
    </row>
    <row r="1113">
      <c r="A1113" s="50" t="s">
        <v>7645</v>
      </c>
      <c r="B1113" s="61">
        <v>96.0</v>
      </c>
      <c r="C1113" s="61">
        <v>96.0</v>
      </c>
      <c r="D1113" s="9">
        <f t="array" ref="D1113">xlookup(A1113,'données'!E$2:E$3608,'données'!K$2:K$3608)</f>
        <v>95.7</v>
      </c>
      <c r="E1113" s="5" t="b">
        <f t="shared" si="1"/>
        <v>0</v>
      </c>
    </row>
    <row r="1114">
      <c r="A1114" s="50" t="s">
        <v>4747</v>
      </c>
      <c r="B1114" s="61">
        <v>98.0</v>
      </c>
      <c r="C1114" s="61">
        <v>99.0</v>
      </c>
      <c r="D1114" s="9">
        <f t="array" ref="D1114">xlookup(A1114,'données'!E$2:E$3608,'données'!K$2:K$3608)</f>
        <v>105.1</v>
      </c>
      <c r="E1114" s="5" t="b">
        <f t="shared" si="1"/>
        <v>0</v>
      </c>
    </row>
    <row r="1115">
      <c r="A1115" s="50" t="s">
        <v>6235</v>
      </c>
      <c r="B1115" s="61">
        <v>96.0</v>
      </c>
      <c r="C1115" s="61">
        <v>99.0</v>
      </c>
      <c r="D1115" s="9">
        <f t="array" ref="D1115">xlookup(A1115,'données'!E$2:E$3608,'données'!K$2:K$3608)</f>
        <v>105</v>
      </c>
      <c r="E1115" s="5" t="b">
        <f t="shared" si="1"/>
        <v>0</v>
      </c>
    </row>
    <row r="1116">
      <c r="A1116" s="50" t="s">
        <v>3020</v>
      </c>
      <c r="B1116" s="61">
        <v>99.0</v>
      </c>
      <c r="C1116" s="61">
        <v>99.0</v>
      </c>
      <c r="D1116" s="9">
        <f t="array" ref="D1116">xlookup(A1116,'données'!E$2:E$3608,'données'!K$2:K$3608)</f>
        <v>119.6</v>
      </c>
      <c r="E1116" s="5" t="b">
        <f t="shared" si="1"/>
        <v>0</v>
      </c>
    </row>
    <row r="1117">
      <c r="A1117" s="50" t="s">
        <v>3017</v>
      </c>
      <c r="B1117" s="61">
        <v>91.0</v>
      </c>
      <c r="C1117" s="61">
        <v>98.0</v>
      </c>
      <c r="D1117" s="9">
        <f t="array" ref="D1117">xlookup(A1117,'données'!E$2:E$3608,'données'!K$2:K$3608)</f>
        <v>85.5</v>
      </c>
      <c r="E1117" s="5" t="b">
        <f t="shared" si="1"/>
        <v>0</v>
      </c>
    </row>
    <row r="1118">
      <c r="A1118" s="50" t="s">
        <v>1166</v>
      </c>
      <c r="B1118" s="61">
        <v>91.0</v>
      </c>
      <c r="C1118" s="61">
        <v>94.0</v>
      </c>
      <c r="D1118" s="9">
        <f t="array" ref="D1118">xlookup(A1118,'données'!E$2:E$3608,'données'!K$2:K$3608)</f>
        <v>86.8</v>
      </c>
      <c r="E1118" s="5" t="b">
        <f t="shared" si="1"/>
        <v>0</v>
      </c>
    </row>
    <row r="1119">
      <c r="A1119" s="50" t="s">
        <v>4742</v>
      </c>
      <c r="B1119" s="61">
        <v>98.0</v>
      </c>
      <c r="C1119" s="61">
        <v>98.0</v>
      </c>
      <c r="D1119" s="9">
        <f t="array" ref="D1119">xlookup(A1119,'données'!E$2:E$3608,'données'!K$2:K$3608)</f>
        <v>120</v>
      </c>
      <c r="E1119" s="5" t="b">
        <f t="shared" si="1"/>
        <v>0</v>
      </c>
    </row>
    <row r="1120">
      <c r="A1120" s="50" t="s">
        <v>7642</v>
      </c>
      <c r="B1120" s="61">
        <v>98.0</v>
      </c>
      <c r="C1120" s="61">
        <v>99.0</v>
      </c>
      <c r="D1120" s="9">
        <f t="array" ref="D1120">xlookup(A1120,'données'!E$2:E$3608,'données'!K$2:K$3608)</f>
        <v>110</v>
      </c>
      <c r="E1120" s="5" t="b">
        <f t="shared" si="1"/>
        <v>0</v>
      </c>
    </row>
    <row r="1121">
      <c r="A1121" s="50" t="s">
        <v>6232</v>
      </c>
      <c r="B1121" s="61">
        <v>96.0</v>
      </c>
      <c r="C1121" s="61">
        <v>96.0</v>
      </c>
      <c r="D1121" s="9">
        <f t="array" ref="D1121">xlookup(A1121,'données'!E$2:E$3608,'données'!K$2:K$3608)</f>
        <v>103</v>
      </c>
      <c r="E1121" s="5" t="b">
        <f t="shared" si="1"/>
        <v>0</v>
      </c>
    </row>
    <row r="1122">
      <c r="A1122" s="50" t="s">
        <v>6229</v>
      </c>
      <c r="B1122" s="61">
        <v>100.0</v>
      </c>
      <c r="C1122" s="61">
        <v>100.0</v>
      </c>
      <c r="D1122" s="9">
        <f t="array" ref="D1122">xlookup(A1122,'données'!E$2:E$3608,'données'!K$2:K$3608)</f>
        <v>115.5</v>
      </c>
      <c r="E1122" s="5" t="b">
        <f t="shared" si="1"/>
        <v>0</v>
      </c>
    </row>
    <row r="1123">
      <c r="A1123" s="50" t="s">
        <v>1162</v>
      </c>
      <c r="B1123" s="61">
        <v>98.0</v>
      </c>
      <c r="C1123" s="61">
        <v>98.0</v>
      </c>
      <c r="D1123" s="9">
        <f t="array" ref="D1123">xlookup(A1123,'données'!E$2:E$3608,'données'!K$2:K$3608)</f>
        <v>113.3</v>
      </c>
      <c r="E1123" s="5" t="b">
        <f t="shared" si="1"/>
        <v>0</v>
      </c>
    </row>
    <row r="1124">
      <c r="A1124" s="50" t="s">
        <v>1160</v>
      </c>
      <c r="B1124" s="61">
        <v>100.0</v>
      </c>
      <c r="C1124" s="61">
        <v>100.0</v>
      </c>
      <c r="D1124" s="9">
        <f t="array" ref="D1124">xlookup(A1124,'données'!E$2:E$3608,'données'!K$2:K$3608)</f>
        <v>114.3</v>
      </c>
      <c r="E1124" s="5" t="b">
        <f t="shared" si="1"/>
        <v>0</v>
      </c>
    </row>
    <row r="1125">
      <c r="A1125" s="50" t="s">
        <v>7640</v>
      </c>
      <c r="B1125" s="61">
        <v>97.0</v>
      </c>
      <c r="C1125" s="61">
        <v>97.0</v>
      </c>
      <c r="D1125" s="9">
        <f t="array" ref="D1125">xlookup(A1125,'données'!E$2:E$3608,'données'!K$2:K$3608)</f>
        <v>119.1</v>
      </c>
      <c r="E1125" s="5" t="b">
        <f t="shared" si="1"/>
        <v>0</v>
      </c>
    </row>
    <row r="1126">
      <c r="A1126" s="50" t="s">
        <v>6226</v>
      </c>
      <c r="B1126" s="61">
        <v>97.0</v>
      </c>
      <c r="C1126" s="61">
        <v>97.0</v>
      </c>
      <c r="D1126" s="9">
        <f t="array" ref="D1126">xlookup(A1126,'données'!E$2:E$3608,'données'!K$2:K$3608)</f>
        <v>105.6</v>
      </c>
      <c r="E1126" s="5" t="b">
        <f t="shared" si="1"/>
        <v>0</v>
      </c>
    </row>
    <row r="1127">
      <c r="A1127" s="50" t="s">
        <v>7638</v>
      </c>
      <c r="B1127" s="61">
        <v>99.0</v>
      </c>
      <c r="C1127" s="61">
        <v>99.0</v>
      </c>
      <c r="D1127" s="9">
        <f t="array" ref="D1127">xlookup(A1127,'données'!E$2:E$3608,'données'!K$2:K$3608)</f>
        <v>99.7</v>
      </c>
      <c r="E1127" s="5" t="b">
        <f t="shared" si="1"/>
        <v>0</v>
      </c>
    </row>
    <row r="1128">
      <c r="A1128" s="50" t="s">
        <v>7636</v>
      </c>
      <c r="B1128" s="61">
        <v>98.0</v>
      </c>
      <c r="C1128" s="61">
        <v>98.0</v>
      </c>
      <c r="D1128" s="9">
        <f t="array" ref="D1128">xlookup(A1128,'données'!E$2:E$3608,'données'!K$2:K$3608)</f>
        <v>104.7</v>
      </c>
      <c r="E1128" s="5" t="b">
        <f t="shared" si="1"/>
        <v>0</v>
      </c>
    </row>
    <row r="1129">
      <c r="A1129" s="50" t="s">
        <v>1154</v>
      </c>
      <c r="B1129" s="61">
        <v>91.0</v>
      </c>
      <c r="C1129" s="61">
        <v>92.0</v>
      </c>
      <c r="D1129" s="9">
        <f t="array" ref="D1129">xlookup(A1129,'données'!E$2:E$3608,'données'!K$2:K$3608)</f>
        <v>107.2</v>
      </c>
      <c r="E1129" s="5" t="b">
        <f t="shared" si="1"/>
        <v>0</v>
      </c>
    </row>
    <row r="1130">
      <c r="A1130" s="50" t="s">
        <v>3010</v>
      </c>
      <c r="B1130" s="61">
        <v>99.0</v>
      </c>
      <c r="C1130" s="61">
        <v>99.0</v>
      </c>
      <c r="D1130" s="9">
        <f t="array" ref="D1130">xlookup(A1130,'données'!E$2:E$3608,'données'!K$2:K$3608)</f>
        <v>103.6</v>
      </c>
      <c r="E1130" s="5" t="b">
        <f t="shared" si="1"/>
        <v>0</v>
      </c>
    </row>
    <row r="1131">
      <c r="A1131" s="50" t="s">
        <v>7634</v>
      </c>
      <c r="B1131" s="61">
        <v>90.0</v>
      </c>
      <c r="C1131" s="61">
        <v>94.0</v>
      </c>
      <c r="D1131" s="9">
        <f t="array" ref="D1131">xlookup(A1131,'données'!E$2:E$3608,'données'!K$2:K$3608)</f>
        <v>107.1</v>
      </c>
      <c r="E1131" s="5" t="b">
        <f t="shared" si="1"/>
        <v>0</v>
      </c>
    </row>
    <row r="1132">
      <c r="A1132" s="50" t="s">
        <v>6221</v>
      </c>
      <c r="B1132" s="61">
        <v>97.0</v>
      </c>
      <c r="C1132" s="61">
        <v>96.0</v>
      </c>
      <c r="D1132" s="9">
        <f t="array" ref="D1132">xlookup(A1132,'données'!E$2:E$3608,'données'!K$2:K$3608)</f>
        <v>114.4</v>
      </c>
      <c r="E1132" s="5" t="b">
        <f t="shared" si="1"/>
        <v>0</v>
      </c>
    </row>
    <row r="1133">
      <c r="A1133" s="50" t="s">
        <v>1150</v>
      </c>
      <c r="B1133" s="61">
        <v>100.0</v>
      </c>
      <c r="C1133" s="61">
        <v>100.0</v>
      </c>
      <c r="D1133" s="9">
        <f t="array" ref="D1133">xlookup(A1133,'données'!E$2:E$3608,'données'!K$2:K$3608)</f>
        <v>137.7</v>
      </c>
      <c r="E1133" s="5" t="b">
        <f t="shared" si="1"/>
        <v>0</v>
      </c>
    </row>
    <row r="1134">
      <c r="A1134" s="50" t="s">
        <v>1148</v>
      </c>
      <c r="B1134" s="61">
        <v>100.0</v>
      </c>
      <c r="C1134" s="50"/>
      <c r="D1134" s="9">
        <f t="array" ref="D1134">xlookup(A1134,'données'!E$2:E$3608,'données'!K$2:K$3608)</f>
        <v>96.3</v>
      </c>
      <c r="E1134" s="5" t="b">
        <f t="shared" si="1"/>
        <v>0</v>
      </c>
    </row>
    <row r="1135">
      <c r="A1135" s="50" t="s">
        <v>6218</v>
      </c>
      <c r="B1135" s="61">
        <v>94.0</v>
      </c>
      <c r="C1135" s="61">
        <v>95.0</v>
      </c>
      <c r="D1135" s="9">
        <f t="array" ref="D1135">xlookup(A1135,'données'!E$2:E$3608,'données'!K$2:K$3608)</f>
        <v>103.5</v>
      </c>
      <c r="E1135" s="5" t="b">
        <f t="shared" si="1"/>
        <v>0</v>
      </c>
    </row>
    <row r="1136">
      <c r="A1136" s="50" t="s">
        <v>7627</v>
      </c>
      <c r="B1136" s="61">
        <v>95.0</v>
      </c>
      <c r="C1136" s="61">
        <v>96.0</v>
      </c>
      <c r="D1136" s="9">
        <f t="array" ref="D1136">xlookup(A1136,'données'!E$2:E$3608,'données'!K$2:K$3608)</f>
        <v>93.2</v>
      </c>
      <c r="E1136" s="5" t="b">
        <f t="shared" si="1"/>
        <v>0</v>
      </c>
    </row>
    <row r="1137">
      <c r="A1137" s="50" t="s">
        <v>3003</v>
      </c>
      <c r="B1137" s="61">
        <v>98.0</v>
      </c>
      <c r="C1137" s="61">
        <v>99.0</v>
      </c>
      <c r="D1137" s="9">
        <f t="array" ref="D1137">xlookup(A1137,'données'!E$2:E$3608,'données'!K$2:K$3608)</f>
        <v>112.2</v>
      </c>
      <c r="E1137" s="5" t="b">
        <f t="shared" si="1"/>
        <v>0</v>
      </c>
    </row>
    <row r="1138">
      <c r="A1138" s="50" t="s">
        <v>7624</v>
      </c>
      <c r="B1138" s="61">
        <v>98.0</v>
      </c>
      <c r="C1138" s="61">
        <v>98.0</v>
      </c>
      <c r="D1138" s="9">
        <f t="array" ref="D1138">xlookup(A1138,'données'!E$2:E$3608,'données'!K$2:K$3608)</f>
        <v>110.7</v>
      </c>
      <c r="E1138" s="5" t="b">
        <f t="shared" si="1"/>
        <v>0</v>
      </c>
    </row>
    <row r="1139">
      <c r="A1139" s="50" t="s">
        <v>3000</v>
      </c>
      <c r="B1139" s="61">
        <v>100.0</v>
      </c>
      <c r="C1139" s="61">
        <v>100.0</v>
      </c>
      <c r="D1139" s="9">
        <f t="array" ref="D1139">xlookup(A1139,'données'!E$2:E$3608,'données'!K$2:K$3608)</f>
        <v>114.5</v>
      </c>
      <c r="E1139" s="5" t="b">
        <f t="shared" si="1"/>
        <v>0</v>
      </c>
    </row>
    <row r="1140">
      <c r="A1140" s="50" t="s">
        <v>4739</v>
      </c>
      <c r="B1140" s="61">
        <v>97.0</v>
      </c>
      <c r="C1140" s="61">
        <v>98.0</v>
      </c>
      <c r="D1140" s="9">
        <f t="array" ref="D1140">xlookup(A1140,'données'!E$2:E$3608,'données'!K$2:K$3608)</f>
        <v>118.7</v>
      </c>
      <c r="E1140" s="5" t="b">
        <f t="shared" si="1"/>
        <v>0</v>
      </c>
    </row>
    <row r="1141">
      <c r="A1141" s="50" t="s">
        <v>2998</v>
      </c>
      <c r="B1141" s="61">
        <v>95.0</v>
      </c>
      <c r="C1141" s="61">
        <v>98.0</v>
      </c>
      <c r="D1141" s="9">
        <f t="array" ref="D1141">xlookup(A1141,'données'!E$2:E$3608,'données'!K$2:K$3608)</f>
        <v>107.2</v>
      </c>
      <c r="E1141" s="5" t="b">
        <f t="shared" si="1"/>
        <v>0</v>
      </c>
    </row>
    <row r="1142">
      <c r="A1142" s="50" t="s">
        <v>4737</v>
      </c>
      <c r="B1142" s="61">
        <v>97.0</v>
      </c>
      <c r="C1142" s="61">
        <v>98.0</v>
      </c>
      <c r="D1142" s="9">
        <f t="array" ref="D1142">xlookup(A1142,'données'!E$2:E$3608,'données'!K$2:K$3608)</f>
        <v>104.3</v>
      </c>
      <c r="E1142" s="5" t="b">
        <f t="shared" si="1"/>
        <v>0</v>
      </c>
    </row>
    <row r="1143">
      <c r="A1143" s="50" t="s">
        <v>2996</v>
      </c>
      <c r="B1143" s="61">
        <v>100.0</v>
      </c>
      <c r="C1143" s="61">
        <v>100.0</v>
      </c>
      <c r="D1143" s="9">
        <f t="array" ref="D1143">xlookup(A1143,'données'!E$2:E$3608,'données'!K$2:K$3608)</f>
        <v>136</v>
      </c>
      <c r="E1143" s="5" t="b">
        <f t="shared" si="1"/>
        <v>0</v>
      </c>
    </row>
    <row r="1144">
      <c r="A1144" s="50" t="s">
        <v>4729</v>
      </c>
      <c r="B1144" s="61">
        <v>100.0</v>
      </c>
      <c r="C1144" s="61">
        <v>100.0</v>
      </c>
      <c r="D1144" s="9">
        <f t="array" ref="D1144">xlookup(A1144,'données'!E$2:E$3608,'données'!K$2:K$3608)</f>
        <v>122.5</v>
      </c>
      <c r="E1144" s="5" t="b">
        <f t="shared" si="1"/>
        <v>0</v>
      </c>
    </row>
    <row r="1145">
      <c r="A1145" s="50" t="s">
        <v>2994</v>
      </c>
      <c r="B1145" s="61">
        <v>100.0</v>
      </c>
      <c r="C1145" s="61">
        <v>100.0</v>
      </c>
      <c r="D1145" s="9">
        <f t="array" ref="D1145">xlookup(A1145,'données'!E$2:E$3608,'données'!K$2:K$3608)</f>
        <v>123.9</v>
      </c>
      <c r="E1145" s="5" t="b">
        <f t="shared" si="1"/>
        <v>0</v>
      </c>
    </row>
    <row r="1146">
      <c r="A1146" s="50" t="s">
        <v>7622</v>
      </c>
      <c r="B1146" s="61">
        <v>99.0</v>
      </c>
      <c r="C1146" s="61">
        <v>99.0</v>
      </c>
      <c r="D1146" s="9">
        <f t="array" ref="D1146">xlookup(A1146,'données'!E$2:E$3608,'données'!K$2:K$3608)</f>
        <v>139.2</v>
      </c>
      <c r="E1146" s="5" t="b">
        <f t="shared" si="1"/>
        <v>0</v>
      </c>
    </row>
    <row r="1147">
      <c r="A1147" s="50" t="s">
        <v>4727</v>
      </c>
      <c r="B1147" s="61">
        <v>94.0</v>
      </c>
      <c r="C1147" s="61">
        <v>98.0</v>
      </c>
      <c r="D1147" s="9">
        <f t="array" ref="D1147">xlookup(A1147,'données'!E$2:E$3608,'données'!K$2:K$3608)</f>
        <v>102</v>
      </c>
      <c r="E1147" s="5" t="b">
        <f t="shared" si="1"/>
        <v>0</v>
      </c>
    </row>
    <row r="1148">
      <c r="A1148" s="50" t="s">
        <v>4725</v>
      </c>
      <c r="B1148" s="61">
        <v>85.0</v>
      </c>
      <c r="C1148" s="61">
        <v>90.0</v>
      </c>
      <c r="D1148" s="9">
        <f t="array" ref="D1148">xlookup(A1148,'données'!E$2:E$3608,'données'!K$2:K$3608)</f>
        <v>82.4</v>
      </c>
      <c r="E1148" s="5" t="b">
        <f t="shared" si="1"/>
        <v>0</v>
      </c>
    </row>
    <row r="1149">
      <c r="A1149" s="50" t="s">
        <v>7620</v>
      </c>
      <c r="B1149" s="61">
        <v>95.0</v>
      </c>
      <c r="C1149" s="61">
        <v>97.0</v>
      </c>
      <c r="D1149" s="9">
        <f t="array" ref="D1149">xlookup(A1149,'données'!E$2:E$3608,'données'!K$2:K$3608)</f>
        <v>104.5</v>
      </c>
      <c r="E1149" s="5" t="b">
        <f t="shared" si="1"/>
        <v>0</v>
      </c>
    </row>
    <row r="1150">
      <c r="A1150" s="50" t="s">
        <v>1137</v>
      </c>
      <c r="B1150" s="61">
        <v>97.0</v>
      </c>
      <c r="C1150" s="61">
        <v>98.0</v>
      </c>
      <c r="D1150" s="9">
        <f t="array" ref="D1150">xlookup(A1150,'données'!E$2:E$3608,'données'!K$2:K$3608)</f>
        <v>106.4</v>
      </c>
      <c r="E1150" s="5" t="b">
        <f t="shared" si="1"/>
        <v>0</v>
      </c>
    </row>
    <row r="1151">
      <c r="A1151" s="50" t="s">
        <v>1134</v>
      </c>
      <c r="B1151" s="61">
        <v>98.0</v>
      </c>
      <c r="C1151" s="61">
        <v>99.0</v>
      </c>
      <c r="D1151" s="9">
        <f t="array" ref="D1151">xlookup(A1151,'données'!E$2:E$3608,'données'!K$2:K$3608)</f>
        <v>120.8</v>
      </c>
      <c r="E1151" s="5" t="b">
        <f t="shared" si="1"/>
        <v>0</v>
      </c>
    </row>
    <row r="1152">
      <c r="A1152" s="50" t="s">
        <v>4720</v>
      </c>
      <c r="B1152" s="61">
        <v>97.0</v>
      </c>
      <c r="C1152" s="61">
        <v>99.0</v>
      </c>
      <c r="D1152" s="9">
        <f t="array" ref="D1152">xlookup(A1152,'données'!E$2:E$3608,'données'!K$2:K$3608)</f>
        <v>113.4</v>
      </c>
      <c r="E1152" s="5" t="b">
        <f t="shared" si="1"/>
        <v>0</v>
      </c>
    </row>
    <row r="1153">
      <c r="A1153" s="50" t="s">
        <v>1131</v>
      </c>
      <c r="B1153" s="61">
        <v>92.0</v>
      </c>
      <c r="C1153" s="61">
        <v>94.0</v>
      </c>
      <c r="D1153" s="9">
        <f t="array" ref="D1153">xlookup(A1153,'données'!E$2:E$3608,'données'!K$2:K$3608)</f>
        <v>129.2</v>
      </c>
      <c r="E1153" s="5" t="b">
        <f t="shared" si="1"/>
        <v>0</v>
      </c>
    </row>
    <row r="1154">
      <c r="A1154" s="50" t="s">
        <v>7618</v>
      </c>
      <c r="B1154" s="61">
        <v>96.0</v>
      </c>
      <c r="C1154" s="61">
        <v>97.0</v>
      </c>
      <c r="D1154" s="9">
        <f t="array" ref="D1154">xlookup(A1154,'données'!E$2:E$3608,'données'!K$2:K$3608)</f>
        <v>104.3</v>
      </c>
      <c r="E1154" s="5" t="b">
        <f t="shared" si="1"/>
        <v>0</v>
      </c>
    </row>
    <row r="1155">
      <c r="A1155" s="50" t="s">
        <v>1128</v>
      </c>
      <c r="B1155" s="61">
        <v>99.0</v>
      </c>
      <c r="C1155" s="61">
        <v>99.0</v>
      </c>
      <c r="D1155" s="9">
        <f t="array" ref="D1155">xlookup(A1155,'données'!E$2:E$3608,'données'!K$2:K$3608)</f>
        <v>114.2</v>
      </c>
      <c r="E1155" s="5" t="b">
        <f t="shared" si="1"/>
        <v>0</v>
      </c>
    </row>
    <row r="1156">
      <c r="A1156" s="50" t="s">
        <v>1124</v>
      </c>
      <c r="B1156" s="61">
        <v>94.0</v>
      </c>
      <c r="C1156" s="61">
        <v>98.0</v>
      </c>
      <c r="D1156" s="9">
        <f t="array" ref="D1156">xlookup(A1156,'données'!E$2:E$3608,'données'!K$2:K$3608)</f>
        <v>105.7</v>
      </c>
      <c r="E1156" s="5" t="b">
        <f t="shared" si="1"/>
        <v>0</v>
      </c>
    </row>
    <row r="1157">
      <c r="A1157" s="50" t="s">
        <v>7616</v>
      </c>
      <c r="B1157" s="61">
        <v>99.0</v>
      </c>
      <c r="C1157" s="61">
        <v>99.0</v>
      </c>
      <c r="D1157" s="9">
        <f t="array" ref="D1157">xlookup(A1157,'données'!E$2:E$3608,'données'!K$2:K$3608)</f>
        <v>132.8</v>
      </c>
      <c r="E1157" s="5" t="b">
        <f t="shared" si="1"/>
        <v>0</v>
      </c>
    </row>
    <row r="1158">
      <c r="A1158" s="50" t="s">
        <v>4716</v>
      </c>
      <c r="B1158" s="61">
        <v>100.0</v>
      </c>
      <c r="C1158" s="61">
        <v>100.0</v>
      </c>
      <c r="D1158" s="9">
        <f t="array" ref="D1158">xlookup(A1158,'données'!E$2:E$3608,'données'!K$2:K$3608)</f>
        <v>89.6</v>
      </c>
      <c r="E1158" s="5" t="b">
        <f t="shared" si="1"/>
        <v>0</v>
      </c>
    </row>
    <row r="1159">
      <c r="A1159" s="50" t="s">
        <v>4713</v>
      </c>
      <c r="B1159" s="61">
        <v>94.0</v>
      </c>
      <c r="C1159" s="61">
        <v>95.0</v>
      </c>
      <c r="D1159" s="9">
        <f t="array" ref="D1159">xlookup(A1159,'données'!E$2:E$3608,'données'!K$2:K$3608)</f>
        <v>84.1</v>
      </c>
      <c r="E1159" s="5" t="b">
        <f t="shared" si="1"/>
        <v>0</v>
      </c>
    </row>
    <row r="1160">
      <c r="A1160" s="50" t="s">
        <v>4711</v>
      </c>
      <c r="B1160" s="61">
        <v>100.0</v>
      </c>
      <c r="C1160" s="61">
        <v>100.0</v>
      </c>
      <c r="D1160" s="9">
        <f t="array" ref="D1160">xlookup(A1160,'données'!E$2:E$3608,'données'!K$2:K$3608)</f>
        <v>102</v>
      </c>
      <c r="E1160" s="5" t="b">
        <f t="shared" si="1"/>
        <v>0</v>
      </c>
    </row>
    <row r="1161">
      <c r="A1161" s="50" t="s">
        <v>1121</v>
      </c>
      <c r="B1161" s="61">
        <v>100.0</v>
      </c>
      <c r="C1161" s="61">
        <v>100.0</v>
      </c>
      <c r="D1161" s="9">
        <f t="array" ref="D1161">xlookup(A1161,'données'!E$2:E$3608,'données'!K$2:K$3608)</f>
        <v>129.5</v>
      </c>
      <c r="E1161" s="5" t="b">
        <f t="shared" si="1"/>
        <v>0</v>
      </c>
    </row>
    <row r="1162">
      <c r="A1162" s="50" t="s">
        <v>2977</v>
      </c>
      <c r="B1162" s="61">
        <v>100.0</v>
      </c>
      <c r="C1162" s="61">
        <v>100.0</v>
      </c>
      <c r="D1162" s="9">
        <f t="array" ref="D1162">xlookup(A1162,'données'!E$2:E$3608,'données'!K$2:K$3608)</f>
        <v>155.3</v>
      </c>
      <c r="E1162" s="5" t="b">
        <f t="shared" si="1"/>
        <v>0</v>
      </c>
    </row>
    <row r="1163">
      <c r="A1163" s="50" t="s">
        <v>6201</v>
      </c>
      <c r="B1163" s="61">
        <v>96.0</v>
      </c>
      <c r="C1163" s="61">
        <v>96.0</v>
      </c>
      <c r="D1163" s="9">
        <f t="array" ref="D1163">xlookup(A1163,'données'!E$2:E$3608,'données'!K$2:K$3608)</f>
        <v>103.4</v>
      </c>
      <c r="E1163" s="5" t="b">
        <f t="shared" si="1"/>
        <v>0</v>
      </c>
    </row>
    <row r="1164">
      <c r="A1164" s="50" t="s">
        <v>7614</v>
      </c>
      <c r="B1164" s="61">
        <v>83.0</v>
      </c>
      <c r="C1164" s="61">
        <v>87.0</v>
      </c>
      <c r="D1164" s="9">
        <f t="array" ref="D1164">xlookup(A1164,'données'!E$2:E$3608,'données'!K$2:K$3608)</f>
        <v>73.5</v>
      </c>
      <c r="E1164" s="5" t="b">
        <f t="shared" si="1"/>
        <v>0</v>
      </c>
    </row>
    <row r="1165">
      <c r="A1165" s="50" t="s">
        <v>1119</v>
      </c>
      <c r="B1165" s="61">
        <v>97.0</v>
      </c>
      <c r="C1165" s="61">
        <v>98.0</v>
      </c>
      <c r="D1165" s="9">
        <f t="array" ref="D1165">xlookup(A1165,'données'!E$2:E$3608,'données'!K$2:K$3608)</f>
        <v>103.6</v>
      </c>
      <c r="E1165" s="5" t="b">
        <f t="shared" si="1"/>
        <v>0</v>
      </c>
    </row>
    <row r="1166">
      <c r="A1166" s="50" t="s">
        <v>2973</v>
      </c>
      <c r="B1166" s="61">
        <v>98.0</v>
      </c>
      <c r="C1166" s="61">
        <v>99.0</v>
      </c>
      <c r="D1166" s="9">
        <f t="array" ref="D1166">xlookup(A1166,'données'!E$2:E$3608,'données'!K$2:K$3608)</f>
        <v>99.5</v>
      </c>
      <c r="E1166" s="5" t="b">
        <f t="shared" si="1"/>
        <v>0</v>
      </c>
    </row>
    <row r="1167">
      <c r="A1167" s="50" t="s">
        <v>2968</v>
      </c>
      <c r="B1167" s="61">
        <v>99.0</v>
      </c>
      <c r="C1167" s="61">
        <v>100.0</v>
      </c>
      <c r="D1167" s="9">
        <f t="array" ref="D1167">xlookup(A1167,'données'!E$2:E$3608,'données'!K$2:K$3608)</f>
        <v>101.9</v>
      </c>
      <c r="E1167" s="5" t="b">
        <f t="shared" si="1"/>
        <v>0</v>
      </c>
    </row>
    <row r="1168">
      <c r="A1168" s="50" t="s">
        <v>1114</v>
      </c>
      <c r="B1168" s="61">
        <v>98.0</v>
      </c>
      <c r="C1168" s="61">
        <v>100.0</v>
      </c>
      <c r="D1168" s="9">
        <f t="array" ref="D1168">xlookup(A1168,'données'!E$2:E$3608,'données'!K$2:K$3608)</f>
        <v>109.9</v>
      </c>
      <c r="E1168" s="5" t="b">
        <f t="shared" si="1"/>
        <v>0</v>
      </c>
    </row>
    <row r="1169">
      <c r="A1169" s="50" t="s">
        <v>1111</v>
      </c>
      <c r="B1169" s="61">
        <v>91.0</v>
      </c>
      <c r="C1169" s="61">
        <v>95.0</v>
      </c>
      <c r="D1169" s="9">
        <f t="array" ref="D1169">xlookup(A1169,'données'!E$2:E$3608,'données'!K$2:K$3608)</f>
        <v>93</v>
      </c>
      <c r="E1169" s="5" t="b">
        <f t="shared" si="1"/>
        <v>0</v>
      </c>
    </row>
    <row r="1170">
      <c r="A1170" s="50" t="s">
        <v>1108</v>
      </c>
      <c r="B1170" s="61">
        <v>96.0</v>
      </c>
      <c r="C1170" s="61">
        <v>96.0</v>
      </c>
      <c r="D1170" s="9">
        <f t="array" ref="D1170">xlookup(A1170,'données'!E$2:E$3608,'données'!K$2:K$3608)</f>
        <v>106.4</v>
      </c>
      <c r="E1170" s="5" t="b">
        <f t="shared" si="1"/>
        <v>0</v>
      </c>
    </row>
    <row r="1171">
      <c r="A1171" s="50" t="s">
        <v>2964</v>
      </c>
      <c r="B1171" s="61">
        <v>100.0</v>
      </c>
      <c r="C1171" s="50"/>
      <c r="D1171" s="9">
        <f t="array" ref="D1171">xlookup(A1171,'données'!E$2:E$3608,'données'!K$2:K$3608)</f>
        <v>130.1</v>
      </c>
      <c r="E1171" s="5" t="b">
        <f t="shared" si="1"/>
        <v>0</v>
      </c>
    </row>
    <row r="1172">
      <c r="A1172" s="50" t="s">
        <v>1106</v>
      </c>
      <c r="B1172" s="61">
        <v>98.0</v>
      </c>
      <c r="C1172" s="61">
        <v>100.0</v>
      </c>
      <c r="D1172" s="9">
        <f t="array" ref="D1172">xlookup(A1172,'données'!E$2:E$3608,'données'!K$2:K$3608)</f>
        <v>111.7</v>
      </c>
      <c r="E1172" s="5" t="b">
        <f t="shared" si="1"/>
        <v>0</v>
      </c>
    </row>
    <row r="1173">
      <c r="A1173" s="50" t="s">
        <v>2960</v>
      </c>
      <c r="B1173" s="61">
        <v>100.0</v>
      </c>
      <c r="C1173" s="61">
        <v>100.0</v>
      </c>
      <c r="D1173" s="9">
        <f t="array" ref="D1173">xlookup(A1173,'données'!E$2:E$3608,'données'!K$2:K$3608)</f>
        <v>148.8</v>
      </c>
      <c r="E1173" s="5" t="b">
        <f t="shared" si="1"/>
        <v>0</v>
      </c>
    </row>
    <row r="1174">
      <c r="A1174" s="50" t="s">
        <v>6194</v>
      </c>
      <c r="B1174" s="61">
        <v>100.0</v>
      </c>
      <c r="C1174" s="61">
        <v>100.0</v>
      </c>
      <c r="D1174" s="9">
        <f t="array" ref="D1174">xlookup(A1174,'données'!E$2:E$3608,'données'!K$2:K$3608)</f>
        <v>125.5</v>
      </c>
      <c r="E1174" s="5" t="b">
        <f t="shared" si="1"/>
        <v>0</v>
      </c>
    </row>
    <row r="1175">
      <c r="A1175" s="50" t="s">
        <v>4706</v>
      </c>
      <c r="B1175" s="61">
        <v>98.0</v>
      </c>
      <c r="C1175" s="61">
        <v>98.0</v>
      </c>
      <c r="D1175" s="9">
        <f t="array" ref="D1175">xlookup(A1175,'données'!E$2:E$3608,'données'!K$2:K$3608)</f>
        <v>117.7</v>
      </c>
      <c r="E1175" s="5" t="b">
        <f t="shared" si="1"/>
        <v>0</v>
      </c>
    </row>
    <row r="1176">
      <c r="A1176" s="50" t="s">
        <v>7606</v>
      </c>
      <c r="B1176" s="61">
        <v>99.0</v>
      </c>
      <c r="C1176" s="61">
        <v>99.0</v>
      </c>
      <c r="D1176" s="9">
        <f t="array" ref="D1176">xlookup(A1176,'données'!E$2:E$3608,'données'!K$2:K$3608)</f>
        <v>116.9</v>
      </c>
      <c r="E1176" s="5" t="b">
        <f t="shared" si="1"/>
        <v>0</v>
      </c>
    </row>
    <row r="1177">
      <c r="A1177" s="50" t="s">
        <v>1103</v>
      </c>
      <c r="B1177" s="61">
        <v>100.0</v>
      </c>
      <c r="C1177" s="61">
        <v>100.0</v>
      </c>
      <c r="D1177" s="9">
        <f t="array" ref="D1177">xlookup(A1177,'données'!E$2:E$3608,'données'!K$2:K$3608)</f>
        <v>125.7</v>
      </c>
      <c r="E1177" s="5" t="b">
        <f t="shared" si="1"/>
        <v>0</v>
      </c>
    </row>
    <row r="1178">
      <c r="A1178" s="50" t="s">
        <v>4704</v>
      </c>
      <c r="B1178" s="61">
        <v>98.0</v>
      </c>
      <c r="C1178" s="61">
        <v>99.0</v>
      </c>
      <c r="D1178" s="9">
        <f t="array" ref="D1178">xlookup(A1178,'données'!E$2:E$3608,'données'!K$2:K$3608)</f>
        <v>124.2</v>
      </c>
      <c r="E1178" s="5" t="b">
        <f t="shared" si="1"/>
        <v>0</v>
      </c>
    </row>
    <row r="1179">
      <c r="A1179" s="50" t="s">
        <v>4703</v>
      </c>
      <c r="B1179" s="61">
        <v>100.0</v>
      </c>
      <c r="C1179" s="61">
        <v>100.0</v>
      </c>
      <c r="D1179" s="9">
        <f t="array" ref="D1179">xlookup(A1179,'données'!E$2:E$3608,'données'!K$2:K$3608)</f>
        <v>149</v>
      </c>
      <c r="E1179" s="5" t="b">
        <f t="shared" si="1"/>
        <v>0</v>
      </c>
    </row>
    <row r="1180">
      <c r="A1180" s="50" t="s">
        <v>6192</v>
      </c>
      <c r="B1180" s="61">
        <v>100.0</v>
      </c>
      <c r="C1180" s="61">
        <v>100.0</v>
      </c>
      <c r="D1180" s="9">
        <f t="array" ref="D1180">xlookup(A1180,'données'!E$2:E$3608,'données'!K$2:K$3608)</f>
        <v>128.8</v>
      </c>
      <c r="E1180" s="5" t="b">
        <f t="shared" si="1"/>
        <v>0</v>
      </c>
    </row>
    <row r="1181">
      <c r="A1181" s="50" t="s">
        <v>2958</v>
      </c>
      <c r="B1181" s="61">
        <v>100.0</v>
      </c>
      <c r="C1181" s="61">
        <v>100.0</v>
      </c>
      <c r="D1181" s="9">
        <f t="array" ref="D1181">xlookup(A1181,'données'!E$2:E$3608,'données'!K$2:K$3608)</f>
        <v>136.5</v>
      </c>
      <c r="E1181" s="5" t="b">
        <f t="shared" si="1"/>
        <v>0</v>
      </c>
    </row>
    <row r="1182">
      <c r="A1182" s="50" t="s">
        <v>2956</v>
      </c>
      <c r="B1182" s="61">
        <v>100.0</v>
      </c>
      <c r="C1182" s="61">
        <v>100.0</v>
      </c>
      <c r="D1182" s="9">
        <f t="array" ref="D1182">xlookup(A1182,'données'!E$2:E$3608,'données'!K$2:K$3608)</f>
        <v>126.9</v>
      </c>
      <c r="E1182" s="5" t="b">
        <f t="shared" si="1"/>
        <v>0</v>
      </c>
    </row>
    <row r="1183">
      <c r="A1183" s="50" t="s">
        <v>2954</v>
      </c>
      <c r="B1183" s="61">
        <v>100.0</v>
      </c>
      <c r="C1183" s="61">
        <v>100.0</v>
      </c>
      <c r="D1183" s="9">
        <f t="array" ref="D1183">xlookup(A1183,'données'!E$2:E$3608,'données'!K$2:K$3608)</f>
        <v>100.3</v>
      </c>
      <c r="E1183" s="5" t="b">
        <f t="shared" si="1"/>
        <v>0</v>
      </c>
    </row>
    <row r="1184">
      <c r="A1184" s="50" t="s">
        <v>4701</v>
      </c>
      <c r="B1184" s="61">
        <v>100.0</v>
      </c>
      <c r="C1184" s="61">
        <v>100.0</v>
      </c>
      <c r="D1184" s="9">
        <f t="array" ref="D1184">xlookup(A1184,'données'!E$2:E$3608,'données'!K$2:K$3608)</f>
        <v>121.3</v>
      </c>
      <c r="E1184" s="5" t="b">
        <f t="shared" si="1"/>
        <v>0</v>
      </c>
    </row>
    <row r="1185">
      <c r="A1185" s="50" t="s">
        <v>4699</v>
      </c>
      <c r="B1185" s="61">
        <v>95.0</v>
      </c>
      <c r="C1185" s="50"/>
      <c r="D1185" s="9">
        <f t="array" ref="D1185">xlookup(A1185,'données'!E$2:E$3608,'données'!K$2:K$3608)</f>
        <v>103.4</v>
      </c>
      <c r="E1185" s="5" t="b">
        <f t="shared" si="1"/>
        <v>0</v>
      </c>
    </row>
    <row r="1186">
      <c r="A1186" s="50" t="s">
        <v>2953</v>
      </c>
      <c r="B1186" s="61">
        <v>98.0</v>
      </c>
      <c r="C1186" s="50"/>
      <c r="D1186" s="9">
        <f t="array" ref="D1186">xlookup(A1186,'données'!E$2:E$3608,'données'!K$2:K$3608)</f>
        <v>107.9</v>
      </c>
      <c r="E1186" s="5" t="b">
        <f t="shared" si="1"/>
        <v>0</v>
      </c>
    </row>
    <row r="1187">
      <c r="A1187" s="50" t="s">
        <v>2951</v>
      </c>
      <c r="B1187" s="61">
        <v>98.0</v>
      </c>
      <c r="C1187" s="50"/>
      <c r="D1187" s="9">
        <f t="array" ref="D1187">xlookup(A1187,'données'!E$2:E$3608,'données'!K$2:K$3608)</f>
        <v>101</v>
      </c>
      <c r="E1187" s="5" t="b">
        <f t="shared" si="1"/>
        <v>0</v>
      </c>
    </row>
    <row r="1188">
      <c r="A1188" s="50" t="s">
        <v>6185</v>
      </c>
      <c r="B1188" s="61">
        <v>99.0</v>
      </c>
      <c r="C1188" s="61">
        <v>100.0</v>
      </c>
      <c r="D1188" s="9">
        <f t="array" ref="D1188">xlookup(A1188,'données'!E$2:E$3608,'données'!K$2:K$3608)</f>
        <v>120.6</v>
      </c>
      <c r="E1188" s="5" t="b">
        <f t="shared" si="1"/>
        <v>0</v>
      </c>
    </row>
    <row r="1189">
      <c r="A1189" s="50" t="s">
        <v>6183</v>
      </c>
      <c r="B1189" s="61">
        <v>97.0</v>
      </c>
      <c r="C1189" s="50"/>
      <c r="D1189" s="9">
        <f t="array" ref="D1189">xlookup(A1189,'données'!E$2:E$3608,'données'!K$2:K$3608)</f>
        <v>98.2</v>
      </c>
      <c r="E1189" s="5" t="b">
        <f t="shared" si="1"/>
        <v>0</v>
      </c>
    </row>
    <row r="1190">
      <c r="A1190" s="50" t="s">
        <v>1100</v>
      </c>
      <c r="B1190" s="61">
        <v>98.0</v>
      </c>
      <c r="C1190" s="61">
        <v>98.0</v>
      </c>
      <c r="D1190" s="9">
        <f t="array" ref="D1190">xlookup(A1190,'données'!E$2:E$3608,'données'!K$2:K$3608)</f>
        <v>129.2</v>
      </c>
      <c r="E1190" s="5" t="b">
        <f t="shared" si="1"/>
        <v>0</v>
      </c>
    </row>
    <row r="1191">
      <c r="A1191" s="50" t="s">
        <v>7602</v>
      </c>
      <c r="B1191" s="61">
        <v>94.0</v>
      </c>
      <c r="C1191" s="50"/>
      <c r="D1191" s="9">
        <f t="array" ref="D1191">xlookup(A1191,'données'!E$2:E$3608,'données'!K$2:K$3608)</f>
        <v>99.4</v>
      </c>
      <c r="E1191" s="5" t="b">
        <f t="shared" si="1"/>
        <v>0</v>
      </c>
    </row>
    <row r="1192">
      <c r="A1192" s="50" t="s">
        <v>2945</v>
      </c>
      <c r="B1192" s="61">
        <v>100.0</v>
      </c>
      <c r="C1192" s="61">
        <v>100.0</v>
      </c>
      <c r="D1192" s="9">
        <f t="array" ref="D1192">xlookup(A1192,'données'!E$2:E$3608,'données'!K$2:K$3608)</f>
        <v>133</v>
      </c>
      <c r="E1192" s="5" t="b">
        <f t="shared" si="1"/>
        <v>0</v>
      </c>
    </row>
    <row r="1193">
      <c r="A1193" s="50" t="s">
        <v>7598</v>
      </c>
      <c r="B1193" s="61">
        <v>97.0</v>
      </c>
      <c r="C1193" s="50"/>
      <c r="D1193" s="9">
        <f t="array" ref="D1193">xlookup(A1193,'données'!E$2:E$3608,'données'!K$2:K$3608)</f>
        <v>107.7</v>
      </c>
      <c r="E1193" s="5" t="b">
        <f t="shared" si="1"/>
        <v>0</v>
      </c>
    </row>
    <row r="1194">
      <c r="A1194" s="50" t="s">
        <v>4695</v>
      </c>
      <c r="B1194" s="61">
        <v>97.0</v>
      </c>
      <c r="C1194" s="50"/>
      <c r="D1194" s="9">
        <f t="array" ref="D1194">xlookup(A1194,'données'!E$2:E$3608,'données'!K$2:K$3608)</f>
        <v>94.4</v>
      </c>
      <c r="E1194" s="5" t="b">
        <f t="shared" si="1"/>
        <v>0</v>
      </c>
    </row>
    <row r="1195">
      <c r="A1195" s="50" t="s">
        <v>2942</v>
      </c>
      <c r="B1195" s="61">
        <v>100.0</v>
      </c>
      <c r="C1195" s="50"/>
      <c r="D1195" s="9">
        <f t="array" ref="D1195">xlookup(A1195,'données'!E$2:E$3608,'données'!K$2:K$3608)</f>
        <v>94.9</v>
      </c>
      <c r="E1195" s="5" t="b">
        <f t="shared" si="1"/>
        <v>0</v>
      </c>
    </row>
    <row r="1196">
      <c r="A1196" s="50" t="s">
        <v>4693</v>
      </c>
      <c r="B1196" s="61">
        <v>100.0</v>
      </c>
      <c r="C1196" s="50"/>
      <c r="D1196" s="9">
        <f t="array" ref="D1196">xlookup(A1196,'données'!E$2:E$3608,'données'!K$2:K$3608)</f>
        <v>103.6</v>
      </c>
      <c r="E1196" s="5" t="b">
        <f t="shared" si="1"/>
        <v>0</v>
      </c>
    </row>
    <row r="1197">
      <c r="A1197" s="50" t="s">
        <v>4691</v>
      </c>
      <c r="B1197" s="61">
        <v>96.0</v>
      </c>
      <c r="C1197" s="50"/>
      <c r="D1197" s="9">
        <f t="array" ref="D1197">xlookup(A1197,'données'!E$2:E$3608,'données'!K$2:K$3608)</f>
        <v>93.9</v>
      </c>
      <c r="E1197" s="5" t="b">
        <f t="shared" si="1"/>
        <v>0</v>
      </c>
    </row>
    <row r="1198">
      <c r="A1198" s="50" t="s">
        <v>2940</v>
      </c>
      <c r="B1198" s="61">
        <v>96.0</v>
      </c>
      <c r="C1198" s="50"/>
      <c r="D1198" s="9">
        <f t="array" ref="D1198">xlookup(A1198,'données'!E$2:E$3608,'données'!K$2:K$3608)</f>
        <v>98.9</v>
      </c>
      <c r="E1198" s="5" t="b">
        <f t="shared" si="1"/>
        <v>0</v>
      </c>
    </row>
    <row r="1199">
      <c r="A1199" s="50" t="s">
        <v>1093</v>
      </c>
      <c r="B1199" s="61">
        <v>99.0</v>
      </c>
      <c r="C1199" s="61">
        <v>99.0</v>
      </c>
      <c r="D1199" s="9">
        <f t="array" ref="D1199">xlookup(A1199,'données'!E$2:E$3608,'données'!K$2:K$3608)</f>
        <v>106.2</v>
      </c>
      <c r="E1199" s="5" t="b">
        <f t="shared" si="1"/>
        <v>0</v>
      </c>
    </row>
    <row r="1200">
      <c r="A1200" s="50" t="s">
        <v>6182</v>
      </c>
      <c r="B1200" s="61">
        <v>91.0</v>
      </c>
      <c r="C1200" s="50"/>
      <c r="D1200" s="9">
        <f t="array" ref="D1200">xlookup(A1200,'données'!E$2:E$3608,'données'!K$2:K$3608)</f>
        <v>79.6</v>
      </c>
      <c r="E1200" s="5" t="b">
        <f t="shared" si="1"/>
        <v>0</v>
      </c>
    </row>
    <row r="1201">
      <c r="A1201" s="50" t="s">
        <v>6180</v>
      </c>
      <c r="B1201" s="61">
        <v>100.0</v>
      </c>
      <c r="C1201" s="61">
        <v>100.0</v>
      </c>
      <c r="D1201" s="9">
        <f t="array" ref="D1201">xlookup(A1201,'données'!E$2:E$3608,'données'!K$2:K$3608)</f>
        <v>142.1</v>
      </c>
      <c r="E1201" s="5" t="b">
        <f t="shared" si="1"/>
        <v>0</v>
      </c>
    </row>
    <row r="1202">
      <c r="A1202" s="50" t="s">
        <v>1091</v>
      </c>
      <c r="B1202" s="61">
        <v>99.0</v>
      </c>
      <c r="C1202" s="61">
        <v>99.0</v>
      </c>
      <c r="D1202" s="9">
        <f t="array" ref="D1202">xlookup(A1202,'données'!E$2:E$3608,'données'!K$2:K$3608)</f>
        <v>128.9</v>
      </c>
      <c r="E1202" s="5" t="b">
        <f t="shared" si="1"/>
        <v>0</v>
      </c>
    </row>
    <row r="1203">
      <c r="A1203" s="50" t="s">
        <v>6177</v>
      </c>
      <c r="B1203" s="61">
        <v>99.0</v>
      </c>
      <c r="C1203" s="61">
        <v>99.0</v>
      </c>
      <c r="D1203" s="9">
        <f t="array" ref="D1203">xlookup(A1203,'données'!E$2:E$3608,'données'!K$2:K$3608)</f>
        <v>141.7</v>
      </c>
      <c r="E1203" s="5" t="b">
        <f t="shared" si="1"/>
        <v>0</v>
      </c>
    </row>
    <row r="1204">
      <c r="A1204" s="50" t="s">
        <v>1088</v>
      </c>
      <c r="B1204" s="61">
        <v>100.0</v>
      </c>
      <c r="C1204" s="61">
        <v>100.0</v>
      </c>
      <c r="D1204" s="9">
        <f t="array" ref="D1204">xlookup(A1204,'données'!E$2:E$3608,'données'!K$2:K$3608)</f>
        <v>140.4</v>
      </c>
      <c r="E1204" s="5" t="b">
        <f t="shared" si="1"/>
        <v>0</v>
      </c>
    </row>
    <row r="1205">
      <c r="A1205" s="50" t="s">
        <v>7595</v>
      </c>
      <c r="B1205" s="61">
        <v>100.0</v>
      </c>
      <c r="C1205" s="61">
        <v>100.0</v>
      </c>
      <c r="D1205" s="9">
        <f t="array" ref="D1205">xlookup(A1205,'données'!E$2:E$3608,'données'!K$2:K$3608)</f>
        <v>109.9</v>
      </c>
      <c r="E1205" s="5" t="b">
        <f t="shared" si="1"/>
        <v>0</v>
      </c>
    </row>
    <row r="1206">
      <c r="A1206" s="50" t="s">
        <v>2937</v>
      </c>
      <c r="B1206" s="61">
        <v>94.0</v>
      </c>
      <c r="C1206" s="61">
        <v>95.0</v>
      </c>
      <c r="D1206" s="9">
        <f t="array" ref="D1206">xlookup(A1206,'données'!E$2:E$3608,'données'!K$2:K$3608)</f>
        <v>92.4</v>
      </c>
      <c r="E1206" s="5" t="b">
        <f t="shared" si="1"/>
        <v>0</v>
      </c>
    </row>
    <row r="1207">
      <c r="A1207" s="50" t="s">
        <v>7593</v>
      </c>
      <c r="B1207" s="61">
        <v>100.0</v>
      </c>
      <c r="C1207" s="61">
        <v>100.0</v>
      </c>
      <c r="D1207" s="9">
        <f t="array" ref="D1207">xlookup(A1207,'données'!E$2:E$3608,'données'!K$2:K$3608)</f>
        <v>133.2</v>
      </c>
      <c r="E1207" s="5" t="b">
        <f t="shared" si="1"/>
        <v>0</v>
      </c>
    </row>
    <row r="1208">
      <c r="A1208" s="50" t="s">
        <v>1086</v>
      </c>
      <c r="B1208" s="61">
        <v>100.0</v>
      </c>
      <c r="C1208" s="61">
        <v>100.0</v>
      </c>
      <c r="D1208" s="9">
        <f t="array" ref="D1208">xlookup(A1208,'données'!E$2:E$3608,'données'!K$2:K$3608)</f>
        <v>144.5</v>
      </c>
      <c r="E1208" s="5" t="b">
        <f t="shared" si="1"/>
        <v>0</v>
      </c>
    </row>
    <row r="1209">
      <c r="A1209" s="50" t="s">
        <v>7591</v>
      </c>
      <c r="B1209" s="61">
        <v>99.0</v>
      </c>
      <c r="C1209" s="61">
        <v>99.0</v>
      </c>
      <c r="D1209" s="9">
        <f t="array" ref="D1209">xlookup(A1209,'données'!E$2:E$3608,'données'!K$2:K$3608)</f>
        <v>103.6</v>
      </c>
      <c r="E1209" s="5" t="b">
        <f t="shared" si="1"/>
        <v>0</v>
      </c>
    </row>
    <row r="1210">
      <c r="A1210" s="50" t="s">
        <v>1084</v>
      </c>
      <c r="B1210" s="61">
        <v>99.0</v>
      </c>
      <c r="C1210" s="61">
        <v>99.0</v>
      </c>
      <c r="D1210" s="9">
        <f t="array" ref="D1210">xlookup(A1210,'données'!E$2:E$3608,'données'!K$2:K$3608)</f>
        <v>107.4</v>
      </c>
      <c r="E1210" s="5" t="b">
        <f t="shared" si="1"/>
        <v>0</v>
      </c>
    </row>
    <row r="1211">
      <c r="A1211" s="50" t="s">
        <v>1082</v>
      </c>
      <c r="B1211" s="61">
        <v>100.0</v>
      </c>
      <c r="C1211" s="61">
        <v>100.0</v>
      </c>
      <c r="D1211" s="9">
        <f t="array" ref="D1211">xlookup(A1211,'données'!E$2:E$3608,'données'!K$2:K$3608)</f>
        <v>129</v>
      </c>
      <c r="E1211" s="5" t="b">
        <f t="shared" si="1"/>
        <v>0</v>
      </c>
    </row>
    <row r="1212">
      <c r="A1212" s="50" t="s">
        <v>7586</v>
      </c>
      <c r="B1212" s="61">
        <v>95.0</v>
      </c>
      <c r="C1212" s="61">
        <v>94.0</v>
      </c>
      <c r="D1212" s="9">
        <f t="array" ref="D1212">xlookup(A1212,'données'!E$2:E$3608,'données'!K$2:K$3608)</f>
        <v>88.5</v>
      </c>
      <c r="E1212" s="5" t="b">
        <f t="shared" si="1"/>
        <v>0</v>
      </c>
    </row>
    <row r="1213">
      <c r="A1213" s="50" t="s">
        <v>6171</v>
      </c>
      <c r="B1213" s="61">
        <v>78.0</v>
      </c>
      <c r="C1213" s="61">
        <v>80.0</v>
      </c>
      <c r="D1213" s="9">
        <f t="array" ref="D1213">xlookup(A1213,'données'!E$2:E$3608,'données'!K$2:K$3608)</f>
        <v>83.8</v>
      </c>
      <c r="E1213" s="5" t="b">
        <f t="shared" si="1"/>
        <v>0</v>
      </c>
    </row>
    <row r="1214">
      <c r="A1214" s="50" t="s">
        <v>2928</v>
      </c>
      <c r="B1214" s="61">
        <v>90.0</v>
      </c>
      <c r="C1214" s="61">
        <v>88.0</v>
      </c>
      <c r="D1214" s="9">
        <f t="array" ref="D1214">xlookup(A1214,'données'!E$2:E$3608,'données'!K$2:K$3608)</f>
        <v>95.6</v>
      </c>
      <c r="E1214" s="5" t="b">
        <f t="shared" si="1"/>
        <v>0</v>
      </c>
    </row>
    <row r="1215">
      <c r="A1215" s="50" t="s">
        <v>2926</v>
      </c>
      <c r="B1215" s="61">
        <v>96.0</v>
      </c>
      <c r="C1215" s="61">
        <v>96.0</v>
      </c>
      <c r="D1215" s="9">
        <f t="array" ref="D1215">xlookup(A1215,'données'!E$2:E$3608,'données'!K$2:K$3608)</f>
        <v>116.1</v>
      </c>
      <c r="E1215" s="5" t="b">
        <f t="shared" si="1"/>
        <v>0</v>
      </c>
    </row>
    <row r="1216">
      <c r="A1216" s="50" t="s">
        <v>1070</v>
      </c>
      <c r="B1216" s="61">
        <v>94.0</v>
      </c>
      <c r="C1216" s="61">
        <v>94.0</v>
      </c>
      <c r="D1216" s="9">
        <f t="array" ref="D1216">xlookup(A1216,'données'!E$2:E$3608,'données'!K$2:K$3608)</f>
        <v>104.9</v>
      </c>
      <c r="E1216" s="5" t="b">
        <f t="shared" si="1"/>
        <v>0</v>
      </c>
    </row>
    <row r="1217">
      <c r="A1217" s="50" t="s">
        <v>4676</v>
      </c>
      <c r="B1217" s="61">
        <v>92.0</v>
      </c>
      <c r="C1217" s="61">
        <v>94.0</v>
      </c>
      <c r="D1217" s="9">
        <f t="array" ref="D1217">xlookup(A1217,'données'!E$2:E$3608,'données'!K$2:K$3608)</f>
        <v>94</v>
      </c>
      <c r="E1217" s="5" t="b">
        <f t="shared" si="1"/>
        <v>0</v>
      </c>
    </row>
    <row r="1218">
      <c r="A1218" s="50" t="s">
        <v>1065</v>
      </c>
      <c r="B1218" s="61">
        <v>94.0</v>
      </c>
      <c r="C1218" s="61">
        <v>94.0</v>
      </c>
      <c r="D1218" s="9">
        <f t="array" ref="D1218">xlookup(A1218,'données'!E$2:E$3608,'données'!K$2:K$3608)</f>
        <v>98.3</v>
      </c>
      <c r="E1218" s="5" t="b">
        <f t="shared" si="1"/>
        <v>0</v>
      </c>
    </row>
    <row r="1219">
      <c r="A1219" s="50" t="s">
        <v>7580</v>
      </c>
      <c r="B1219" s="61">
        <v>96.0</v>
      </c>
      <c r="C1219" s="61">
        <v>97.0</v>
      </c>
      <c r="D1219" s="9">
        <f t="array" ref="D1219">xlookup(A1219,'données'!E$2:E$3608,'données'!K$2:K$3608)</f>
        <v>101.4</v>
      </c>
      <c r="E1219" s="5" t="b">
        <f t="shared" si="1"/>
        <v>0</v>
      </c>
    </row>
    <row r="1220">
      <c r="A1220" s="50" t="s">
        <v>1062</v>
      </c>
      <c r="B1220" s="61">
        <v>96.0</v>
      </c>
      <c r="C1220" s="61">
        <v>97.0</v>
      </c>
      <c r="D1220" s="9">
        <f t="array" ref="D1220">xlookup(A1220,'données'!E$2:E$3608,'données'!K$2:K$3608)</f>
        <v>111.2</v>
      </c>
      <c r="E1220" s="5" t="b">
        <f t="shared" si="1"/>
        <v>0</v>
      </c>
    </row>
    <row r="1221">
      <c r="A1221" s="50" t="s">
        <v>4672</v>
      </c>
      <c r="B1221" s="61">
        <v>82.0</v>
      </c>
      <c r="C1221" s="61">
        <v>97.0</v>
      </c>
      <c r="D1221" s="9">
        <f t="array" ref="D1221">xlookup(A1221,'données'!E$2:E$3608,'données'!K$2:K$3608)</f>
        <v>67.1</v>
      </c>
      <c r="E1221" s="5" t="b">
        <f t="shared" si="1"/>
        <v>0</v>
      </c>
    </row>
    <row r="1222">
      <c r="A1222" s="50" t="s">
        <v>4670</v>
      </c>
      <c r="B1222" s="61">
        <v>85.0</v>
      </c>
      <c r="C1222" s="61">
        <v>85.0</v>
      </c>
      <c r="D1222" s="9">
        <f t="array" ref="D1222">xlookup(A1222,'données'!E$2:E$3608,'données'!K$2:K$3608)</f>
        <v>89.6</v>
      </c>
      <c r="E1222" s="5" t="b">
        <f t="shared" si="1"/>
        <v>0</v>
      </c>
    </row>
    <row r="1223">
      <c r="A1223" s="50" t="s">
        <v>7578</v>
      </c>
      <c r="B1223" s="61">
        <v>91.0</v>
      </c>
      <c r="C1223" s="61">
        <v>91.0</v>
      </c>
      <c r="D1223" s="9">
        <f t="array" ref="D1223">xlookup(A1223,'données'!E$2:E$3608,'données'!K$2:K$3608)</f>
        <v>88.2</v>
      </c>
      <c r="E1223" s="5" t="b">
        <f t="shared" si="1"/>
        <v>0</v>
      </c>
    </row>
    <row r="1224">
      <c r="A1224" s="50" t="s">
        <v>1054</v>
      </c>
      <c r="B1224" s="61">
        <v>98.0</v>
      </c>
      <c r="C1224" s="61">
        <v>99.0</v>
      </c>
      <c r="D1224" s="9">
        <f t="array" ref="D1224">xlookup(A1224,'données'!E$2:E$3608,'données'!K$2:K$3608)</f>
        <v>118.7</v>
      </c>
      <c r="E1224" s="5" t="b">
        <f t="shared" si="1"/>
        <v>0</v>
      </c>
    </row>
    <row r="1225">
      <c r="A1225" s="50" t="s">
        <v>1051</v>
      </c>
      <c r="B1225" s="61">
        <v>92.0</v>
      </c>
      <c r="C1225" s="61">
        <v>94.0</v>
      </c>
      <c r="D1225" s="9">
        <f t="array" ref="D1225">xlookup(A1225,'données'!E$2:E$3608,'données'!K$2:K$3608)</f>
        <v>93.2</v>
      </c>
      <c r="E1225" s="5" t="b">
        <f t="shared" si="1"/>
        <v>0</v>
      </c>
    </row>
    <row r="1226">
      <c r="A1226" s="50" t="s">
        <v>6165</v>
      </c>
      <c r="B1226" s="61">
        <v>96.0</v>
      </c>
      <c r="C1226" s="61">
        <v>96.0</v>
      </c>
      <c r="D1226" s="9">
        <f t="array" ref="D1226">xlookup(A1226,'données'!E$2:E$3608,'données'!K$2:K$3608)</f>
        <v>127.1</v>
      </c>
      <c r="E1226" s="5" t="b">
        <f t="shared" si="1"/>
        <v>0</v>
      </c>
    </row>
    <row r="1227">
      <c r="A1227" s="50" t="s">
        <v>6163</v>
      </c>
      <c r="B1227" s="61">
        <v>100.0</v>
      </c>
      <c r="C1227" s="50"/>
      <c r="D1227" s="9">
        <f t="array" ref="D1227">xlookup(A1227,'données'!E$2:E$3608,'données'!K$2:K$3608)</f>
        <v>116.9</v>
      </c>
      <c r="E1227" s="5" t="b">
        <f t="shared" si="1"/>
        <v>0</v>
      </c>
    </row>
    <row r="1228">
      <c r="A1228" s="50" t="s">
        <v>4667</v>
      </c>
      <c r="B1228" s="61">
        <v>92.0</v>
      </c>
      <c r="C1228" s="61">
        <v>99.0</v>
      </c>
      <c r="D1228" s="9">
        <f t="array" ref="D1228">xlookup(A1228,'données'!E$2:E$3608,'données'!K$2:K$3608)</f>
        <v>91.4</v>
      </c>
      <c r="E1228" s="5" t="b">
        <f t="shared" si="1"/>
        <v>0</v>
      </c>
    </row>
    <row r="1229">
      <c r="A1229" s="50" t="s">
        <v>1046</v>
      </c>
      <c r="B1229" s="61">
        <v>95.0</v>
      </c>
      <c r="C1229" s="61">
        <v>95.0</v>
      </c>
      <c r="D1229" s="9">
        <f t="array" ref="D1229">xlookup(A1229,'données'!E$2:E$3608,'données'!K$2:K$3608)</f>
        <v>96.1</v>
      </c>
      <c r="E1229" s="5" t="b">
        <f t="shared" si="1"/>
        <v>0</v>
      </c>
    </row>
    <row r="1230">
      <c r="A1230" s="50" t="s">
        <v>6161</v>
      </c>
      <c r="B1230" s="61">
        <v>98.0</v>
      </c>
      <c r="C1230" s="61">
        <v>98.0</v>
      </c>
      <c r="D1230" s="9">
        <f t="array" ref="D1230">xlookup(A1230,'données'!E$2:E$3608,'données'!K$2:K$3608)</f>
        <v>113.8</v>
      </c>
      <c r="E1230" s="5" t="b">
        <f t="shared" si="1"/>
        <v>0</v>
      </c>
    </row>
    <row r="1231">
      <c r="A1231" s="50" t="s">
        <v>6159</v>
      </c>
      <c r="B1231" s="61">
        <v>93.0</v>
      </c>
      <c r="C1231" s="61">
        <v>96.0</v>
      </c>
      <c r="D1231" s="9">
        <f t="array" ref="D1231">xlookup(A1231,'données'!E$2:E$3608,'données'!K$2:K$3608)</f>
        <v>114.7</v>
      </c>
      <c r="E1231" s="5" t="b">
        <f t="shared" si="1"/>
        <v>0</v>
      </c>
    </row>
    <row r="1232">
      <c r="A1232" s="50" t="s">
        <v>2919</v>
      </c>
      <c r="B1232" s="61">
        <v>95.0</v>
      </c>
      <c r="C1232" s="61">
        <v>95.0</v>
      </c>
      <c r="D1232" s="9">
        <f t="array" ref="D1232">xlookup(A1232,'données'!E$2:E$3608,'données'!K$2:K$3608)</f>
        <v>114.3</v>
      </c>
      <c r="E1232" s="5" t="b">
        <f t="shared" si="1"/>
        <v>0</v>
      </c>
    </row>
    <row r="1233">
      <c r="A1233" s="50" t="s">
        <v>2916</v>
      </c>
      <c r="B1233" s="61">
        <v>98.0</v>
      </c>
      <c r="C1233" s="61">
        <v>99.0</v>
      </c>
      <c r="D1233" s="9">
        <f t="array" ref="D1233">xlookup(A1233,'données'!E$2:E$3608,'données'!K$2:K$3608)</f>
        <v>102.6</v>
      </c>
      <c r="E1233" s="5" t="b">
        <f t="shared" si="1"/>
        <v>0</v>
      </c>
    </row>
    <row r="1234">
      <c r="A1234" s="50" t="s">
        <v>6157</v>
      </c>
      <c r="B1234" s="61">
        <v>97.0</v>
      </c>
      <c r="C1234" s="61">
        <v>98.0</v>
      </c>
      <c r="D1234" s="9">
        <f t="array" ref="D1234">xlookup(A1234,'données'!E$2:E$3608,'données'!K$2:K$3608)</f>
        <v>121.3</v>
      </c>
      <c r="E1234" s="5" t="b">
        <f t="shared" si="1"/>
        <v>0</v>
      </c>
    </row>
    <row r="1235">
      <c r="A1235" s="50" t="s">
        <v>2914</v>
      </c>
      <c r="B1235" s="61">
        <v>99.0</v>
      </c>
      <c r="C1235" s="61">
        <v>100.0</v>
      </c>
      <c r="D1235" s="9">
        <f t="array" ref="D1235">xlookup(A1235,'données'!E$2:E$3608,'données'!K$2:K$3608)</f>
        <v>115.2</v>
      </c>
      <c r="E1235" s="5" t="b">
        <f t="shared" si="1"/>
        <v>0</v>
      </c>
    </row>
    <row r="1236">
      <c r="A1236" s="50" t="s">
        <v>4660</v>
      </c>
      <c r="B1236" s="61">
        <v>96.0</v>
      </c>
      <c r="C1236" s="61">
        <v>96.0</v>
      </c>
      <c r="D1236" s="9">
        <f t="array" ref="D1236">xlookup(A1236,'données'!E$2:E$3608,'données'!K$2:K$3608)</f>
        <v>114.4</v>
      </c>
      <c r="E1236" s="5" t="b">
        <f t="shared" si="1"/>
        <v>0</v>
      </c>
    </row>
    <row r="1237">
      <c r="A1237" s="50" t="s">
        <v>1043</v>
      </c>
      <c r="B1237" s="61">
        <v>98.0</v>
      </c>
      <c r="C1237" s="61">
        <v>99.0</v>
      </c>
      <c r="D1237" s="9">
        <f t="array" ref="D1237">xlookup(A1237,'données'!E$2:E$3608,'données'!K$2:K$3608)</f>
        <v>125.9</v>
      </c>
      <c r="E1237" s="5" t="b">
        <f t="shared" si="1"/>
        <v>0</v>
      </c>
    </row>
    <row r="1238">
      <c r="A1238" s="50" t="s">
        <v>1040</v>
      </c>
      <c r="B1238" s="61">
        <v>95.0</v>
      </c>
      <c r="C1238" s="61">
        <v>99.0</v>
      </c>
      <c r="D1238" s="9">
        <f t="array" ref="D1238">xlookup(A1238,'données'!E$2:E$3608,'données'!K$2:K$3608)</f>
        <v>94.6</v>
      </c>
      <c r="E1238" s="5" t="b">
        <f t="shared" si="1"/>
        <v>0</v>
      </c>
    </row>
    <row r="1239">
      <c r="A1239" s="50" t="s">
        <v>6155</v>
      </c>
      <c r="B1239" s="61">
        <v>99.0</v>
      </c>
      <c r="C1239" s="61">
        <v>100.0</v>
      </c>
      <c r="D1239" s="9">
        <f t="array" ref="D1239">xlookup(A1239,'données'!E$2:E$3608,'données'!K$2:K$3608)</f>
        <v>114.8</v>
      </c>
      <c r="E1239" s="5" t="b">
        <f t="shared" si="1"/>
        <v>0</v>
      </c>
    </row>
    <row r="1240">
      <c r="A1240" s="50" t="s">
        <v>1037</v>
      </c>
      <c r="B1240" s="61">
        <v>96.0</v>
      </c>
      <c r="C1240" s="61">
        <v>97.0</v>
      </c>
      <c r="D1240" s="9">
        <f t="array" ref="D1240">xlookup(A1240,'données'!E$2:E$3608,'données'!K$2:K$3608)</f>
        <v>91.8</v>
      </c>
      <c r="E1240" s="5" t="b">
        <f t="shared" si="1"/>
        <v>0</v>
      </c>
    </row>
    <row r="1241">
      <c r="A1241" s="50" t="s">
        <v>7576</v>
      </c>
      <c r="B1241" s="61">
        <v>97.0</v>
      </c>
      <c r="C1241" s="61">
        <v>99.0</v>
      </c>
      <c r="D1241" s="9">
        <f t="array" ref="D1241">xlookup(A1241,'données'!E$2:E$3608,'données'!K$2:K$3608)</f>
        <v>108.7</v>
      </c>
      <c r="E1241" s="5" t="b">
        <f t="shared" si="1"/>
        <v>0</v>
      </c>
    </row>
    <row r="1242">
      <c r="A1242" s="50" t="s">
        <v>4658</v>
      </c>
      <c r="B1242" s="61">
        <v>93.0</v>
      </c>
      <c r="C1242" s="61">
        <v>93.0</v>
      </c>
      <c r="D1242" s="9">
        <f t="array" ref="D1242">xlookup(A1242,'données'!E$2:E$3608,'données'!K$2:K$3608)</f>
        <v>88.5</v>
      </c>
      <c r="E1242" s="5" t="b">
        <f t="shared" si="1"/>
        <v>0</v>
      </c>
    </row>
    <row r="1243">
      <c r="A1243" s="50" t="s">
        <v>4657</v>
      </c>
      <c r="B1243" s="61">
        <v>94.0</v>
      </c>
      <c r="C1243" s="61">
        <v>94.0</v>
      </c>
      <c r="D1243" s="9">
        <f t="array" ref="D1243">xlookup(A1243,'données'!E$2:E$3608,'données'!K$2:K$3608)</f>
        <v>100.8</v>
      </c>
      <c r="E1243" s="5" t="b">
        <f t="shared" si="1"/>
        <v>0</v>
      </c>
    </row>
    <row r="1244">
      <c r="A1244" s="50" t="s">
        <v>2909</v>
      </c>
      <c r="B1244" s="61">
        <v>99.0</v>
      </c>
      <c r="C1244" s="61">
        <v>99.0</v>
      </c>
      <c r="D1244" s="9">
        <f t="array" ref="D1244">xlookup(A1244,'données'!E$2:E$3608,'données'!K$2:K$3608)</f>
        <v>119.7</v>
      </c>
      <c r="E1244" s="5" t="b">
        <f t="shared" si="1"/>
        <v>0</v>
      </c>
    </row>
    <row r="1245">
      <c r="A1245" s="50" t="s">
        <v>7575</v>
      </c>
      <c r="B1245" s="61">
        <v>89.0</v>
      </c>
      <c r="C1245" s="61">
        <v>89.0</v>
      </c>
      <c r="D1245" s="9">
        <f t="array" ref="D1245">xlookup(A1245,'données'!E$2:E$3608,'données'!K$2:K$3608)</f>
        <v>86.8</v>
      </c>
      <c r="E1245" s="5" t="b">
        <f t="shared" si="1"/>
        <v>0</v>
      </c>
    </row>
    <row r="1246">
      <c r="A1246" s="50" t="s">
        <v>7572</v>
      </c>
      <c r="B1246" s="61">
        <v>96.0</v>
      </c>
      <c r="C1246" s="61">
        <v>96.0</v>
      </c>
      <c r="D1246" s="9">
        <f t="array" ref="D1246">xlookup(A1246,'données'!E$2:E$3608,'données'!K$2:K$3608)</f>
        <v>90.1</v>
      </c>
      <c r="E1246" s="5" t="b">
        <f t="shared" si="1"/>
        <v>0</v>
      </c>
    </row>
    <row r="1247">
      <c r="A1247" s="50" t="s">
        <v>6152</v>
      </c>
      <c r="B1247" s="61">
        <v>91.0</v>
      </c>
      <c r="C1247" s="61">
        <v>94.0</v>
      </c>
      <c r="D1247" s="9">
        <f t="array" ref="D1247">xlookup(A1247,'données'!E$2:E$3608,'données'!K$2:K$3608)</f>
        <v>89.4</v>
      </c>
      <c r="E1247" s="5" t="b">
        <f t="shared" si="1"/>
        <v>0</v>
      </c>
    </row>
    <row r="1248">
      <c r="A1248" s="50" t="s">
        <v>2907</v>
      </c>
      <c r="B1248" s="61">
        <v>95.0</v>
      </c>
      <c r="C1248" s="61">
        <v>96.0</v>
      </c>
      <c r="D1248" s="9">
        <f t="array" ref="D1248">xlookup(A1248,'données'!E$2:E$3608,'données'!K$2:K$3608)</f>
        <v>108.4</v>
      </c>
      <c r="E1248" s="5" t="b">
        <f t="shared" si="1"/>
        <v>0</v>
      </c>
    </row>
    <row r="1249">
      <c r="A1249" s="50" t="s">
        <v>4655</v>
      </c>
      <c r="B1249" s="61">
        <v>98.0</v>
      </c>
      <c r="C1249" s="61">
        <v>99.0</v>
      </c>
      <c r="D1249" s="9">
        <f t="array" ref="D1249">xlookup(A1249,'données'!E$2:E$3608,'données'!K$2:K$3608)</f>
        <v>103.9</v>
      </c>
      <c r="E1249" s="5" t="b">
        <f t="shared" si="1"/>
        <v>0</v>
      </c>
    </row>
    <row r="1250">
      <c r="A1250" s="50" t="s">
        <v>1031</v>
      </c>
      <c r="B1250" s="61">
        <v>97.0</v>
      </c>
      <c r="C1250" s="61">
        <v>97.0</v>
      </c>
      <c r="D1250" s="9">
        <f t="array" ref="D1250">xlookup(A1250,'données'!E$2:E$3608,'données'!K$2:K$3608)</f>
        <v>116</v>
      </c>
      <c r="E1250" s="5" t="b">
        <f t="shared" si="1"/>
        <v>0</v>
      </c>
    </row>
    <row r="1251">
      <c r="A1251" s="50" t="s">
        <v>2904</v>
      </c>
      <c r="B1251" s="61">
        <v>95.0</v>
      </c>
      <c r="C1251" s="61">
        <v>98.0</v>
      </c>
      <c r="D1251" s="9">
        <f t="array" ref="D1251">xlookup(A1251,'données'!E$2:E$3608,'données'!K$2:K$3608)</f>
        <v>102.9</v>
      </c>
      <c r="E1251" s="5" t="b">
        <f t="shared" si="1"/>
        <v>0</v>
      </c>
    </row>
    <row r="1252">
      <c r="A1252" s="50" t="s">
        <v>4652</v>
      </c>
      <c r="B1252" s="61">
        <v>99.0</v>
      </c>
      <c r="C1252" s="61">
        <v>100.0</v>
      </c>
      <c r="D1252" s="9">
        <f t="array" ref="D1252">xlookup(A1252,'données'!E$2:E$3608,'données'!K$2:K$3608)</f>
        <v>118.4</v>
      </c>
      <c r="E1252" s="5" t="b">
        <f t="shared" si="1"/>
        <v>0</v>
      </c>
    </row>
    <row r="1253">
      <c r="A1253" s="50" t="s">
        <v>1028</v>
      </c>
      <c r="B1253" s="61">
        <v>97.0</v>
      </c>
      <c r="C1253" s="61">
        <v>99.0</v>
      </c>
      <c r="D1253" s="9">
        <f t="array" ref="D1253">xlookup(A1253,'données'!E$2:E$3608,'données'!K$2:K$3608)</f>
        <v>108.5</v>
      </c>
      <c r="E1253" s="5" t="b">
        <f t="shared" si="1"/>
        <v>0</v>
      </c>
    </row>
    <row r="1254">
      <c r="A1254" s="50" t="s">
        <v>1024</v>
      </c>
      <c r="B1254" s="61">
        <v>96.0</v>
      </c>
      <c r="C1254" s="61">
        <v>97.0</v>
      </c>
      <c r="D1254" s="9">
        <f t="array" ref="D1254">xlookup(A1254,'données'!E$2:E$3608,'données'!K$2:K$3608)</f>
        <v>106.3</v>
      </c>
      <c r="E1254" s="5" t="b">
        <f t="shared" si="1"/>
        <v>0</v>
      </c>
    </row>
    <row r="1255">
      <c r="A1255" s="50" t="s">
        <v>6150</v>
      </c>
      <c r="B1255" s="61">
        <v>99.0</v>
      </c>
      <c r="C1255" s="61">
        <v>99.0</v>
      </c>
      <c r="D1255" s="9">
        <f t="array" ref="D1255">xlookup(A1255,'données'!E$2:E$3608,'données'!K$2:K$3608)</f>
        <v>115.3</v>
      </c>
      <c r="E1255" s="5" t="b">
        <f t="shared" si="1"/>
        <v>0</v>
      </c>
    </row>
    <row r="1256">
      <c r="A1256" s="50" t="s">
        <v>1021</v>
      </c>
      <c r="B1256" s="61">
        <v>97.0</v>
      </c>
      <c r="C1256" s="50"/>
      <c r="D1256" s="9">
        <f t="array" ref="D1256">xlookup(A1256,'données'!E$2:E$3608,'données'!K$2:K$3608)</f>
        <v>105.5</v>
      </c>
      <c r="E1256" s="5" t="b">
        <f t="shared" si="1"/>
        <v>0</v>
      </c>
    </row>
    <row r="1257">
      <c r="A1257" s="50" t="s">
        <v>7571</v>
      </c>
      <c r="B1257" s="61">
        <v>100.0</v>
      </c>
      <c r="C1257" s="61">
        <v>100.0</v>
      </c>
      <c r="D1257" s="9">
        <f t="array" ref="D1257">xlookup(A1257,'données'!E$2:E$3608,'données'!K$2:K$3608)</f>
        <v>112.4</v>
      </c>
      <c r="E1257" s="5" t="b">
        <f t="shared" si="1"/>
        <v>0</v>
      </c>
    </row>
    <row r="1258">
      <c r="A1258" s="50" t="s">
        <v>6145</v>
      </c>
      <c r="B1258" s="61">
        <v>97.0</v>
      </c>
      <c r="C1258" s="61">
        <v>98.0</v>
      </c>
      <c r="D1258" s="9">
        <f t="array" ref="D1258">xlookup(A1258,'données'!E$2:E$3608,'données'!K$2:K$3608)</f>
        <v>107.6</v>
      </c>
      <c r="E1258" s="5" t="b">
        <f t="shared" si="1"/>
        <v>0</v>
      </c>
    </row>
    <row r="1259">
      <c r="A1259" s="50" t="s">
        <v>7569</v>
      </c>
      <c r="B1259" s="61">
        <v>99.0</v>
      </c>
      <c r="C1259" s="61">
        <v>99.0</v>
      </c>
      <c r="D1259" s="9">
        <f t="array" ref="D1259">xlookup(A1259,'données'!E$2:E$3608,'données'!K$2:K$3608)</f>
        <v>114.7</v>
      </c>
      <c r="E1259" s="5" t="b">
        <f t="shared" si="1"/>
        <v>0</v>
      </c>
    </row>
    <row r="1260">
      <c r="A1260" s="50" t="s">
        <v>4647</v>
      </c>
      <c r="B1260" s="61">
        <v>95.0</v>
      </c>
      <c r="C1260" s="61">
        <v>98.0</v>
      </c>
      <c r="D1260" s="9">
        <f t="array" ref="D1260">xlookup(A1260,'données'!E$2:E$3608,'données'!K$2:K$3608)</f>
        <v>112.2</v>
      </c>
      <c r="E1260" s="5" t="b">
        <f t="shared" si="1"/>
        <v>0</v>
      </c>
    </row>
    <row r="1261">
      <c r="A1261" s="50" t="s">
        <v>1012</v>
      </c>
      <c r="B1261" s="61">
        <v>97.0</v>
      </c>
      <c r="C1261" s="61">
        <v>100.0</v>
      </c>
      <c r="D1261" s="9">
        <f t="array" ref="D1261">xlookup(A1261,'données'!E$2:E$3608,'données'!K$2:K$3608)</f>
        <v>106.1</v>
      </c>
      <c r="E1261" s="5" t="b">
        <f t="shared" si="1"/>
        <v>0</v>
      </c>
    </row>
    <row r="1262">
      <c r="A1262" s="50" t="s">
        <v>6143</v>
      </c>
      <c r="B1262" s="61">
        <v>100.0</v>
      </c>
      <c r="C1262" s="61">
        <v>100.0</v>
      </c>
      <c r="D1262" s="9">
        <f t="array" ref="D1262">xlookup(A1262,'données'!E$2:E$3608,'données'!K$2:K$3608)</f>
        <v>79</v>
      </c>
      <c r="E1262" s="5" t="b">
        <f t="shared" si="1"/>
        <v>0</v>
      </c>
    </row>
    <row r="1263">
      <c r="A1263" s="50" t="s">
        <v>1008</v>
      </c>
      <c r="B1263" s="61">
        <v>98.0</v>
      </c>
      <c r="C1263" s="50"/>
      <c r="D1263" s="9">
        <f t="array" ref="D1263">xlookup(A1263,'données'!E$2:E$3608,'données'!K$2:K$3608)</f>
        <v>106.6</v>
      </c>
      <c r="E1263" s="5" t="b">
        <f t="shared" si="1"/>
        <v>0</v>
      </c>
    </row>
    <row r="1264">
      <c r="A1264" s="50" t="s">
        <v>6138</v>
      </c>
      <c r="B1264" s="61">
        <v>99.0</v>
      </c>
      <c r="C1264" s="61">
        <v>100.0</v>
      </c>
      <c r="D1264" s="9">
        <f t="array" ref="D1264">xlookup(A1264,'données'!E$2:E$3608,'données'!K$2:K$3608)</f>
        <v>108.4</v>
      </c>
      <c r="E1264" s="5" t="b">
        <f t="shared" si="1"/>
        <v>0</v>
      </c>
    </row>
    <row r="1265">
      <c r="A1265" s="50" t="s">
        <v>6136</v>
      </c>
      <c r="B1265" s="61">
        <v>100.0</v>
      </c>
      <c r="C1265" s="50"/>
      <c r="D1265" s="9">
        <f t="array" ref="D1265">xlookup(A1265,'données'!E$2:E$3608,'données'!K$2:K$3608)</f>
        <v>114.8</v>
      </c>
      <c r="E1265" s="5" t="b">
        <f t="shared" si="1"/>
        <v>0</v>
      </c>
    </row>
    <row r="1266">
      <c r="A1266" s="50" t="s">
        <v>7567</v>
      </c>
      <c r="B1266" s="61">
        <v>98.0</v>
      </c>
      <c r="C1266" s="61">
        <v>97.0</v>
      </c>
      <c r="D1266" s="9">
        <f t="array" ref="D1266">xlookup(A1266,'données'!E$2:E$3608,'données'!K$2:K$3608)</f>
        <v>114.4</v>
      </c>
      <c r="E1266" s="5" t="b">
        <f t="shared" si="1"/>
        <v>0</v>
      </c>
    </row>
    <row r="1267">
      <c r="A1267" s="50" t="s">
        <v>7564</v>
      </c>
      <c r="B1267" s="61">
        <v>94.0</v>
      </c>
      <c r="C1267" s="61">
        <v>99.0</v>
      </c>
      <c r="D1267" s="9">
        <f t="array" ref="D1267">xlookup(A1267,'données'!E$2:E$3608,'données'!K$2:K$3608)</f>
        <v>92.6</v>
      </c>
      <c r="E1267" s="5" t="b">
        <f t="shared" si="1"/>
        <v>0</v>
      </c>
    </row>
    <row r="1268">
      <c r="A1268" s="50" t="s">
        <v>2896</v>
      </c>
      <c r="B1268" s="61">
        <v>98.0</v>
      </c>
      <c r="C1268" s="61">
        <v>98.0</v>
      </c>
      <c r="D1268" s="9">
        <f t="array" ref="D1268">xlookup(A1268,'données'!E$2:E$3608,'données'!K$2:K$3608)</f>
        <v>106.8</v>
      </c>
      <c r="E1268" s="5" t="b">
        <f t="shared" si="1"/>
        <v>0</v>
      </c>
    </row>
    <row r="1269">
      <c r="A1269" s="50" t="s">
        <v>2893</v>
      </c>
      <c r="B1269" s="61">
        <v>94.0</v>
      </c>
      <c r="C1269" s="50"/>
      <c r="D1269" s="9">
        <f t="array" ref="D1269">xlookup(A1269,'données'!E$2:E$3608,'données'!K$2:K$3608)</f>
        <v>89.5</v>
      </c>
      <c r="E1269" s="5" t="b">
        <f t="shared" si="1"/>
        <v>0</v>
      </c>
    </row>
    <row r="1270">
      <c r="A1270" s="50" t="s">
        <v>7562</v>
      </c>
      <c r="B1270" s="61">
        <v>95.0</v>
      </c>
      <c r="C1270" s="61">
        <v>97.0</v>
      </c>
      <c r="D1270" s="9">
        <f t="array" ref="D1270">xlookup(A1270,'données'!E$2:E$3608,'données'!K$2:K$3608)</f>
        <v>112.5</v>
      </c>
      <c r="E1270" s="5" t="b">
        <f t="shared" si="1"/>
        <v>0</v>
      </c>
    </row>
    <row r="1271">
      <c r="A1271" s="50" t="s">
        <v>7560</v>
      </c>
      <c r="B1271" s="61">
        <v>100.0</v>
      </c>
      <c r="C1271" s="61">
        <v>100.0</v>
      </c>
      <c r="D1271" s="9">
        <f t="array" ref="D1271">xlookup(A1271,'données'!E$2:E$3608,'données'!K$2:K$3608)</f>
        <v>98.5</v>
      </c>
      <c r="E1271" s="5" t="b">
        <f t="shared" si="1"/>
        <v>0</v>
      </c>
    </row>
    <row r="1272">
      <c r="A1272" s="50" t="s">
        <v>2891</v>
      </c>
      <c r="B1272" s="61">
        <v>99.0</v>
      </c>
      <c r="C1272" s="61">
        <v>100.0</v>
      </c>
      <c r="D1272" s="9">
        <f t="array" ref="D1272">xlookup(A1272,'données'!E$2:E$3608,'données'!K$2:K$3608)</f>
        <v>127.3</v>
      </c>
      <c r="E1272" s="5" t="b">
        <f t="shared" si="1"/>
        <v>0</v>
      </c>
    </row>
    <row r="1273">
      <c r="A1273" s="50" t="s">
        <v>1005</v>
      </c>
      <c r="B1273" s="61">
        <v>98.0</v>
      </c>
      <c r="C1273" s="61">
        <v>98.0</v>
      </c>
      <c r="D1273" s="9">
        <f t="array" ref="D1273">xlookup(A1273,'données'!E$2:E$3608,'données'!K$2:K$3608)</f>
        <v>97.3</v>
      </c>
      <c r="E1273" s="5" t="b">
        <f t="shared" si="1"/>
        <v>0</v>
      </c>
    </row>
    <row r="1274">
      <c r="A1274" s="50" t="s">
        <v>7558</v>
      </c>
      <c r="B1274" s="61">
        <v>93.0</v>
      </c>
      <c r="C1274" s="61">
        <v>94.0</v>
      </c>
      <c r="D1274" s="9">
        <f t="array" ref="D1274">xlookup(A1274,'données'!E$2:E$3608,'données'!K$2:K$3608)</f>
        <v>99.9</v>
      </c>
      <c r="E1274" s="5" t="b">
        <f t="shared" si="1"/>
        <v>0</v>
      </c>
    </row>
    <row r="1275">
      <c r="A1275" s="50" t="s">
        <v>999</v>
      </c>
      <c r="B1275" s="61">
        <v>97.0</v>
      </c>
      <c r="C1275" s="61">
        <v>98.0</v>
      </c>
      <c r="D1275" s="9">
        <f t="array" ref="D1275">xlookup(A1275,'données'!E$2:E$3608,'données'!K$2:K$3608)</f>
        <v>98.7</v>
      </c>
      <c r="E1275" s="5" t="b">
        <f t="shared" si="1"/>
        <v>0</v>
      </c>
    </row>
    <row r="1276">
      <c r="A1276" s="50" t="s">
        <v>6129</v>
      </c>
      <c r="B1276" s="61">
        <v>100.0</v>
      </c>
      <c r="C1276" s="61">
        <v>100.0</v>
      </c>
      <c r="D1276" s="9">
        <f t="array" ref="D1276">xlookup(A1276,'données'!E$2:E$3608,'données'!K$2:K$3608)</f>
        <v>124.6</v>
      </c>
      <c r="E1276" s="5" t="b">
        <f t="shared" si="1"/>
        <v>0</v>
      </c>
    </row>
    <row r="1277">
      <c r="A1277" s="50" t="s">
        <v>4642</v>
      </c>
      <c r="B1277" s="61">
        <v>100.0</v>
      </c>
      <c r="C1277" s="61">
        <v>100.0</v>
      </c>
      <c r="D1277" s="9">
        <f t="array" ref="D1277">xlookup(A1277,'données'!E$2:E$3608,'données'!K$2:K$3608)</f>
        <v>132.8</v>
      </c>
      <c r="E1277" s="5" t="b">
        <f t="shared" si="1"/>
        <v>0</v>
      </c>
    </row>
    <row r="1278">
      <c r="A1278" s="50" t="s">
        <v>7550</v>
      </c>
      <c r="B1278" s="61">
        <v>100.0</v>
      </c>
      <c r="C1278" s="61">
        <v>100.0</v>
      </c>
      <c r="D1278" s="9">
        <f t="array" ref="D1278">xlookup(A1278,'données'!E$2:E$3608,'données'!K$2:K$3608)</f>
        <v>133.4</v>
      </c>
      <c r="E1278" s="5" t="b">
        <f t="shared" si="1"/>
        <v>0</v>
      </c>
    </row>
    <row r="1279">
      <c r="A1279" s="50" t="s">
        <v>6127</v>
      </c>
      <c r="B1279" s="61">
        <v>100.0</v>
      </c>
      <c r="C1279" s="61">
        <v>100.0</v>
      </c>
      <c r="D1279" s="9">
        <f t="array" ref="D1279">xlookup(A1279,'données'!E$2:E$3608,'données'!K$2:K$3608)</f>
        <v>117.8</v>
      </c>
      <c r="E1279" s="5" t="b">
        <f t="shared" si="1"/>
        <v>0</v>
      </c>
    </row>
    <row r="1280">
      <c r="A1280" s="50" t="s">
        <v>7548</v>
      </c>
      <c r="B1280" s="61">
        <v>100.0</v>
      </c>
      <c r="C1280" s="61">
        <v>100.0</v>
      </c>
      <c r="D1280" s="9">
        <f t="array" ref="D1280">xlookup(A1280,'données'!E$2:E$3608,'données'!K$2:K$3608)</f>
        <v>126.7</v>
      </c>
      <c r="E1280" s="5" t="b">
        <f t="shared" si="1"/>
        <v>0</v>
      </c>
    </row>
    <row r="1281">
      <c r="A1281" s="50" t="s">
        <v>4636</v>
      </c>
      <c r="B1281" s="61">
        <v>94.0</v>
      </c>
      <c r="C1281" s="61">
        <v>96.0</v>
      </c>
      <c r="D1281" s="9">
        <f t="array" ref="D1281">xlookup(A1281,'données'!E$2:E$3608,'données'!K$2:K$3608)</f>
        <v>102</v>
      </c>
      <c r="E1281" s="5" t="b">
        <f t="shared" si="1"/>
        <v>0</v>
      </c>
    </row>
    <row r="1282">
      <c r="A1282" s="50" t="s">
        <v>6123</v>
      </c>
      <c r="B1282" s="61">
        <v>95.0</v>
      </c>
      <c r="C1282" s="61">
        <v>89.0</v>
      </c>
      <c r="D1282" s="9">
        <f t="array" ref="D1282">xlookup(A1282,'données'!E$2:E$3608,'données'!K$2:K$3608)</f>
        <v>107.8</v>
      </c>
      <c r="E1282" s="5" t="b">
        <f t="shared" si="1"/>
        <v>0</v>
      </c>
    </row>
    <row r="1283">
      <c r="A1283" s="50" t="s">
        <v>6122</v>
      </c>
      <c r="B1283" s="61">
        <v>98.0</v>
      </c>
      <c r="C1283" s="61">
        <v>98.0</v>
      </c>
      <c r="D1283" s="9">
        <f t="array" ref="D1283">xlookup(A1283,'données'!E$2:E$3608,'données'!K$2:K$3608)</f>
        <v>117.4</v>
      </c>
      <c r="E1283" s="5" t="b">
        <f t="shared" si="1"/>
        <v>0</v>
      </c>
    </row>
    <row r="1284">
      <c r="A1284" s="50" t="s">
        <v>993</v>
      </c>
      <c r="B1284" s="61">
        <v>97.0</v>
      </c>
      <c r="C1284" s="61">
        <v>97.0</v>
      </c>
      <c r="D1284" s="9">
        <f t="array" ref="D1284">xlookup(A1284,'données'!E$2:E$3608,'données'!K$2:K$3608)</f>
        <v>115.6</v>
      </c>
      <c r="E1284" s="5" t="b">
        <f t="shared" si="1"/>
        <v>0</v>
      </c>
    </row>
    <row r="1285">
      <c r="A1285" s="50" t="s">
        <v>2886</v>
      </c>
      <c r="B1285" s="61">
        <v>94.0</v>
      </c>
      <c r="C1285" s="61">
        <v>100.0</v>
      </c>
      <c r="D1285" s="9">
        <f t="array" ref="D1285">xlookup(A1285,'données'!E$2:E$3608,'données'!K$2:K$3608)</f>
        <v>102.2</v>
      </c>
      <c r="E1285" s="5" t="b">
        <f t="shared" si="1"/>
        <v>0</v>
      </c>
    </row>
    <row r="1286">
      <c r="A1286" s="50" t="s">
        <v>2883</v>
      </c>
      <c r="B1286" s="61">
        <v>98.0</v>
      </c>
      <c r="C1286" s="61">
        <v>98.0</v>
      </c>
      <c r="D1286" s="9">
        <f t="array" ref="D1286">xlookup(A1286,'données'!E$2:E$3608,'données'!K$2:K$3608)</f>
        <v>112.7</v>
      </c>
      <c r="E1286" s="5" t="b">
        <f t="shared" si="1"/>
        <v>0</v>
      </c>
    </row>
    <row r="1287">
      <c r="A1287" s="50" t="s">
        <v>2880</v>
      </c>
      <c r="B1287" s="61">
        <v>96.0</v>
      </c>
      <c r="C1287" s="61">
        <v>99.0</v>
      </c>
      <c r="D1287" s="9">
        <f t="array" ref="D1287">xlookup(A1287,'données'!E$2:E$3608,'données'!K$2:K$3608)</f>
        <v>108</v>
      </c>
      <c r="E1287" s="5" t="b">
        <f t="shared" si="1"/>
        <v>0</v>
      </c>
    </row>
    <row r="1288">
      <c r="A1288" s="50" t="s">
        <v>7544</v>
      </c>
      <c r="B1288" s="61">
        <v>96.0</v>
      </c>
      <c r="C1288" s="61">
        <v>99.0</v>
      </c>
      <c r="D1288" s="9">
        <f t="array" ref="D1288">xlookup(A1288,'données'!E$2:E$3608,'données'!K$2:K$3608)</f>
        <v>108.6</v>
      </c>
      <c r="E1288" s="5" t="b">
        <f t="shared" si="1"/>
        <v>0</v>
      </c>
    </row>
    <row r="1289">
      <c r="A1289" s="50" t="s">
        <v>6120</v>
      </c>
      <c r="B1289" s="61">
        <v>97.0</v>
      </c>
      <c r="C1289" s="61">
        <v>99.0</v>
      </c>
      <c r="D1289" s="9">
        <f t="array" ref="D1289">xlookup(A1289,'données'!E$2:E$3608,'données'!K$2:K$3608)</f>
        <v>103.6</v>
      </c>
      <c r="E1289" s="5" t="b">
        <f t="shared" si="1"/>
        <v>0</v>
      </c>
    </row>
    <row r="1290">
      <c r="A1290" s="50" t="s">
        <v>2877</v>
      </c>
      <c r="B1290" s="61">
        <v>94.0</v>
      </c>
      <c r="C1290" s="61">
        <v>97.0</v>
      </c>
      <c r="D1290" s="9">
        <f t="array" ref="D1290">xlookup(A1290,'données'!E$2:E$3608,'données'!K$2:K$3608)</f>
        <v>107.1</v>
      </c>
      <c r="E1290" s="5" t="b">
        <f t="shared" si="1"/>
        <v>0</v>
      </c>
    </row>
    <row r="1291">
      <c r="A1291" s="50" t="s">
        <v>7542</v>
      </c>
      <c r="B1291" s="61">
        <v>100.0</v>
      </c>
      <c r="C1291" s="61">
        <v>100.0</v>
      </c>
      <c r="D1291" s="9">
        <f t="array" ref="D1291">xlookup(A1291,'données'!E$2:E$3608,'données'!K$2:K$3608)</f>
        <v>125.8</v>
      </c>
      <c r="E1291" s="5" t="b">
        <f t="shared" si="1"/>
        <v>0</v>
      </c>
    </row>
    <row r="1292">
      <c r="A1292" s="50" t="s">
        <v>987</v>
      </c>
      <c r="B1292" s="61">
        <v>97.0</v>
      </c>
      <c r="C1292" s="61">
        <v>99.0</v>
      </c>
      <c r="D1292" s="9">
        <f t="array" ref="D1292">xlookup(A1292,'données'!E$2:E$3608,'données'!K$2:K$3608)</f>
        <v>93.8</v>
      </c>
      <c r="E1292" s="5" t="b">
        <f t="shared" si="1"/>
        <v>0</v>
      </c>
    </row>
    <row r="1293">
      <c r="A1293" s="50" t="s">
        <v>6118</v>
      </c>
      <c r="B1293" s="61">
        <v>97.0</v>
      </c>
      <c r="C1293" s="61">
        <v>97.0</v>
      </c>
      <c r="D1293" s="9">
        <f t="array" ref="D1293">xlookup(A1293,'données'!E$2:E$3608,'données'!K$2:K$3608)</f>
        <v>127.8</v>
      </c>
      <c r="E1293" s="5" t="b">
        <f t="shared" si="1"/>
        <v>0</v>
      </c>
    </row>
    <row r="1294">
      <c r="A1294" s="50" t="s">
        <v>6116</v>
      </c>
      <c r="B1294" s="61">
        <v>74.0</v>
      </c>
      <c r="C1294" s="50"/>
      <c r="D1294" s="9">
        <f t="array" ref="D1294">xlookup(A1294,'données'!E$2:E$3608,'données'!K$2:K$3608)</f>
        <v>71</v>
      </c>
      <c r="E1294" s="5" t="b">
        <f t="shared" si="1"/>
        <v>0</v>
      </c>
    </row>
    <row r="1295">
      <c r="A1295" s="50" t="s">
        <v>6115</v>
      </c>
      <c r="B1295" s="61">
        <v>99.0</v>
      </c>
      <c r="C1295" s="61">
        <v>99.0</v>
      </c>
      <c r="D1295" s="9">
        <f t="array" ref="D1295">xlookup(A1295,'données'!E$2:E$3608,'données'!K$2:K$3608)</f>
        <v>88.1</v>
      </c>
      <c r="E1295" s="5" t="b">
        <f t="shared" si="1"/>
        <v>0</v>
      </c>
    </row>
    <row r="1296">
      <c r="A1296" s="50" t="s">
        <v>6114</v>
      </c>
      <c r="B1296" s="61">
        <v>93.0</v>
      </c>
      <c r="C1296" s="61">
        <v>93.0</v>
      </c>
      <c r="D1296" s="9">
        <f t="array" ref="D1296">xlookup(A1296,'données'!E$2:E$3608,'données'!K$2:K$3608)</f>
        <v>91.3</v>
      </c>
      <c r="E1296" s="5" t="b">
        <f t="shared" si="1"/>
        <v>0</v>
      </c>
    </row>
    <row r="1297">
      <c r="A1297" s="50" t="s">
        <v>4627</v>
      </c>
      <c r="B1297" s="61">
        <v>99.0</v>
      </c>
      <c r="C1297" s="61">
        <v>99.0</v>
      </c>
      <c r="D1297" s="9">
        <f t="array" ref="D1297">xlookup(A1297,'données'!E$2:E$3608,'données'!K$2:K$3608)</f>
        <v>107.5</v>
      </c>
      <c r="E1297" s="5" t="b">
        <f t="shared" si="1"/>
        <v>0</v>
      </c>
    </row>
    <row r="1298">
      <c r="A1298" s="50" t="s">
        <v>6111</v>
      </c>
      <c r="B1298" s="61">
        <v>99.0</v>
      </c>
      <c r="C1298" s="61">
        <v>100.0</v>
      </c>
      <c r="D1298" s="9">
        <f t="array" ref="D1298">xlookup(A1298,'données'!E$2:E$3608,'données'!K$2:K$3608)</f>
        <v>118.9</v>
      </c>
      <c r="E1298" s="5" t="b">
        <f t="shared" si="1"/>
        <v>0</v>
      </c>
    </row>
    <row r="1299">
      <c r="A1299" s="50" t="s">
        <v>2874</v>
      </c>
      <c r="B1299" s="61">
        <v>97.0</v>
      </c>
      <c r="C1299" s="61">
        <v>99.0</v>
      </c>
      <c r="D1299" s="9">
        <f t="array" ref="D1299">xlookup(A1299,'données'!E$2:E$3608,'données'!K$2:K$3608)</f>
        <v>108.2</v>
      </c>
      <c r="E1299" s="5" t="b">
        <f t="shared" si="1"/>
        <v>0</v>
      </c>
    </row>
    <row r="1300">
      <c r="A1300" s="50" t="s">
        <v>981</v>
      </c>
      <c r="B1300" s="61">
        <v>97.0</v>
      </c>
      <c r="C1300" s="61">
        <v>98.0</v>
      </c>
      <c r="D1300" s="9">
        <f t="array" ref="D1300">xlookup(A1300,'données'!E$2:E$3608,'données'!K$2:K$3608)</f>
        <v>116.9</v>
      </c>
      <c r="E1300" s="5" t="b">
        <f t="shared" si="1"/>
        <v>0</v>
      </c>
    </row>
    <row r="1301">
      <c r="A1301" s="50" t="s">
        <v>4624</v>
      </c>
      <c r="B1301" s="61">
        <v>98.0</v>
      </c>
      <c r="C1301" s="61">
        <v>98.0</v>
      </c>
      <c r="D1301" s="9">
        <f t="array" ref="D1301">xlookup(A1301,'données'!E$2:E$3608,'données'!K$2:K$3608)</f>
        <v>115.7</v>
      </c>
      <c r="E1301" s="5" t="b">
        <f t="shared" si="1"/>
        <v>0</v>
      </c>
    </row>
    <row r="1302">
      <c r="A1302" s="50" t="s">
        <v>2871</v>
      </c>
      <c r="B1302" s="61">
        <v>99.0</v>
      </c>
      <c r="C1302" s="61">
        <v>99.0</v>
      </c>
      <c r="D1302" s="9">
        <f t="array" ref="D1302">xlookup(A1302,'données'!E$2:E$3608,'données'!K$2:K$3608)</f>
        <v>121.9</v>
      </c>
      <c r="E1302" s="5" t="b">
        <f t="shared" si="1"/>
        <v>0</v>
      </c>
    </row>
    <row r="1303">
      <c r="A1303" s="50" t="s">
        <v>6106</v>
      </c>
      <c r="B1303" s="61">
        <v>100.0</v>
      </c>
      <c r="C1303" s="61">
        <v>100.0</v>
      </c>
      <c r="D1303" s="9">
        <f t="array" ref="D1303">xlookup(A1303,'données'!E$2:E$3608,'données'!K$2:K$3608)</f>
        <v>107</v>
      </c>
      <c r="E1303" s="5" t="b">
        <f t="shared" si="1"/>
        <v>0</v>
      </c>
    </row>
    <row r="1304">
      <c r="A1304" s="50" t="s">
        <v>6104</v>
      </c>
      <c r="B1304" s="61">
        <v>99.0</v>
      </c>
      <c r="C1304" s="61">
        <v>97.0</v>
      </c>
      <c r="D1304" s="9">
        <f t="array" ref="D1304">xlookup(A1304,'données'!E$2:E$3608,'données'!K$2:K$3608)</f>
        <v>124.1</v>
      </c>
      <c r="E1304" s="5" t="b">
        <f t="shared" si="1"/>
        <v>0</v>
      </c>
    </row>
    <row r="1305">
      <c r="A1305" s="50" t="s">
        <v>2866</v>
      </c>
      <c r="B1305" s="61">
        <v>100.0</v>
      </c>
      <c r="C1305" s="61">
        <v>100.0</v>
      </c>
      <c r="D1305" s="9">
        <f t="array" ref="D1305">xlookup(A1305,'données'!E$2:E$3608,'données'!K$2:K$3608)</f>
        <v>106.1</v>
      </c>
      <c r="E1305" s="5" t="b">
        <f t="shared" si="1"/>
        <v>0</v>
      </c>
    </row>
    <row r="1306">
      <c r="A1306" s="50" t="s">
        <v>6102</v>
      </c>
      <c r="B1306" s="61">
        <v>99.0</v>
      </c>
      <c r="C1306" s="61">
        <v>99.0</v>
      </c>
      <c r="D1306" s="9">
        <f t="array" ref="D1306">xlookup(A1306,'données'!E$2:E$3608,'données'!K$2:K$3608)</f>
        <v>120.1</v>
      </c>
      <c r="E1306" s="5" t="b">
        <f t="shared" si="1"/>
        <v>0</v>
      </c>
    </row>
    <row r="1307">
      <c r="A1307" s="50" t="s">
        <v>2863</v>
      </c>
      <c r="B1307" s="61">
        <v>100.0</v>
      </c>
      <c r="C1307" s="61">
        <v>100.0</v>
      </c>
      <c r="D1307" s="9">
        <f t="array" ref="D1307">xlookup(A1307,'données'!E$2:E$3608,'données'!K$2:K$3608)</f>
        <v>122.1</v>
      </c>
      <c r="E1307" s="5" t="b">
        <f t="shared" si="1"/>
        <v>0</v>
      </c>
    </row>
    <row r="1308">
      <c r="A1308" s="50" t="s">
        <v>7538</v>
      </c>
      <c r="B1308" s="61">
        <v>100.0</v>
      </c>
      <c r="C1308" s="61">
        <v>100.0</v>
      </c>
      <c r="D1308" s="9">
        <f t="array" ref="D1308">xlookup(A1308,'données'!E$2:E$3608,'données'!K$2:K$3608)</f>
        <v>124.2</v>
      </c>
      <c r="E1308" s="5" t="b">
        <f t="shared" si="1"/>
        <v>0</v>
      </c>
    </row>
    <row r="1309">
      <c r="A1309" s="50" t="s">
        <v>2861</v>
      </c>
      <c r="B1309" s="61">
        <v>100.0</v>
      </c>
      <c r="C1309" s="61">
        <v>100.0</v>
      </c>
      <c r="D1309" s="9">
        <f t="array" ref="D1309">xlookup(A1309,'données'!E$2:E$3608,'données'!K$2:K$3608)</f>
        <v>131</v>
      </c>
      <c r="E1309" s="5" t="b">
        <f t="shared" si="1"/>
        <v>0</v>
      </c>
    </row>
    <row r="1310">
      <c r="A1310" s="50" t="s">
        <v>2858</v>
      </c>
      <c r="B1310" s="61">
        <v>100.0</v>
      </c>
      <c r="C1310" s="61">
        <v>100.0</v>
      </c>
      <c r="D1310" s="9">
        <f t="array" ref="D1310">xlookup(A1310,'données'!E$2:E$3608,'données'!K$2:K$3608)</f>
        <v>107.1</v>
      </c>
      <c r="E1310" s="5" t="b">
        <f t="shared" si="1"/>
        <v>0</v>
      </c>
    </row>
    <row r="1311">
      <c r="A1311" s="50" t="s">
        <v>6101</v>
      </c>
      <c r="B1311" s="61">
        <v>100.0</v>
      </c>
      <c r="C1311" s="61">
        <v>100.0</v>
      </c>
      <c r="D1311" s="9">
        <f t="array" ref="D1311">xlookup(A1311,'données'!E$2:E$3608,'données'!K$2:K$3608)</f>
        <v>124.4</v>
      </c>
      <c r="E1311" s="5" t="b">
        <f t="shared" si="1"/>
        <v>0</v>
      </c>
    </row>
    <row r="1312">
      <c r="A1312" s="50" t="s">
        <v>2855</v>
      </c>
      <c r="B1312" s="61">
        <v>99.0</v>
      </c>
      <c r="C1312" s="61">
        <v>100.0</v>
      </c>
      <c r="D1312" s="9">
        <f t="array" ref="D1312">xlookup(A1312,'données'!E$2:E$3608,'données'!K$2:K$3608)</f>
        <v>111.8</v>
      </c>
      <c r="E1312" s="5" t="b">
        <f t="shared" si="1"/>
        <v>0</v>
      </c>
    </row>
    <row r="1313">
      <c r="A1313" s="50" t="s">
        <v>4621</v>
      </c>
      <c r="B1313" s="61">
        <v>99.0</v>
      </c>
      <c r="C1313" s="61">
        <v>98.0</v>
      </c>
      <c r="D1313" s="9">
        <f t="array" ref="D1313">xlookup(A1313,'données'!E$2:E$3608,'données'!K$2:K$3608)</f>
        <v>92.4</v>
      </c>
      <c r="E1313" s="5" t="b">
        <f t="shared" si="1"/>
        <v>0</v>
      </c>
    </row>
    <row r="1314">
      <c r="A1314" s="50" t="s">
        <v>976</v>
      </c>
      <c r="B1314" s="61">
        <v>97.0</v>
      </c>
      <c r="C1314" s="61">
        <v>98.0</v>
      </c>
      <c r="D1314" s="9">
        <f t="array" ref="D1314">xlookup(A1314,'données'!E$2:E$3608,'données'!K$2:K$3608)</f>
        <v>120.6</v>
      </c>
      <c r="E1314" s="5" t="b">
        <f t="shared" si="1"/>
        <v>0</v>
      </c>
    </row>
    <row r="1315">
      <c r="A1315" s="50" t="s">
        <v>973</v>
      </c>
      <c r="B1315" s="61">
        <v>97.0</v>
      </c>
      <c r="C1315" s="61">
        <v>99.0</v>
      </c>
      <c r="D1315" s="9">
        <f t="array" ref="D1315">xlookup(A1315,'données'!E$2:E$3608,'données'!K$2:K$3608)</f>
        <v>106.5</v>
      </c>
      <c r="E1315" s="5" t="b">
        <f t="shared" si="1"/>
        <v>0</v>
      </c>
    </row>
    <row r="1316">
      <c r="A1316" s="50" t="s">
        <v>6095</v>
      </c>
      <c r="B1316" s="61">
        <v>99.0</v>
      </c>
      <c r="C1316" s="61">
        <v>99.0</v>
      </c>
      <c r="D1316" s="9">
        <f t="array" ref="D1316">xlookup(A1316,'données'!E$2:E$3608,'données'!K$2:K$3608)</f>
        <v>119.9</v>
      </c>
      <c r="E1316" s="5" t="b">
        <f t="shared" si="1"/>
        <v>0</v>
      </c>
    </row>
    <row r="1317">
      <c r="A1317" s="50" t="s">
        <v>6092</v>
      </c>
      <c r="B1317" s="61">
        <v>98.0</v>
      </c>
      <c r="C1317" s="61">
        <v>98.0</v>
      </c>
      <c r="D1317" s="9">
        <f t="array" ref="D1317">xlookup(A1317,'données'!E$2:E$3608,'données'!K$2:K$3608)</f>
        <v>121.4</v>
      </c>
      <c r="E1317" s="5" t="b">
        <f t="shared" si="1"/>
        <v>0</v>
      </c>
    </row>
    <row r="1318">
      <c r="A1318" s="50" t="s">
        <v>2847</v>
      </c>
      <c r="B1318" s="61">
        <v>99.0</v>
      </c>
      <c r="C1318" s="61">
        <v>99.0</v>
      </c>
      <c r="D1318" s="9">
        <f t="array" ref="D1318">xlookup(A1318,'données'!E$2:E$3608,'données'!K$2:K$3608)</f>
        <v>109.6</v>
      </c>
      <c r="E1318" s="5" t="b">
        <f t="shared" si="1"/>
        <v>0</v>
      </c>
    </row>
    <row r="1319">
      <c r="A1319" s="50" t="s">
        <v>967</v>
      </c>
      <c r="B1319" s="61">
        <v>97.0</v>
      </c>
      <c r="C1319" s="61">
        <v>97.0</v>
      </c>
      <c r="D1319" s="9">
        <f t="array" ref="D1319">xlookup(A1319,'données'!E$2:E$3608,'données'!K$2:K$3608)</f>
        <v>99.8</v>
      </c>
      <c r="E1319" s="5" t="b">
        <f t="shared" si="1"/>
        <v>0</v>
      </c>
    </row>
    <row r="1320">
      <c r="A1320" s="50" t="s">
        <v>2843</v>
      </c>
      <c r="B1320" s="61">
        <v>98.0</v>
      </c>
      <c r="C1320" s="61">
        <v>100.0</v>
      </c>
      <c r="D1320" s="9">
        <f t="array" ref="D1320">xlookup(A1320,'données'!E$2:E$3608,'données'!K$2:K$3608)</f>
        <v>110.5</v>
      </c>
      <c r="E1320" s="5" t="b">
        <f t="shared" si="1"/>
        <v>0</v>
      </c>
    </row>
    <row r="1321">
      <c r="A1321" s="50" t="s">
        <v>2842</v>
      </c>
      <c r="B1321" s="61">
        <v>100.0</v>
      </c>
      <c r="C1321" s="61">
        <v>100.0</v>
      </c>
      <c r="D1321" s="9">
        <f t="array" ref="D1321">xlookup(A1321,'données'!E$2:E$3608,'données'!K$2:K$3608)</f>
        <v>116.5</v>
      </c>
      <c r="E1321" s="5" t="b">
        <f t="shared" si="1"/>
        <v>0</v>
      </c>
    </row>
    <row r="1322">
      <c r="A1322" s="50" t="s">
        <v>964</v>
      </c>
      <c r="B1322" s="61">
        <v>98.0</v>
      </c>
      <c r="C1322" s="61">
        <v>98.0</v>
      </c>
      <c r="D1322" s="9">
        <f t="array" ref="D1322">xlookup(A1322,'données'!E$2:E$3608,'données'!K$2:K$3608)</f>
        <v>106.6</v>
      </c>
      <c r="E1322" s="5" t="b">
        <f t="shared" si="1"/>
        <v>0</v>
      </c>
    </row>
    <row r="1323">
      <c r="A1323" s="50" t="s">
        <v>961</v>
      </c>
      <c r="B1323" s="61">
        <v>90.0</v>
      </c>
      <c r="C1323" s="61">
        <v>93.0</v>
      </c>
      <c r="D1323" s="9">
        <f t="array" ref="D1323">xlookup(A1323,'données'!E$2:E$3608,'données'!K$2:K$3608)</f>
        <v>103.5</v>
      </c>
      <c r="E1323" s="5" t="b">
        <f t="shared" si="1"/>
        <v>0</v>
      </c>
    </row>
    <row r="1324">
      <c r="A1324" s="50" t="s">
        <v>958</v>
      </c>
      <c r="B1324" s="61">
        <v>95.0</v>
      </c>
      <c r="C1324" s="61">
        <v>98.0</v>
      </c>
      <c r="D1324" s="9">
        <f t="array" ref="D1324">xlookup(A1324,'données'!E$2:E$3608,'données'!K$2:K$3608)</f>
        <v>107.4</v>
      </c>
      <c r="E1324" s="5" t="b">
        <f t="shared" si="1"/>
        <v>0</v>
      </c>
    </row>
    <row r="1325">
      <c r="A1325" s="50" t="s">
        <v>7530</v>
      </c>
      <c r="B1325" s="61">
        <v>98.0</v>
      </c>
      <c r="C1325" s="61">
        <v>100.0</v>
      </c>
      <c r="D1325" s="9">
        <f t="array" ref="D1325">xlookup(A1325,'données'!E$2:E$3608,'données'!K$2:K$3608)</f>
        <v>104</v>
      </c>
      <c r="E1325" s="5" t="b">
        <f t="shared" si="1"/>
        <v>0</v>
      </c>
    </row>
    <row r="1326">
      <c r="A1326" s="50" t="s">
        <v>955</v>
      </c>
      <c r="B1326" s="61">
        <v>97.0</v>
      </c>
      <c r="C1326" s="61">
        <v>95.0</v>
      </c>
      <c r="D1326" s="9">
        <f t="array" ref="D1326">xlookup(A1326,'données'!E$2:E$3608,'données'!K$2:K$3608)</f>
        <v>111.7</v>
      </c>
      <c r="E1326" s="5" t="b">
        <f t="shared" si="1"/>
        <v>0</v>
      </c>
    </row>
    <row r="1327">
      <c r="A1327" s="50" t="s">
        <v>7527</v>
      </c>
      <c r="B1327" s="61">
        <v>94.0</v>
      </c>
      <c r="C1327" s="61">
        <v>95.0</v>
      </c>
      <c r="D1327" s="9">
        <f t="array" ref="D1327">xlookup(A1327,'données'!E$2:E$3608,'données'!K$2:K$3608)</f>
        <v>115.6</v>
      </c>
      <c r="E1327" s="5" t="b">
        <f t="shared" si="1"/>
        <v>0</v>
      </c>
    </row>
    <row r="1328">
      <c r="A1328" s="50" t="s">
        <v>2833</v>
      </c>
      <c r="B1328" s="61">
        <v>94.0</v>
      </c>
      <c r="C1328" s="50"/>
      <c r="D1328" s="9">
        <f t="array" ref="D1328">xlookup(A1328,'données'!E$2:E$3608,'données'!K$2:K$3608)</f>
        <v>108.7</v>
      </c>
      <c r="E1328" s="5" t="b">
        <f t="shared" si="1"/>
        <v>0</v>
      </c>
    </row>
    <row r="1329">
      <c r="A1329" s="50" t="s">
        <v>2830</v>
      </c>
      <c r="B1329" s="61">
        <v>100.0</v>
      </c>
      <c r="C1329" s="61">
        <v>100.0</v>
      </c>
      <c r="D1329" s="9">
        <f t="array" ref="D1329">xlookup(A1329,'données'!E$2:E$3608,'données'!K$2:K$3608)</f>
        <v>138.8</v>
      </c>
      <c r="E1329" s="5" t="b">
        <f t="shared" si="1"/>
        <v>0</v>
      </c>
    </row>
    <row r="1330">
      <c r="A1330" s="50" t="s">
        <v>4603</v>
      </c>
      <c r="B1330" s="61">
        <v>100.0</v>
      </c>
      <c r="C1330" s="61">
        <v>100.0</v>
      </c>
      <c r="D1330" s="9">
        <f t="array" ref="D1330">xlookup(A1330,'données'!E$2:E$3608,'données'!K$2:K$3608)</f>
        <v>105.8</v>
      </c>
      <c r="E1330" s="5" t="b">
        <f t="shared" si="1"/>
        <v>0</v>
      </c>
    </row>
    <row r="1331">
      <c r="A1331" s="50" t="s">
        <v>2828</v>
      </c>
      <c r="B1331" s="61">
        <v>100.0</v>
      </c>
      <c r="C1331" s="61">
        <v>100.0</v>
      </c>
      <c r="D1331" s="9">
        <f t="array" ref="D1331">xlookup(A1331,'données'!E$2:E$3608,'données'!K$2:K$3608)</f>
        <v>115.8</v>
      </c>
      <c r="E1331" s="5" t="b">
        <f t="shared" si="1"/>
        <v>0</v>
      </c>
    </row>
    <row r="1332">
      <c r="A1332" s="50" t="s">
        <v>6084</v>
      </c>
      <c r="B1332" s="61">
        <v>99.0</v>
      </c>
      <c r="C1332" s="61">
        <v>99.0</v>
      </c>
      <c r="D1332" s="9">
        <f t="array" ref="D1332">xlookup(A1332,'données'!E$2:E$3608,'données'!K$2:K$3608)</f>
        <v>134.3</v>
      </c>
      <c r="E1332" s="5" t="b">
        <f t="shared" si="1"/>
        <v>0</v>
      </c>
    </row>
    <row r="1333">
      <c r="A1333" s="50" t="s">
        <v>2826</v>
      </c>
      <c r="B1333" s="61">
        <v>100.0</v>
      </c>
      <c r="C1333" s="61">
        <v>100.0</v>
      </c>
      <c r="D1333" s="9">
        <f t="array" ref="D1333">xlookup(A1333,'données'!E$2:E$3608,'données'!K$2:K$3608)</f>
        <v>130.6</v>
      </c>
      <c r="E1333" s="5" t="b">
        <f t="shared" si="1"/>
        <v>0</v>
      </c>
    </row>
    <row r="1334">
      <c r="A1334" s="50" t="s">
        <v>6082</v>
      </c>
      <c r="B1334" s="61">
        <v>83.0</v>
      </c>
      <c r="C1334" s="61">
        <v>83.0</v>
      </c>
      <c r="D1334" s="9">
        <f t="array" ref="D1334">xlookup(A1334,'données'!E$2:E$3608,'données'!K$2:K$3608)</f>
        <v>103.6</v>
      </c>
      <c r="E1334" s="5" t="b">
        <f t="shared" si="1"/>
        <v>0</v>
      </c>
    </row>
    <row r="1335">
      <c r="A1335" s="50" t="s">
        <v>2823</v>
      </c>
      <c r="B1335" s="61">
        <v>99.0</v>
      </c>
      <c r="C1335" s="61">
        <v>100.0</v>
      </c>
      <c r="D1335" s="9">
        <f t="array" ref="D1335">xlookup(A1335,'données'!E$2:E$3608,'données'!K$2:K$3608)</f>
        <v>105.8</v>
      </c>
      <c r="E1335" s="5" t="b">
        <f t="shared" si="1"/>
        <v>0</v>
      </c>
    </row>
    <row r="1336">
      <c r="A1336" s="50" t="s">
        <v>952</v>
      </c>
      <c r="B1336" s="61">
        <v>95.0</v>
      </c>
      <c r="C1336" s="61">
        <v>95.0</v>
      </c>
      <c r="D1336" s="9">
        <f t="array" ref="D1336">xlookup(A1336,'données'!E$2:E$3608,'données'!K$2:K$3608)</f>
        <v>109.9</v>
      </c>
      <c r="E1336" s="5" t="b">
        <f t="shared" si="1"/>
        <v>0</v>
      </c>
    </row>
    <row r="1337">
      <c r="A1337" s="50" t="s">
        <v>7520</v>
      </c>
      <c r="B1337" s="61">
        <v>96.0</v>
      </c>
      <c r="C1337" s="61">
        <v>97.0</v>
      </c>
      <c r="D1337" s="9">
        <f t="array" ref="D1337">xlookup(A1337,'données'!E$2:E$3608,'données'!K$2:K$3608)</f>
        <v>105</v>
      </c>
      <c r="E1337" s="5" t="b">
        <f t="shared" si="1"/>
        <v>0</v>
      </c>
    </row>
    <row r="1338">
      <c r="A1338" s="50" t="s">
        <v>949</v>
      </c>
      <c r="B1338" s="61">
        <v>100.0</v>
      </c>
      <c r="C1338" s="61">
        <v>100.0</v>
      </c>
      <c r="D1338" s="9">
        <f t="array" ref="D1338">xlookup(A1338,'données'!E$2:E$3608,'données'!K$2:K$3608)</f>
        <v>113.9</v>
      </c>
      <c r="E1338" s="5" t="b">
        <f t="shared" si="1"/>
        <v>0</v>
      </c>
    </row>
    <row r="1339">
      <c r="A1339" s="50" t="s">
        <v>943</v>
      </c>
      <c r="B1339" s="61">
        <v>99.0</v>
      </c>
      <c r="C1339" s="61">
        <v>98.0</v>
      </c>
      <c r="D1339" s="9">
        <f t="array" ref="D1339">xlookup(A1339,'données'!E$2:E$3608,'données'!K$2:K$3608)</f>
        <v>106.9</v>
      </c>
      <c r="E1339" s="5" t="b">
        <f t="shared" si="1"/>
        <v>0</v>
      </c>
    </row>
    <row r="1340">
      <c r="A1340" s="50" t="s">
        <v>7517</v>
      </c>
      <c r="B1340" s="61">
        <v>97.0</v>
      </c>
      <c r="C1340" s="61">
        <v>99.0</v>
      </c>
      <c r="D1340" s="9">
        <f t="array" ref="D1340">xlookup(A1340,'données'!E$2:E$3608,'données'!K$2:K$3608)</f>
        <v>112.6</v>
      </c>
      <c r="E1340" s="5" t="b">
        <f t="shared" si="1"/>
        <v>0</v>
      </c>
    </row>
    <row r="1341">
      <c r="A1341" s="50" t="s">
        <v>2818</v>
      </c>
      <c r="B1341" s="61">
        <v>97.0</v>
      </c>
      <c r="C1341" s="61">
        <v>97.0</v>
      </c>
      <c r="D1341" s="9">
        <f t="array" ref="D1341">xlookup(A1341,'données'!E$2:E$3608,'données'!K$2:K$3608)</f>
        <v>115.5</v>
      </c>
      <c r="E1341" s="5" t="b">
        <f t="shared" si="1"/>
        <v>0</v>
      </c>
    </row>
    <row r="1342">
      <c r="A1342" s="50" t="s">
        <v>4599</v>
      </c>
      <c r="B1342" s="61">
        <v>97.0</v>
      </c>
      <c r="C1342" s="61">
        <v>98.0</v>
      </c>
      <c r="D1342" s="9">
        <f t="array" ref="D1342">xlookup(A1342,'données'!E$2:E$3608,'données'!K$2:K$3608)</f>
        <v>115.7</v>
      </c>
      <c r="E1342" s="5" t="b">
        <f t="shared" si="1"/>
        <v>0</v>
      </c>
    </row>
    <row r="1343">
      <c r="A1343" s="50" t="s">
        <v>940</v>
      </c>
      <c r="B1343" s="61">
        <v>94.0</v>
      </c>
      <c r="C1343" s="61">
        <v>99.0</v>
      </c>
      <c r="D1343" s="9">
        <f t="array" ref="D1343">xlookup(A1343,'données'!E$2:E$3608,'données'!K$2:K$3608)</f>
        <v>108.4</v>
      </c>
      <c r="E1343" s="5" t="b">
        <f t="shared" si="1"/>
        <v>0</v>
      </c>
    </row>
    <row r="1344">
      <c r="A1344" s="50" t="s">
        <v>938</v>
      </c>
      <c r="B1344" s="61">
        <v>96.0</v>
      </c>
      <c r="C1344" s="61">
        <v>100.0</v>
      </c>
      <c r="D1344" s="9">
        <f t="array" ref="D1344">xlookup(A1344,'données'!E$2:E$3608,'données'!K$2:K$3608)</f>
        <v>121.8</v>
      </c>
      <c r="E1344" s="5" t="b">
        <f t="shared" si="1"/>
        <v>0</v>
      </c>
    </row>
    <row r="1345">
      <c r="A1345" s="50" t="s">
        <v>935</v>
      </c>
      <c r="B1345" s="61">
        <v>96.0</v>
      </c>
      <c r="C1345" s="61">
        <v>98.0</v>
      </c>
      <c r="D1345" s="9">
        <f t="array" ref="D1345">xlookup(A1345,'données'!E$2:E$3608,'données'!K$2:K$3608)</f>
        <v>99</v>
      </c>
      <c r="E1345" s="5" t="b">
        <f t="shared" si="1"/>
        <v>0</v>
      </c>
    </row>
    <row r="1346">
      <c r="A1346" s="50" t="s">
        <v>7515</v>
      </c>
      <c r="B1346" s="61">
        <v>99.0</v>
      </c>
      <c r="C1346" s="61">
        <v>99.0</v>
      </c>
      <c r="D1346" s="9">
        <f t="array" ref="D1346">xlookup(A1346,'données'!E$2:E$3608,'données'!K$2:K$3608)</f>
        <v>117.5</v>
      </c>
      <c r="E1346" s="5" t="b">
        <f t="shared" si="1"/>
        <v>0</v>
      </c>
    </row>
    <row r="1347">
      <c r="A1347" s="50" t="s">
        <v>4597</v>
      </c>
      <c r="B1347" s="61">
        <v>97.0</v>
      </c>
      <c r="C1347" s="61">
        <v>99.0</v>
      </c>
      <c r="D1347" s="9">
        <f t="array" ref="D1347">xlookup(A1347,'données'!E$2:E$3608,'données'!K$2:K$3608)</f>
        <v>122.8</v>
      </c>
      <c r="E1347" s="5" t="b">
        <f t="shared" si="1"/>
        <v>0</v>
      </c>
    </row>
    <row r="1348">
      <c r="A1348" s="50" t="s">
        <v>2816</v>
      </c>
      <c r="B1348" s="61">
        <v>98.0</v>
      </c>
      <c r="C1348" s="61">
        <v>98.0</v>
      </c>
      <c r="D1348" s="9">
        <f t="array" ref="D1348">xlookup(A1348,'données'!E$2:E$3608,'données'!K$2:K$3608)</f>
        <v>126</v>
      </c>
      <c r="E1348" s="5" t="b">
        <f t="shared" si="1"/>
        <v>0</v>
      </c>
    </row>
    <row r="1349">
      <c r="A1349" s="50" t="s">
        <v>932</v>
      </c>
      <c r="B1349" s="61">
        <v>95.0</v>
      </c>
      <c r="C1349" s="61">
        <v>96.0</v>
      </c>
      <c r="D1349" s="9">
        <f t="array" ref="D1349">xlookup(A1349,'données'!E$2:E$3608,'données'!K$2:K$3608)</f>
        <v>112.1</v>
      </c>
      <c r="E1349" s="5" t="b">
        <f t="shared" si="1"/>
        <v>0</v>
      </c>
    </row>
    <row r="1350">
      <c r="A1350" s="50" t="s">
        <v>6068</v>
      </c>
      <c r="B1350" s="61">
        <v>97.0</v>
      </c>
      <c r="C1350" s="61">
        <v>97.0</v>
      </c>
      <c r="D1350" s="9">
        <f t="array" ref="D1350">xlookup(A1350,'données'!E$2:E$3608,'données'!K$2:K$3608)</f>
        <v>99.2</v>
      </c>
      <c r="E1350" s="5" t="b">
        <f t="shared" si="1"/>
        <v>0</v>
      </c>
    </row>
    <row r="1351">
      <c r="A1351" s="50" t="s">
        <v>2813</v>
      </c>
      <c r="B1351" s="61">
        <v>97.0</v>
      </c>
      <c r="C1351" s="61">
        <v>97.0</v>
      </c>
      <c r="D1351" s="9">
        <f t="array" ref="D1351">xlookup(A1351,'données'!E$2:E$3608,'données'!K$2:K$3608)</f>
        <v>108.2</v>
      </c>
      <c r="E1351" s="5" t="b">
        <f t="shared" si="1"/>
        <v>0</v>
      </c>
    </row>
    <row r="1352">
      <c r="A1352" s="50" t="s">
        <v>7511</v>
      </c>
      <c r="B1352" s="61">
        <v>100.0</v>
      </c>
      <c r="C1352" s="50"/>
      <c r="D1352" s="9">
        <f t="array" ref="D1352">xlookup(A1352,'données'!E$2:E$3608,'données'!K$2:K$3608)</f>
        <v>108.4</v>
      </c>
      <c r="E1352" s="5" t="b">
        <f t="shared" si="1"/>
        <v>0</v>
      </c>
    </row>
    <row r="1353">
      <c r="A1353" s="50" t="s">
        <v>4594</v>
      </c>
      <c r="B1353" s="61">
        <v>100.0</v>
      </c>
      <c r="C1353" s="61">
        <v>100.0</v>
      </c>
      <c r="D1353" s="9">
        <f t="array" ref="D1353">xlookup(A1353,'données'!E$2:E$3608,'données'!K$2:K$3608)</f>
        <v>108.1</v>
      </c>
      <c r="E1353" s="5" t="b">
        <f t="shared" si="1"/>
        <v>0</v>
      </c>
    </row>
    <row r="1354">
      <c r="A1354" s="50" t="s">
        <v>2806</v>
      </c>
      <c r="B1354" s="61">
        <v>98.0</v>
      </c>
      <c r="C1354" s="61">
        <v>99.0</v>
      </c>
      <c r="D1354" s="9">
        <f t="array" ref="D1354">xlookup(A1354,'données'!E$2:E$3608,'données'!K$2:K$3608)</f>
        <v>120.8</v>
      </c>
      <c r="E1354" s="5" t="b">
        <f t="shared" si="1"/>
        <v>0</v>
      </c>
    </row>
    <row r="1355">
      <c r="A1355" s="50" t="s">
        <v>4592</v>
      </c>
      <c r="B1355" s="61">
        <v>100.0</v>
      </c>
      <c r="C1355" s="61">
        <v>100.0</v>
      </c>
      <c r="D1355" s="9">
        <f t="array" ref="D1355">xlookup(A1355,'données'!E$2:E$3608,'données'!K$2:K$3608)</f>
        <v>124</v>
      </c>
      <c r="E1355" s="5" t="b">
        <f t="shared" si="1"/>
        <v>0</v>
      </c>
    </row>
    <row r="1356">
      <c r="A1356" s="50" t="s">
        <v>6063</v>
      </c>
      <c r="B1356" s="61">
        <v>100.0</v>
      </c>
      <c r="C1356" s="61">
        <v>100.0</v>
      </c>
      <c r="D1356" s="9">
        <f t="array" ref="D1356">xlookup(A1356,'données'!E$2:E$3608,'données'!K$2:K$3608)</f>
        <v>111.9</v>
      </c>
      <c r="E1356" s="5" t="b">
        <f t="shared" si="1"/>
        <v>0</v>
      </c>
    </row>
    <row r="1357">
      <c r="A1357" s="50" t="s">
        <v>6062</v>
      </c>
      <c r="B1357" s="61">
        <v>99.0</v>
      </c>
      <c r="C1357" s="61">
        <v>100.0</v>
      </c>
      <c r="D1357" s="9">
        <f t="array" ref="D1357">xlookup(A1357,'données'!E$2:E$3608,'données'!K$2:K$3608)</f>
        <v>111.5</v>
      </c>
      <c r="E1357" s="5" t="b">
        <f t="shared" si="1"/>
        <v>0</v>
      </c>
    </row>
    <row r="1358">
      <c r="A1358" s="50" t="s">
        <v>4588</v>
      </c>
      <c r="B1358" s="61">
        <v>97.0</v>
      </c>
      <c r="C1358" s="61">
        <v>100.0</v>
      </c>
      <c r="D1358" s="9">
        <f t="array" ref="D1358">xlookup(A1358,'données'!E$2:E$3608,'données'!K$2:K$3608)</f>
        <v>107.9</v>
      </c>
      <c r="E1358" s="5" t="b">
        <f t="shared" si="1"/>
        <v>0</v>
      </c>
    </row>
    <row r="1359">
      <c r="A1359" s="50" t="s">
        <v>6058</v>
      </c>
      <c r="B1359" s="61">
        <v>94.0</v>
      </c>
      <c r="C1359" s="61">
        <v>94.0</v>
      </c>
      <c r="D1359" s="9">
        <f t="array" ref="D1359">xlookup(A1359,'données'!E$2:E$3608,'données'!K$2:K$3608)</f>
        <v>112.3</v>
      </c>
      <c r="E1359" s="5" t="b">
        <f t="shared" si="1"/>
        <v>0</v>
      </c>
    </row>
    <row r="1360">
      <c r="A1360" s="50" t="s">
        <v>7509</v>
      </c>
      <c r="B1360" s="61">
        <v>97.0</v>
      </c>
      <c r="C1360" s="61">
        <v>97.0</v>
      </c>
      <c r="D1360" s="9">
        <f t="array" ref="D1360">xlookup(A1360,'données'!E$2:E$3608,'données'!K$2:K$3608)</f>
        <v>114.3</v>
      </c>
      <c r="E1360" s="5" t="b">
        <f t="shared" si="1"/>
        <v>0</v>
      </c>
    </row>
    <row r="1361">
      <c r="A1361" s="50" t="s">
        <v>6057</v>
      </c>
      <c r="B1361" s="61">
        <v>99.0</v>
      </c>
      <c r="C1361" s="61">
        <v>99.0</v>
      </c>
      <c r="D1361" s="9">
        <f t="array" ref="D1361">xlookup(A1361,'données'!E$2:E$3608,'données'!K$2:K$3608)</f>
        <v>114.2</v>
      </c>
      <c r="E1361" s="5" t="b">
        <f t="shared" si="1"/>
        <v>0</v>
      </c>
    </row>
    <row r="1362">
      <c r="A1362" s="50" t="s">
        <v>7507</v>
      </c>
      <c r="B1362" s="61">
        <v>98.0</v>
      </c>
      <c r="C1362" s="61">
        <v>98.0</v>
      </c>
      <c r="D1362" s="9">
        <f t="array" ref="D1362">xlookup(A1362,'données'!E$2:E$3608,'données'!K$2:K$3608)</f>
        <v>115.1</v>
      </c>
      <c r="E1362" s="5" t="b">
        <f t="shared" si="1"/>
        <v>0</v>
      </c>
    </row>
    <row r="1363">
      <c r="A1363" s="50" t="s">
        <v>6053</v>
      </c>
      <c r="B1363" s="61">
        <v>94.0</v>
      </c>
      <c r="C1363" s="61">
        <v>95.0</v>
      </c>
      <c r="D1363" s="9">
        <f t="array" ref="D1363">xlookup(A1363,'données'!E$2:E$3608,'données'!K$2:K$3608)</f>
        <v>105.3</v>
      </c>
      <c r="E1363" s="5" t="b">
        <f t="shared" si="1"/>
        <v>0</v>
      </c>
    </row>
    <row r="1364">
      <c r="A1364" s="50" t="s">
        <v>6051</v>
      </c>
      <c r="B1364" s="61">
        <v>100.0</v>
      </c>
      <c r="C1364" s="61">
        <v>100.0</v>
      </c>
      <c r="D1364" s="9">
        <f t="array" ref="D1364">xlookup(A1364,'données'!E$2:E$3608,'données'!K$2:K$3608)</f>
        <v>110.5</v>
      </c>
      <c r="E1364" s="5" t="b">
        <f t="shared" si="1"/>
        <v>0</v>
      </c>
    </row>
    <row r="1365">
      <c r="A1365" s="50" t="s">
        <v>4583</v>
      </c>
      <c r="B1365" s="61">
        <v>100.0</v>
      </c>
      <c r="C1365" s="61">
        <v>100.0</v>
      </c>
      <c r="D1365" s="9">
        <f t="array" ref="D1365">xlookup(A1365,'données'!E$2:E$3608,'données'!K$2:K$3608)</f>
        <v>118.3</v>
      </c>
      <c r="E1365" s="5" t="b">
        <f t="shared" si="1"/>
        <v>0</v>
      </c>
    </row>
    <row r="1366">
      <c r="A1366" s="50" t="s">
        <v>4579</v>
      </c>
      <c r="B1366" s="61">
        <v>96.0</v>
      </c>
      <c r="C1366" s="61">
        <v>98.0</v>
      </c>
      <c r="D1366" s="9">
        <f t="array" ref="D1366">xlookup(A1366,'données'!E$2:E$3608,'données'!K$2:K$3608)</f>
        <v>102.5</v>
      </c>
      <c r="E1366" s="5" t="b">
        <f t="shared" si="1"/>
        <v>0</v>
      </c>
    </row>
    <row r="1367">
      <c r="A1367" s="50" t="s">
        <v>7503</v>
      </c>
      <c r="B1367" s="61">
        <v>89.0</v>
      </c>
      <c r="C1367" s="61">
        <v>89.0</v>
      </c>
      <c r="D1367" s="9">
        <f t="array" ref="D1367">xlookup(A1367,'données'!E$2:E$3608,'données'!K$2:K$3608)</f>
        <v>92.9</v>
      </c>
      <c r="E1367" s="5" t="b">
        <f t="shared" si="1"/>
        <v>0</v>
      </c>
    </row>
    <row r="1368">
      <c r="A1368" s="50" t="s">
        <v>6049</v>
      </c>
      <c r="B1368" s="61">
        <v>95.0</v>
      </c>
      <c r="C1368" s="61">
        <v>98.0</v>
      </c>
      <c r="D1368" s="9">
        <f t="array" ref="D1368">xlookup(A1368,'données'!E$2:E$3608,'données'!K$2:K$3608)</f>
        <v>108.6</v>
      </c>
      <c r="E1368" s="5" t="b">
        <f t="shared" si="1"/>
        <v>0</v>
      </c>
    </row>
    <row r="1369">
      <c r="A1369" s="50" t="s">
        <v>6046</v>
      </c>
      <c r="B1369" s="61">
        <v>93.0</v>
      </c>
      <c r="C1369" s="61">
        <v>94.0</v>
      </c>
      <c r="D1369" s="9">
        <f t="array" ref="D1369">xlookup(A1369,'données'!E$2:E$3608,'données'!K$2:K$3608)</f>
        <v>97.2</v>
      </c>
      <c r="E1369" s="5" t="b">
        <f t="shared" si="1"/>
        <v>0</v>
      </c>
    </row>
    <row r="1370">
      <c r="A1370" s="50" t="s">
        <v>7501</v>
      </c>
      <c r="B1370" s="61">
        <v>84.0</v>
      </c>
      <c r="C1370" s="61">
        <v>82.0</v>
      </c>
      <c r="D1370" s="9">
        <f t="array" ref="D1370">xlookup(A1370,'données'!E$2:E$3608,'données'!K$2:K$3608)</f>
        <v>98.4</v>
      </c>
      <c r="E1370" s="5" t="b">
        <f t="shared" si="1"/>
        <v>0</v>
      </c>
    </row>
    <row r="1371">
      <c r="A1371" s="50" t="s">
        <v>7499</v>
      </c>
      <c r="B1371" s="61">
        <v>98.0</v>
      </c>
      <c r="C1371" s="61">
        <v>98.0</v>
      </c>
      <c r="D1371" s="9">
        <f t="array" ref="D1371">xlookup(A1371,'données'!E$2:E$3608,'données'!K$2:K$3608)</f>
        <v>123.6</v>
      </c>
      <c r="E1371" s="5" t="b">
        <f t="shared" si="1"/>
        <v>0</v>
      </c>
    </row>
    <row r="1372">
      <c r="A1372" s="50" t="s">
        <v>6043</v>
      </c>
      <c r="B1372" s="61">
        <v>93.0</v>
      </c>
      <c r="C1372" s="61">
        <v>92.0</v>
      </c>
      <c r="D1372" s="9">
        <f t="array" ref="D1372">xlookup(A1372,'données'!E$2:E$3608,'données'!K$2:K$3608)</f>
        <v>99.5</v>
      </c>
      <c r="E1372" s="5" t="b">
        <f t="shared" si="1"/>
        <v>0</v>
      </c>
    </row>
    <row r="1373">
      <c r="A1373" s="50" t="s">
        <v>7497</v>
      </c>
      <c r="B1373" s="61">
        <v>95.0</v>
      </c>
      <c r="C1373" s="61">
        <v>100.0</v>
      </c>
      <c r="D1373" s="9">
        <f t="array" ref="D1373">xlookup(A1373,'données'!E$2:E$3608,'données'!K$2:K$3608)</f>
        <v>105</v>
      </c>
      <c r="E1373" s="5" t="b">
        <f t="shared" si="1"/>
        <v>0</v>
      </c>
    </row>
    <row r="1374">
      <c r="A1374" s="50" t="s">
        <v>7493</v>
      </c>
      <c r="B1374" s="61">
        <v>98.0</v>
      </c>
      <c r="C1374" s="61">
        <v>99.0</v>
      </c>
      <c r="D1374" s="9">
        <f t="array" ref="D1374">xlookup(A1374,'données'!E$2:E$3608,'données'!K$2:K$3608)</f>
        <v>119.5</v>
      </c>
      <c r="E1374" s="5" t="b">
        <f t="shared" si="1"/>
        <v>0</v>
      </c>
    </row>
    <row r="1375">
      <c r="A1375" s="50" t="s">
        <v>7491</v>
      </c>
      <c r="B1375" s="61">
        <v>98.0</v>
      </c>
      <c r="C1375" s="61">
        <v>100.0</v>
      </c>
      <c r="D1375" s="9">
        <f t="array" ref="D1375">xlookup(A1375,'données'!E$2:E$3608,'données'!K$2:K$3608)</f>
        <v>120.5</v>
      </c>
      <c r="E1375" s="5" t="b">
        <f t="shared" si="1"/>
        <v>0</v>
      </c>
    </row>
    <row r="1376">
      <c r="A1376" s="50" t="s">
        <v>915</v>
      </c>
      <c r="B1376" s="61">
        <v>100.0</v>
      </c>
      <c r="C1376" s="61">
        <v>100.0</v>
      </c>
      <c r="D1376" s="9">
        <f t="array" ref="D1376">xlookup(A1376,'données'!E$2:E$3608,'données'!K$2:K$3608)</f>
        <v>108.4</v>
      </c>
      <c r="E1376" s="5" t="b">
        <f t="shared" si="1"/>
        <v>0</v>
      </c>
    </row>
    <row r="1377">
      <c r="A1377" s="50" t="s">
        <v>2804</v>
      </c>
      <c r="B1377" s="61">
        <v>100.0</v>
      </c>
      <c r="C1377" s="61">
        <v>100.0</v>
      </c>
      <c r="D1377" s="9">
        <f t="array" ref="D1377">xlookup(A1377,'données'!E$2:E$3608,'données'!K$2:K$3608)</f>
        <v>132</v>
      </c>
      <c r="E1377" s="5" t="b">
        <f t="shared" si="1"/>
        <v>0</v>
      </c>
    </row>
    <row r="1378">
      <c r="A1378" s="50" t="s">
        <v>2803</v>
      </c>
      <c r="B1378" s="61">
        <v>100.0</v>
      </c>
      <c r="C1378" s="61">
        <v>100.0</v>
      </c>
      <c r="D1378" s="9">
        <f t="array" ref="D1378">xlookup(A1378,'données'!E$2:E$3608,'données'!K$2:K$3608)</f>
        <v>141.9</v>
      </c>
      <c r="E1378" s="5" t="b">
        <f t="shared" si="1"/>
        <v>0</v>
      </c>
    </row>
    <row r="1379">
      <c r="A1379" s="50" t="s">
        <v>4577</v>
      </c>
      <c r="B1379" s="61">
        <v>100.0</v>
      </c>
      <c r="C1379" s="61">
        <v>100.0</v>
      </c>
      <c r="D1379" s="9">
        <f t="array" ref="D1379">xlookup(A1379,'données'!E$2:E$3608,'données'!K$2:K$3608)</f>
        <v>115.3</v>
      </c>
      <c r="E1379" s="5" t="b">
        <f t="shared" si="1"/>
        <v>0</v>
      </c>
    </row>
    <row r="1380">
      <c r="A1380" s="50" t="s">
        <v>2801</v>
      </c>
      <c r="B1380" s="61">
        <v>100.0</v>
      </c>
      <c r="C1380" s="61">
        <v>100.0</v>
      </c>
      <c r="D1380" s="9">
        <f t="array" ref="D1380">xlookup(A1380,'données'!E$2:E$3608,'données'!K$2:K$3608)</f>
        <v>129.8</v>
      </c>
      <c r="E1380" s="5" t="b">
        <f t="shared" si="1"/>
        <v>0</v>
      </c>
    </row>
    <row r="1381">
      <c r="A1381" s="50" t="s">
        <v>912</v>
      </c>
      <c r="B1381" s="61">
        <v>95.0</v>
      </c>
      <c r="C1381" s="61">
        <v>96.0</v>
      </c>
      <c r="D1381" s="9">
        <f t="array" ref="D1381">xlookup(A1381,'données'!E$2:E$3608,'données'!K$2:K$3608)</f>
        <v>110.4</v>
      </c>
      <c r="E1381" s="5" t="b">
        <f t="shared" si="1"/>
        <v>0</v>
      </c>
    </row>
    <row r="1382">
      <c r="A1382" s="50" t="s">
        <v>909</v>
      </c>
      <c r="B1382" s="61">
        <v>95.0</v>
      </c>
      <c r="C1382" s="61">
        <v>95.0</v>
      </c>
      <c r="D1382" s="9">
        <f t="array" ref="D1382">xlookup(A1382,'données'!E$2:E$3608,'données'!K$2:K$3608)</f>
        <v>101.4</v>
      </c>
      <c r="E1382" s="5" t="b">
        <f t="shared" si="1"/>
        <v>0</v>
      </c>
    </row>
    <row r="1383">
      <c r="A1383" s="50" t="s">
        <v>2798</v>
      </c>
      <c r="B1383" s="61">
        <v>94.0</v>
      </c>
      <c r="C1383" s="61">
        <v>94.0</v>
      </c>
      <c r="D1383" s="9">
        <f t="array" ref="D1383">xlookup(A1383,'données'!E$2:E$3608,'données'!K$2:K$3608)</f>
        <v>99.8</v>
      </c>
      <c r="E1383" s="5" t="b">
        <f t="shared" si="1"/>
        <v>0</v>
      </c>
    </row>
    <row r="1384">
      <c r="A1384" s="50" t="s">
        <v>2794</v>
      </c>
      <c r="B1384" s="61">
        <v>93.0</v>
      </c>
      <c r="C1384" s="61">
        <v>96.0</v>
      </c>
      <c r="D1384" s="9">
        <f t="array" ref="D1384">xlookup(A1384,'données'!E$2:E$3608,'données'!K$2:K$3608)</f>
        <v>91.8</v>
      </c>
      <c r="E1384" s="5" t="b">
        <f t="shared" si="1"/>
        <v>0</v>
      </c>
    </row>
    <row r="1385">
      <c r="A1385" s="50" t="s">
        <v>907</v>
      </c>
      <c r="B1385" s="61">
        <v>93.0</v>
      </c>
      <c r="C1385" s="61">
        <v>94.0</v>
      </c>
      <c r="D1385" s="9">
        <f t="array" ref="D1385">xlookup(A1385,'données'!E$2:E$3608,'données'!K$2:K$3608)</f>
        <v>110</v>
      </c>
      <c r="E1385" s="5" t="b">
        <f t="shared" si="1"/>
        <v>0</v>
      </c>
    </row>
    <row r="1386">
      <c r="A1386" s="50" t="s">
        <v>905</v>
      </c>
      <c r="B1386" s="61">
        <v>100.0</v>
      </c>
      <c r="C1386" s="61">
        <v>100.0</v>
      </c>
      <c r="D1386" s="9">
        <f t="array" ref="D1386">xlookup(A1386,'données'!E$2:E$3608,'données'!K$2:K$3608)</f>
        <v>124.3</v>
      </c>
      <c r="E1386" s="5" t="b">
        <f t="shared" si="1"/>
        <v>0</v>
      </c>
    </row>
    <row r="1387">
      <c r="A1387" s="50" t="s">
        <v>7489</v>
      </c>
      <c r="B1387" s="61">
        <v>97.0</v>
      </c>
      <c r="C1387" s="61">
        <v>97.0</v>
      </c>
      <c r="D1387" s="9">
        <f t="array" ref="D1387">xlookup(A1387,'données'!E$2:E$3608,'données'!K$2:K$3608)</f>
        <v>112.4</v>
      </c>
      <c r="E1387" s="5" t="b">
        <f t="shared" si="1"/>
        <v>0</v>
      </c>
    </row>
    <row r="1388">
      <c r="A1388" s="50" t="s">
        <v>7487</v>
      </c>
      <c r="B1388" s="61">
        <v>91.0</v>
      </c>
      <c r="C1388" s="61">
        <v>95.0</v>
      </c>
      <c r="D1388" s="9">
        <f t="array" ref="D1388">xlookup(A1388,'données'!E$2:E$3608,'données'!K$2:K$3608)</f>
        <v>108.9</v>
      </c>
      <c r="E1388" s="5" t="b">
        <f t="shared" si="1"/>
        <v>0</v>
      </c>
    </row>
    <row r="1389">
      <c r="A1389" s="50" t="s">
        <v>2791</v>
      </c>
      <c r="B1389" s="61">
        <v>96.0</v>
      </c>
      <c r="C1389" s="61">
        <v>96.0</v>
      </c>
      <c r="D1389" s="9">
        <f t="array" ref="D1389">xlookup(A1389,'données'!E$2:E$3608,'données'!K$2:K$3608)</f>
        <v>118.6</v>
      </c>
      <c r="E1389" s="5" t="b">
        <f t="shared" si="1"/>
        <v>0</v>
      </c>
    </row>
    <row r="1390">
      <c r="A1390" s="50" t="s">
        <v>7483</v>
      </c>
      <c r="B1390" s="61">
        <v>100.0</v>
      </c>
      <c r="C1390" s="50"/>
      <c r="D1390" s="9">
        <f t="array" ref="D1390">xlookup(A1390,'données'!E$2:E$3608,'données'!K$2:K$3608)</f>
        <v>110</v>
      </c>
      <c r="E1390" s="5" t="b">
        <f t="shared" si="1"/>
        <v>0</v>
      </c>
    </row>
    <row r="1391">
      <c r="A1391" s="50" t="s">
        <v>901</v>
      </c>
      <c r="B1391" s="61">
        <v>98.0</v>
      </c>
      <c r="C1391" s="61">
        <v>99.0</v>
      </c>
      <c r="D1391" s="9">
        <f t="array" ref="D1391">xlookup(A1391,'données'!E$2:E$3608,'données'!K$2:K$3608)</f>
        <v>106.8</v>
      </c>
      <c r="E1391" s="5" t="b">
        <f t="shared" si="1"/>
        <v>0</v>
      </c>
    </row>
    <row r="1392">
      <c r="A1392" s="50" t="s">
        <v>899</v>
      </c>
      <c r="B1392" s="61">
        <v>99.0</v>
      </c>
      <c r="C1392" s="61">
        <v>98.0</v>
      </c>
      <c r="D1392" s="9">
        <f t="array" ref="D1392">xlookup(A1392,'données'!E$2:E$3608,'données'!K$2:K$3608)</f>
        <v>119.2</v>
      </c>
      <c r="E1392" s="5" t="b">
        <f t="shared" si="1"/>
        <v>0</v>
      </c>
    </row>
    <row r="1393">
      <c r="A1393" s="50" t="s">
        <v>2787</v>
      </c>
      <c r="B1393" s="61">
        <v>100.0</v>
      </c>
      <c r="C1393" s="61">
        <v>100.0</v>
      </c>
      <c r="D1393" s="9">
        <f t="array" ref="D1393">xlookup(A1393,'données'!E$2:E$3608,'données'!K$2:K$3608)</f>
        <v>121.4</v>
      </c>
      <c r="E1393" s="5" t="b">
        <f t="shared" si="1"/>
        <v>0</v>
      </c>
    </row>
    <row r="1394">
      <c r="A1394" s="50" t="s">
        <v>6035</v>
      </c>
      <c r="B1394" s="61">
        <v>96.0</v>
      </c>
      <c r="C1394" s="61">
        <v>100.0</v>
      </c>
      <c r="D1394" s="9">
        <f t="array" ref="D1394">xlookup(A1394,'données'!E$2:E$3608,'données'!K$2:K$3608)</f>
        <v>107.3</v>
      </c>
      <c r="E1394" s="5" t="b">
        <f t="shared" si="1"/>
        <v>0</v>
      </c>
    </row>
    <row r="1395">
      <c r="A1395" s="50" t="s">
        <v>6033</v>
      </c>
      <c r="B1395" s="61">
        <v>97.0</v>
      </c>
      <c r="C1395" s="50"/>
      <c r="D1395" s="9">
        <f t="array" ref="D1395">xlookup(A1395,'données'!E$2:E$3608,'données'!K$2:K$3608)</f>
        <v>96.8</v>
      </c>
      <c r="E1395" s="5" t="b">
        <f t="shared" si="1"/>
        <v>0</v>
      </c>
    </row>
    <row r="1396">
      <c r="A1396" s="50" t="s">
        <v>4568</v>
      </c>
      <c r="B1396" s="61">
        <v>99.0</v>
      </c>
      <c r="C1396" s="61">
        <v>98.0</v>
      </c>
      <c r="D1396" s="9">
        <f t="array" ref="D1396">xlookup(A1396,'données'!E$2:E$3608,'données'!K$2:K$3608)</f>
        <v>122.7</v>
      </c>
      <c r="E1396" s="5" t="b">
        <f t="shared" si="1"/>
        <v>0</v>
      </c>
    </row>
    <row r="1397">
      <c r="A1397" s="50" t="s">
        <v>891</v>
      </c>
      <c r="B1397" s="61">
        <v>99.0</v>
      </c>
      <c r="C1397" s="61">
        <v>99.0</v>
      </c>
      <c r="D1397" s="9">
        <f t="array" ref="D1397">xlookup(A1397,'données'!E$2:E$3608,'données'!K$2:K$3608)</f>
        <v>118.1</v>
      </c>
      <c r="E1397" s="5" t="b">
        <f t="shared" si="1"/>
        <v>0</v>
      </c>
    </row>
    <row r="1398">
      <c r="A1398" s="50" t="s">
        <v>888</v>
      </c>
      <c r="B1398" s="61">
        <v>100.0</v>
      </c>
      <c r="C1398" s="61">
        <v>100.0</v>
      </c>
      <c r="D1398" s="9">
        <f t="array" ref="D1398">xlookup(A1398,'données'!E$2:E$3608,'données'!K$2:K$3608)</f>
        <v>117.1</v>
      </c>
      <c r="E1398" s="5" t="b">
        <f t="shared" si="1"/>
        <v>0</v>
      </c>
    </row>
    <row r="1399">
      <c r="A1399" s="50" t="s">
        <v>4566</v>
      </c>
      <c r="B1399" s="61">
        <v>100.0</v>
      </c>
      <c r="C1399" s="61">
        <v>100.0</v>
      </c>
      <c r="D1399" s="9">
        <f t="array" ref="D1399">xlookup(A1399,'données'!E$2:E$3608,'données'!K$2:K$3608)</f>
        <v>110.4</v>
      </c>
      <c r="E1399" s="5" t="b">
        <f t="shared" si="1"/>
        <v>0</v>
      </c>
    </row>
    <row r="1400">
      <c r="A1400" s="50" t="s">
        <v>7480</v>
      </c>
      <c r="B1400" s="61">
        <v>98.0</v>
      </c>
      <c r="C1400" s="61">
        <v>98.0</v>
      </c>
      <c r="D1400" s="9">
        <f t="array" ref="D1400">xlookup(A1400,'données'!E$2:E$3608,'données'!K$2:K$3608)</f>
        <v>111</v>
      </c>
      <c r="E1400" s="5" t="b">
        <f t="shared" si="1"/>
        <v>0</v>
      </c>
    </row>
    <row r="1401">
      <c r="A1401" s="50" t="s">
        <v>885</v>
      </c>
      <c r="B1401" s="61">
        <v>99.0</v>
      </c>
      <c r="C1401" s="61">
        <v>99.0</v>
      </c>
      <c r="D1401" s="9">
        <f t="array" ref="D1401">xlookup(A1401,'données'!E$2:E$3608,'données'!K$2:K$3608)</f>
        <v>120.7</v>
      </c>
      <c r="E1401" s="5" t="b">
        <f t="shared" si="1"/>
        <v>0</v>
      </c>
    </row>
    <row r="1402">
      <c r="A1402" s="50" t="s">
        <v>2781</v>
      </c>
      <c r="B1402" s="61">
        <v>99.0</v>
      </c>
      <c r="C1402" s="61">
        <v>100.0</v>
      </c>
      <c r="D1402" s="9">
        <f t="array" ref="D1402">xlookup(A1402,'données'!E$2:E$3608,'données'!K$2:K$3608)</f>
        <v>108</v>
      </c>
      <c r="E1402" s="5" t="b">
        <f t="shared" si="1"/>
        <v>0</v>
      </c>
    </row>
    <row r="1403">
      <c r="A1403" s="50" t="s">
        <v>4564</v>
      </c>
      <c r="B1403" s="61">
        <v>98.0</v>
      </c>
      <c r="C1403" s="61">
        <v>100.0</v>
      </c>
      <c r="D1403" s="9">
        <f t="array" ref="D1403">xlookup(A1403,'données'!E$2:E$3608,'données'!K$2:K$3608)</f>
        <v>117.6</v>
      </c>
      <c r="E1403" s="5" t="b">
        <f t="shared" si="1"/>
        <v>0</v>
      </c>
    </row>
    <row r="1404">
      <c r="A1404" s="50" t="s">
        <v>6029</v>
      </c>
      <c r="B1404" s="61">
        <v>97.0</v>
      </c>
      <c r="C1404" s="61">
        <v>97.0</v>
      </c>
      <c r="D1404" s="9">
        <f t="array" ref="D1404">xlookup(A1404,'données'!E$2:E$3608,'données'!K$2:K$3608)</f>
        <v>112.6</v>
      </c>
      <c r="E1404" s="5" t="b">
        <f t="shared" si="1"/>
        <v>0</v>
      </c>
    </row>
    <row r="1405">
      <c r="A1405" s="50" t="s">
        <v>7478</v>
      </c>
      <c r="B1405" s="61">
        <v>99.0</v>
      </c>
      <c r="C1405" s="61">
        <v>99.0</v>
      </c>
      <c r="D1405" s="9">
        <f t="array" ref="D1405">xlookup(A1405,'données'!E$2:E$3608,'données'!K$2:K$3608)</f>
        <v>111.1</v>
      </c>
      <c r="E1405" s="5" t="b">
        <f t="shared" si="1"/>
        <v>0</v>
      </c>
    </row>
    <row r="1406">
      <c r="A1406" s="50" t="s">
        <v>882</v>
      </c>
      <c r="B1406" s="61">
        <v>98.0</v>
      </c>
      <c r="C1406" s="61">
        <v>99.0</v>
      </c>
      <c r="D1406" s="9">
        <f t="array" ref="D1406">xlookup(A1406,'données'!E$2:E$3608,'données'!K$2:K$3608)</f>
        <v>116.3</v>
      </c>
      <c r="E1406" s="5" t="b">
        <f t="shared" si="1"/>
        <v>0</v>
      </c>
    </row>
    <row r="1407">
      <c r="A1407" s="50" t="s">
        <v>2779</v>
      </c>
      <c r="B1407" s="61">
        <v>98.0</v>
      </c>
      <c r="C1407" s="61">
        <v>98.0</v>
      </c>
      <c r="D1407" s="9">
        <f t="array" ref="D1407">xlookup(A1407,'données'!E$2:E$3608,'données'!K$2:K$3608)</f>
        <v>112.2</v>
      </c>
      <c r="E1407" s="5" t="b">
        <f t="shared" si="1"/>
        <v>0</v>
      </c>
    </row>
    <row r="1408">
      <c r="A1408" s="50" t="s">
        <v>7476</v>
      </c>
      <c r="B1408" s="61">
        <v>97.0</v>
      </c>
      <c r="C1408" s="61">
        <v>98.0</v>
      </c>
      <c r="D1408" s="9">
        <f t="array" ref="D1408">xlookup(A1408,'données'!E$2:E$3608,'données'!K$2:K$3608)</f>
        <v>106.3</v>
      </c>
      <c r="E1408" s="5" t="b">
        <f t="shared" si="1"/>
        <v>0</v>
      </c>
    </row>
    <row r="1409">
      <c r="A1409" s="50" t="s">
        <v>878</v>
      </c>
      <c r="B1409" s="61">
        <v>99.0</v>
      </c>
      <c r="C1409" s="61">
        <v>98.0</v>
      </c>
      <c r="D1409" s="9">
        <f t="array" ref="D1409">xlookup(A1409,'données'!E$2:E$3608,'données'!K$2:K$3608)</f>
        <v>115</v>
      </c>
      <c r="E1409" s="5" t="b">
        <f t="shared" si="1"/>
        <v>0</v>
      </c>
    </row>
    <row r="1410">
      <c r="A1410" s="50" t="s">
        <v>4560</v>
      </c>
      <c r="B1410" s="61">
        <v>99.0</v>
      </c>
      <c r="C1410" s="61">
        <v>100.0</v>
      </c>
      <c r="D1410" s="9">
        <f t="array" ref="D1410">xlookup(A1410,'données'!E$2:E$3608,'données'!K$2:K$3608)</f>
        <v>136</v>
      </c>
      <c r="E1410" s="5" t="b">
        <f t="shared" si="1"/>
        <v>0</v>
      </c>
    </row>
    <row r="1411">
      <c r="A1411" s="50" t="s">
        <v>2777</v>
      </c>
      <c r="B1411" s="61">
        <v>100.0</v>
      </c>
      <c r="C1411" s="61">
        <v>100.0</v>
      </c>
      <c r="D1411" s="9">
        <f t="array" ref="D1411">xlookup(A1411,'données'!E$2:E$3608,'données'!K$2:K$3608)</f>
        <v>123</v>
      </c>
      <c r="E1411" s="5" t="b">
        <f t="shared" si="1"/>
        <v>0</v>
      </c>
    </row>
    <row r="1412">
      <c r="A1412" s="50" t="s">
        <v>2775</v>
      </c>
      <c r="B1412" s="61">
        <v>100.0</v>
      </c>
      <c r="C1412" s="50"/>
      <c r="D1412" s="9">
        <f t="array" ref="D1412">xlookup(A1412,'données'!E$2:E$3608,'données'!K$2:K$3608)</f>
        <v>104.5</v>
      </c>
      <c r="E1412" s="5" t="b">
        <f t="shared" si="1"/>
        <v>0</v>
      </c>
    </row>
    <row r="1413">
      <c r="A1413" s="50" t="s">
        <v>6026</v>
      </c>
      <c r="B1413" s="61">
        <v>98.0</v>
      </c>
      <c r="C1413" s="61">
        <v>99.0</v>
      </c>
      <c r="D1413" s="9">
        <f t="array" ref="D1413">xlookup(A1413,'données'!E$2:E$3608,'données'!K$2:K$3608)</f>
        <v>117.6</v>
      </c>
      <c r="E1413" s="5" t="b">
        <f t="shared" si="1"/>
        <v>0</v>
      </c>
    </row>
    <row r="1414">
      <c r="A1414" s="50" t="s">
        <v>4558</v>
      </c>
      <c r="B1414" s="61">
        <v>96.0</v>
      </c>
      <c r="C1414" s="61">
        <v>100.0</v>
      </c>
      <c r="D1414" s="9">
        <f t="array" ref="D1414">xlookup(A1414,'données'!E$2:E$3608,'données'!K$2:K$3608)</f>
        <v>113.5</v>
      </c>
      <c r="E1414" s="5" t="b">
        <f t="shared" si="1"/>
        <v>0</v>
      </c>
    </row>
    <row r="1415">
      <c r="A1415" s="50" t="s">
        <v>4557</v>
      </c>
      <c r="B1415" s="61">
        <v>96.0</v>
      </c>
      <c r="C1415" s="61">
        <v>96.0</v>
      </c>
      <c r="D1415" s="9">
        <f t="array" ref="D1415">xlookup(A1415,'données'!E$2:E$3608,'données'!K$2:K$3608)</f>
        <v>114.6</v>
      </c>
      <c r="E1415" s="5" t="b">
        <f t="shared" si="1"/>
        <v>0</v>
      </c>
    </row>
    <row r="1416">
      <c r="A1416" s="50" t="s">
        <v>876</v>
      </c>
      <c r="B1416" s="61">
        <v>97.0</v>
      </c>
      <c r="C1416" s="61">
        <v>96.0</v>
      </c>
      <c r="D1416" s="9">
        <f t="array" ref="D1416">xlookup(A1416,'données'!E$2:E$3608,'données'!K$2:K$3608)</f>
        <v>122.4</v>
      </c>
      <c r="E1416" s="5" t="b">
        <f t="shared" si="1"/>
        <v>0</v>
      </c>
    </row>
    <row r="1417">
      <c r="A1417" s="50" t="s">
        <v>2773</v>
      </c>
      <c r="B1417" s="61">
        <v>100.0</v>
      </c>
      <c r="C1417" s="61">
        <v>100.0</v>
      </c>
      <c r="D1417" s="9">
        <f t="array" ref="D1417">xlookup(A1417,'données'!E$2:E$3608,'données'!K$2:K$3608)</f>
        <v>129.4</v>
      </c>
      <c r="E1417" s="5" t="b">
        <f t="shared" si="1"/>
        <v>0</v>
      </c>
    </row>
    <row r="1418">
      <c r="A1418" s="50" t="s">
        <v>874</v>
      </c>
      <c r="B1418" s="61">
        <v>99.0</v>
      </c>
      <c r="C1418" s="61">
        <v>99.0</v>
      </c>
      <c r="D1418" s="9">
        <f t="array" ref="D1418">xlookup(A1418,'données'!E$2:E$3608,'données'!K$2:K$3608)</f>
        <v>124.8</v>
      </c>
      <c r="E1418" s="5" t="b">
        <f t="shared" si="1"/>
        <v>0</v>
      </c>
    </row>
    <row r="1419">
      <c r="A1419" s="50" t="s">
        <v>871</v>
      </c>
      <c r="B1419" s="61">
        <v>100.0</v>
      </c>
      <c r="C1419" s="61">
        <v>100.0</v>
      </c>
      <c r="D1419" s="9">
        <f t="array" ref="D1419">xlookup(A1419,'données'!E$2:E$3608,'données'!K$2:K$3608)</f>
        <v>117.2</v>
      </c>
      <c r="E1419" s="5" t="b">
        <f t="shared" si="1"/>
        <v>0</v>
      </c>
    </row>
    <row r="1420">
      <c r="A1420" s="50" t="s">
        <v>7472</v>
      </c>
      <c r="B1420" s="61">
        <v>100.0</v>
      </c>
      <c r="C1420" s="50"/>
      <c r="D1420" s="9">
        <f t="array" ref="D1420">xlookup(A1420,'données'!E$2:E$3608,'données'!K$2:K$3608)</f>
        <v>110.4</v>
      </c>
      <c r="E1420" s="5" t="b">
        <f t="shared" si="1"/>
        <v>0</v>
      </c>
    </row>
    <row r="1421">
      <c r="A1421" s="50" t="s">
        <v>4552</v>
      </c>
      <c r="B1421" s="61">
        <v>98.0</v>
      </c>
      <c r="C1421" s="61">
        <v>100.0</v>
      </c>
      <c r="D1421" s="9">
        <f t="array" ref="D1421">xlookup(A1421,'données'!E$2:E$3608,'données'!K$2:K$3608)</f>
        <v>103.7</v>
      </c>
      <c r="E1421" s="5" t="b">
        <f t="shared" si="1"/>
        <v>0</v>
      </c>
    </row>
    <row r="1422">
      <c r="A1422" s="50" t="s">
        <v>2772</v>
      </c>
      <c r="B1422" s="61">
        <v>99.0</v>
      </c>
      <c r="C1422" s="61">
        <v>98.0</v>
      </c>
      <c r="D1422" s="9">
        <f t="array" ref="D1422">xlookup(A1422,'données'!E$2:E$3608,'données'!K$2:K$3608)</f>
        <v>113.7</v>
      </c>
      <c r="E1422" s="5" t="b">
        <f t="shared" si="1"/>
        <v>0</v>
      </c>
    </row>
    <row r="1423">
      <c r="A1423" s="50" t="s">
        <v>2770</v>
      </c>
      <c r="B1423" s="61">
        <v>100.0</v>
      </c>
      <c r="C1423" s="61">
        <v>100.0</v>
      </c>
      <c r="D1423" s="9">
        <f t="array" ref="D1423">xlookup(A1423,'données'!E$2:E$3608,'données'!K$2:K$3608)</f>
        <v>111</v>
      </c>
      <c r="E1423" s="5" t="b">
        <f t="shared" si="1"/>
        <v>0</v>
      </c>
    </row>
    <row r="1424">
      <c r="A1424" s="50" t="s">
        <v>6021</v>
      </c>
      <c r="B1424" s="61">
        <v>100.0</v>
      </c>
      <c r="C1424" s="61">
        <v>100.0</v>
      </c>
      <c r="D1424" s="9">
        <f t="array" ref="D1424">xlookup(A1424,'données'!E$2:E$3608,'données'!K$2:K$3608)</f>
        <v>119.2</v>
      </c>
      <c r="E1424" s="5" t="b">
        <f t="shared" si="1"/>
        <v>0</v>
      </c>
    </row>
    <row r="1425">
      <c r="A1425" s="50" t="s">
        <v>7470</v>
      </c>
      <c r="B1425" s="61">
        <v>100.0</v>
      </c>
      <c r="C1425" s="61">
        <v>100.0</v>
      </c>
      <c r="D1425" s="9">
        <f t="array" ref="D1425">xlookup(A1425,'données'!E$2:E$3608,'données'!K$2:K$3608)</f>
        <v>139.4</v>
      </c>
      <c r="E1425" s="5" t="b">
        <f t="shared" si="1"/>
        <v>0</v>
      </c>
    </row>
    <row r="1426">
      <c r="A1426" s="50" t="s">
        <v>4549</v>
      </c>
      <c r="B1426" s="61">
        <v>100.0</v>
      </c>
      <c r="C1426" s="61">
        <v>99.0</v>
      </c>
      <c r="D1426" s="9">
        <f t="array" ref="D1426">xlookup(A1426,'données'!E$2:E$3608,'données'!K$2:K$3608)</f>
        <v>110.8</v>
      </c>
      <c r="E1426" s="5" t="b">
        <f t="shared" si="1"/>
        <v>0</v>
      </c>
    </row>
    <row r="1427">
      <c r="A1427" s="50" t="s">
        <v>7468</v>
      </c>
      <c r="B1427" s="61">
        <v>99.0</v>
      </c>
      <c r="C1427" s="61">
        <v>99.0</v>
      </c>
      <c r="D1427" s="9">
        <f t="array" ref="D1427">xlookup(A1427,'données'!E$2:E$3608,'données'!K$2:K$3608)</f>
        <v>138.3</v>
      </c>
      <c r="E1427" s="5" t="b">
        <f t="shared" si="1"/>
        <v>0</v>
      </c>
    </row>
    <row r="1428">
      <c r="A1428" s="50" t="s">
        <v>2768</v>
      </c>
      <c r="B1428" s="61">
        <v>98.0</v>
      </c>
      <c r="C1428" s="61">
        <v>99.0</v>
      </c>
      <c r="D1428" s="9">
        <f t="array" ref="D1428">xlookup(A1428,'données'!E$2:E$3608,'données'!K$2:K$3608)</f>
        <v>129.3</v>
      </c>
      <c r="E1428" s="5" t="b">
        <f t="shared" si="1"/>
        <v>0</v>
      </c>
    </row>
    <row r="1429">
      <c r="A1429" s="50" t="s">
        <v>6020</v>
      </c>
      <c r="B1429" s="61">
        <v>97.0</v>
      </c>
      <c r="C1429" s="61">
        <v>98.0</v>
      </c>
      <c r="D1429" s="9">
        <f t="array" ref="D1429">xlookup(A1429,'données'!E$2:E$3608,'données'!K$2:K$3608)</f>
        <v>110.9</v>
      </c>
      <c r="E1429" s="5" t="b">
        <f t="shared" si="1"/>
        <v>0</v>
      </c>
    </row>
    <row r="1430">
      <c r="A1430" s="50" t="s">
        <v>6018</v>
      </c>
      <c r="B1430" s="61">
        <v>96.0</v>
      </c>
      <c r="C1430" s="61">
        <v>100.0</v>
      </c>
      <c r="D1430" s="9">
        <f t="array" ref="D1430">xlookup(A1430,'données'!E$2:E$3608,'données'!K$2:K$3608)</f>
        <v>98.1</v>
      </c>
      <c r="E1430" s="5" t="b">
        <f t="shared" si="1"/>
        <v>0</v>
      </c>
    </row>
    <row r="1431">
      <c r="A1431" s="50" t="s">
        <v>6016</v>
      </c>
      <c r="B1431" s="61">
        <v>98.0</v>
      </c>
      <c r="C1431" s="61">
        <v>99.0</v>
      </c>
      <c r="D1431" s="9">
        <f t="array" ref="D1431">xlookup(A1431,'données'!E$2:E$3608,'données'!K$2:K$3608)</f>
        <v>112.4</v>
      </c>
      <c r="E1431" s="5" t="b">
        <f t="shared" si="1"/>
        <v>0</v>
      </c>
    </row>
    <row r="1432">
      <c r="A1432" s="50" t="s">
        <v>7466</v>
      </c>
      <c r="B1432" s="61">
        <v>100.0</v>
      </c>
      <c r="C1432" s="61">
        <v>100.0</v>
      </c>
      <c r="D1432" s="9">
        <f t="array" ref="D1432">xlookup(A1432,'données'!E$2:E$3608,'données'!K$2:K$3608)</f>
        <v>109.3</v>
      </c>
      <c r="E1432" s="5" t="b">
        <f t="shared" si="1"/>
        <v>0</v>
      </c>
    </row>
    <row r="1433">
      <c r="A1433" s="50" t="s">
        <v>4547</v>
      </c>
      <c r="B1433" s="61">
        <v>97.0</v>
      </c>
      <c r="C1433" s="61">
        <v>99.0</v>
      </c>
      <c r="D1433" s="9">
        <f t="array" ref="D1433">xlookup(A1433,'données'!E$2:E$3608,'données'!K$2:K$3608)</f>
        <v>98.9</v>
      </c>
      <c r="E1433" s="5" t="b">
        <f t="shared" si="1"/>
        <v>0</v>
      </c>
    </row>
    <row r="1434">
      <c r="A1434" s="50" t="s">
        <v>857</v>
      </c>
      <c r="B1434" s="61">
        <v>97.0</v>
      </c>
      <c r="C1434" s="61">
        <v>98.0</v>
      </c>
      <c r="D1434" s="9">
        <f t="array" ref="D1434">xlookup(A1434,'données'!E$2:E$3608,'données'!K$2:K$3608)</f>
        <v>108.3</v>
      </c>
      <c r="E1434" s="5" t="b">
        <f t="shared" si="1"/>
        <v>0</v>
      </c>
    </row>
    <row r="1435">
      <c r="A1435" s="50" t="s">
        <v>4545</v>
      </c>
      <c r="B1435" s="61">
        <v>97.0</v>
      </c>
      <c r="C1435" s="61">
        <v>97.0</v>
      </c>
      <c r="D1435" s="9">
        <f t="array" ref="D1435">xlookup(A1435,'données'!E$2:E$3608,'données'!K$2:K$3608)</f>
        <v>120.9</v>
      </c>
      <c r="E1435" s="5" t="b">
        <f t="shared" si="1"/>
        <v>0</v>
      </c>
    </row>
    <row r="1436">
      <c r="A1436" s="50" t="s">
        <v>4543</v>
      </c>
      <c r="B1436" s="61">
        <v>97.0</v>
      </c>
      <c r="C1436" s="61">
        <v>97.0</v>
      </c>
      <c r="D1436" s="9">
        <f t="array" ref="D1436">xlookup(A1436,'données'!E$2:E$3608,'données'!K$2:K$3608)</f>
        <v>124.5</v>
      </c>
      <c r="E1436" s="5" t="b">
        <f t="shared" si="1"/>
        <v>0</v>
      </c>
    </row>
    <row r="1437">
      <c r="A1437" s="50" t="s">
        <v>7464</v>
      </c>
      <c r="B1437" s="61">
        <v>99.0</v>
      </c>
      <c r="C1437" s="61">
        <v>98.0</v>
      </c>
      <c r="D1437" s="9">
        <f t="array" ref="D1437">xlookup(A1437,'données'!E$2:E$3608,'données'!K$2:K$3608)</f>
        <v>118.1</v>
      </c>
      <c r="E1437" s="5" t="b">
        <f t="shared" si="1"/>
        <v>0</v>
      </c>
    </row>
    <row r="1438">
      <c r="A1438" s="50" t="s">
        <v>7461</v>
      </c>
      <c r="B1438" s="61">
        <v>98.0</v>
      </c>
      <c r="C1438" s="61">
        <v>92.0</v>
      </c>
      <c r="D1438" s="9">
        <f t="array" ref="D1438">xlookup(A1438,'données'!E$2:E$3608,'données'!K$2:K$3608)</f>
        <v>112.3</v>
      </c>
      <c r="E1438" s="5" t="b">
        <f t="shared" si="1"/>
        <v>0</v>
      </c>
    </row>
    <row r="1439">
      <c r="A1439" s="50" t="s">
        <v>4542</v>
      </c>
      <c r="B1439" s="61">
        <v>100.0</v>
      </c>
      <c r="C1439" s="61">
        <v>100.0</v>
      </c>
      <c r="D1439" s="9">
        <f t="array" ref="D1439">xlookup(A1439,'données'!E$2:E$3608,'données'!K$2:K$3608)</f>
        <v>120.9</v>
      </c>
      <c r="E1439" s="5" t="b">
        <f t="shared" si="1"/>
        <v>0</v>
      </c>
    </row>
    <row r="1440">
      <c r="A1440" s="50" t="s">
        <v>7458</v>
      </c>
      <c r="B1440" s="61">
        <v>100.0</v>
      </c>
      <c r="C1440" s="61">
        <v>100.0</v>
      </c>
      <c r="D1440" s="9">
        <f t="array" ref="D1440">xlookup(A1440,'données'!E$2:E$3608,'données'!K$2:K$3608)</f>
        <v>109.7</v>
      </c>
      <c r="E1440" s="5" t="b">
        <f t="shared" si="1"/>
        <v>0</v>
      </c>
    </row>
    <row r="1441">
      <c r="A1441" s="50" t="s">
        <v>4539</v>
      </c>
      <c r="B1441" s="61">
        <v>100.0</v>
      </c>
      <c r="C1441" s="61">
        <v>100.0</v>
      </c>
      <c r="D1441" s="9">
        <f t="array" ref="D1441">xlookup(A1441,'données'!E$2:E$3608,'données'!K$2:K$3608)</f>
        <v>102.1</v>
      </c>
      <c r="E1441" s="5" t="b">
        <f t="shared" si="1"/>
        <v>0</v>
      </c>
    </row>
    <row r="1442">
      <c r="A1442" s="50" t="s">
        <v>7456</v>
      </c>
      <c r="B1442" s="61">
        <v>99.0</v>
      </c>
      <c r="C1442" s="61">
        <v>100.0</v>
      </c>
      <c r="D1442" s="9">
        <f t="array" ref="D1442">xlookup(A1442,'données'!E$2:E$3608,'données'!K$2:K$3608)</f>
        <v>117.5</v>
      </c>
      <c r="E1442" s="5" t="b">
        <f t="shared" si="1"/>
        <v>0</v>
      </c>
    </row>
    <row r="1443">
      <c r="A1443" s="50" t="s">
        <v>2762</v>
      </c>
      <c r="B1443" s="61">
        <v>99.0</v>
      </c>
      <c r="C1443" s="61">
        <v>99.0</v>
      </c>
      <c r="D1443" s="9">
        <f t="array" ref="D1443">xlookup(A1443,'données'!E$2:E$3608,'données'!K$2:K$3608)</f>
        <v>123.9</v>
      </c>
      <c r="E1443" s="5" t="b">
        <f t="shared" si="1"/>
        <v>0</v>
      </c>
    </row>
    <row r="1444">
      <c r="A1444" s="50" t="s">
        <v>4535</v>
      </c>
      <c r="B1444" s="61">
        <v>100.0</v>
      </c>
      <c r="C1444" s="61">
        <v>100.0</v>
      </c>
      <c r="D1444" s="9">
        <f t="array" ref="D1444">xlookup(A1444,'données'!E$2:E$3608,'données'!K$2:K$3608)</f>
        <v>110.4</v>
      </c>
      <c r="E1444" s="5" t="b">
        <f t="shared" si="1"/>
        <v>0</v>
      </c>
    </row>
    <row r="1445">
      <c r="A1445" s="50" t="s">
        <v>4533</v>
      </c>
      <c r="B1445" s="61">
        <v>99.0</v>
      </c>
      <c r="C1445" s="61">
        <v>97.0</v>
      </c>
      <c r="D1445" s="9">
        <f t="array" ref="D1445">xlookup(A1445,'données'!E$2:E$3608,'données'!K$2:K$3608)</f>
        <v>103.2</v>
      </c>
      <c r="E1445" s="5" t="b">
        <f t="shared" si="1"/>
        <v>0</v>
      </c>
    </row>
    <row r="1446">
      <c r="A1446" s="50" t="s">
        <v>4531</v>
      </c>
      <c r="B1446" s="61">
        <v>100.0</v>
      </c>
      <c r="C1446" s="61">
        <v>100.0</v>
      </c>
      <c r="D1446" s="9">
        <f t="array" ref="D1446">xlookup(A1446,'données'!E$2:E$3608,'données'!K$2:K$3608)</f>
        <v>116.2</v>
      </c>
      <c r="E1446" s="5" t="b">
        <f t="shared" si="1"/>
        <v>0</v>
      </c>
    </row>
    <row r="1447">
      <c r="A1447" s="50" t="s">
        <v>4528</v>
      </c>
      <c r="B1447" s="61">
        <v>99.0</v>
      </c>
      <c r="C1447" s="61">
        <v>99.0</v>
      </c>
      <c r="D1447" s="9">
        <f t="array" ref="D1447">xlookup(A1447,'données'!E$2:E$3608,'données'!K$2:K$3608)</f>
        <v>103.8</v>
      </c>
      <c r="E1447" s="5" t="b">
        <f t="shared" si="1"/>
        <v>0</v>
      </c>
    </row>
    <row r="1448">
      <c r="A1448" s="50" t="s">
        <v>2753</v>
      </c>
      <c r="B1448" s="61">
        <v>99.0</v>
      </c>
      <c r="C1448" s="61">
        <v>99.0</v>
      </c>
      <c r="D1448" s="9">
        <f t="array" ref="D1448">xlookup(A1448,'données'!E$2:E$3608,'données'!K$2:K$3608)</f>
        <v>111.7</v>
      </c>
      <c r="E1448" s="5" t="b">
        <f t="shared" si="1"/>
        <v>0</v>
      </c>
    </row>
    <row r="1449">
      <c r="A1449" s="50" t="s">
        <v>4525</v>
      </c>
      <c r="B1449" s="61">
        <v>95.0</v>
      </c>
      <c r="C1449" s="61">
        <v>97.0</v>
      </c>
      <c r="D1449" s="9">
        <f t="array" ref="D1449">xlookup(A1449,'données'!E$2:E$3608,'données'!K$2:K$3608)</f>
        <v>109.9</v>
      </c>
      <c r="E1449" s="5" t="b">
        <f t="shared" si="1"/>
        <v>0</v>
      </c>
    </row>
    <row r="1450">
      <c r="A1450" s="50" t="s">
        <v>4523</v>
      </c>
      <c r="B1450" s="61">
        <v>98.0</v>
      </c>
      <c r="C1450" s="61">
        <v>97.0</v>
      </c>
      <c r="D1450" s="9">
        <f t="array" ref="D1450">xlookup(A1450,'données'!E$2:E$3608,'données'!K$2:K$3608)</f>
        <v>105.9</v>
      </c>
      <c r="E1450" s="5" t="b">
        <f t="shared" si="1"/>
        <v>0</v>
      </c>
    </row>
    <row r="1451">
      <c r="A1451" s="50" t="s">
        <v>853</v>
      </c>
      <c r="B1451" s="61">
        <v>99.0</v>
      </c>
      <c r="C1451" s="61">
        <v>98.0</v>
      </c>
      <c r="D1451" s="9">
        <f t="array" ref="D1451">xlookup(A1451,'données'!E$2:E$3608,'données'!K$2:K$3608)</f>
        <v>101.4</v>
      </c>
      <c r="E1451" s="5" t="b">
        <f t="shared" si="1"/>
        <v>0</v>
      </c>
    </row>
    <row r="1452">
      <c r="A1452" s="50" t="s">
        <v>850</v>
      </c>
      <c r="B1452" s="61">
        <v>94.0</v>
      </c>
      <c r="C1452" s="61">
        <v>98.0</v>
      </c>
      <c r="D1452" s="9">
        <f t="array" ref="D1452">xlookup(A1452,'données'!E$2:E$3608,'données'!K$2:K$3608)</f>
        <v>110.8</v>
      </c>
      <c r="E1452" s="5" t="b">
        <f t="shared" si="1"/>
        <v>0</v>
      </c>
    </row>
    <row r="1453">
      <c r="A1453" s="50" t="s">
        <v>2752</v>
      </c>
      <c r="B1453" s="61">
        <v>98.0</v>
      </c>
      <c r="C1453" s="61">
        <v>98.0</v>
      </c>
      <c r="D1453" s="9">
        <f t="array" ref="D1453">xlookup(A1453,'données'!E$2:E$3608,'données'!K$2:K$3608)</f>
        <v>117.7</v>
      </c>
      <c r="E1453" s="5" t="b">
        <f t="shared" si="1"/>
        <v>0</v>
      </c>
    </row>
    <row r="1454">
      <c r="A1454" s="50" t="s">
        <v>7449</v>
      </c>
      <c r="B1454" s="61">
        <v>98.0</v>
      </c>
      <c r="C1454" s="61">
        <v>97.0</v>
      </c>
      <c r="D1454" s="9">
        <f t="array" ref="D1454">xlookup(A1454,'données'!E$2:E$3608,'données'!K$2:K$3608)</f>
        <v>116.9</v>
      </c>
      <c r="E1454" s="5" t="b">
        <f t="shared" si="1"/>
        <v>0</v>
      </c>
    </row>
    <row r="1455">
      <c r="A1455" s="50" t="s">
        <v>847</v>
      </c>
      <c r="B1455" s="61">
        <v>98.0</v>
      </c>
      <c r="C1455" s="61">
        <v>100.0</v>
      </c>
      <c r="D1455" s="9">
        <f t="array" ref="D1455">xlookup(A1455,'données'!E$2:E$3608,'données'!K$2:K$3608)</f>
        <v>113.4</v>
      </c>
      <c r="E1455" s="5" t="b">
        <f t="shared" si="1"/>
        <v>0</v>
      </c>
    </row>
    <row r="1456">
      <c r="A1456" s="50" t="s">
        <v>7447</v>
      </c>
      <c r="B1456" s="61">
        <v>100.0</v>
      </c>
      <c r="C1456" s="61">
        <v>100.0</v>
      </c>
      <c r="D1456" s="9">
        <f t="array" ref="D1456">xlookup(A1456,'données'!E$2:E$3608,'données'!K$2:K$3608)</f>
        <v>116.9</v>
      </c>
      <c r="E1456" s="5" t="b">
        <f t="shared" si="1"/>
        <v>0</v>
      </c>
    </row>
    <row r="1457">
      <c r="A1457" s="50" t="s">
        <v>842</v>
      </c>
      <c r="B1457" s="61">
        <v>97.0</v>
      </c>
      <c r="C1457" s="61">
        <v>97.0</v>
      </c>
      <c r="D1457" s="9">
        <f t="array" ref="D1457">xlookup(A1457,'données'!E$2:E$3608,'données'!K$2:K$3608)</f>
        <v>115.7</v>
      </c>
      <c r="E1457" s="5" t="b">
        <f t="shared" si="1"/>
        <v>0</v>
      </c>
    </row>
    <row r="1458">
      <c r="A1458" s="50" t="s">
        <v>2743</v>
      </c>
      <c r="B1458" s="61">
        <v>100.0</v>
      </c>
      <c r="C1458" s="61">
        <v>100.0</v>
      </c>
      <c r="D1458" s="9">
        <f t="array" ref="D1458">xlookup(A1458,'données'!E$2:E$3608,'données'!K$2:K$3608)</f>
        <v>111.7</v>
      </c>
      <c r="E1458" s="5" t="b">
        <f t="shared" si="1"/>
        <v>0</v>
      </c>
    </row>
    <row r="1459">
      <c r="A1459" s="50" t="s">
        <v>839</v>
      </c>
      <c r="B1459" s="61">
        <v>97.0</v>
      </c>
      <c r="C1459" s="61">
        <v>98.0</v>
      </c>
      <c r="D1459" s="9">
        <f t="array" ref="D1459">xlookup(A1459,'données'!E$2:E$3608,'données'!K$2:K$3608)</f>
        <v>116.4</v>
      </c>
      <c r="E1459" s="5" t="b">
        <f t="shared" si="1"/>
        <v>0</v>
      </c>
    </row>
    <row r="1460">
      <c r="A1460" s="50" t="s">
        <v>6004</v>
      </c>
      <c r="B1460" s="61">
        <v>98.0</v>
      </c>
      <c r="C1460" s="61">
        <v>98.0</v>
      </c>
      <c r="D1460" s="9">
        <f t="array" ref="D1460">xlookup(A1460,'données'!E$2:E$3608,'données'!K$2:K$3608)</f>
        <v>116.8</v>
      </c>
      <c r="E1460" s="5" t="b">
        <f t="shared" si="1"/>
        <v>0</v>
      </c>
    </row>
    <row r="1461">
      <c r="A1461" s="50" t="s">
        <v>6002</v>
      </c>
      <c r="B1461" s="61">
        <v>95.0</v>
      </c>
      <c r="C1461" s="61">
        <v>97.0</v>
      </c>
      <c r="D1461" s="9">
        <f t="array" ref="D1461">xlookup(A1461,'données'!E$2:E$3608,'données'!K$2:K$3608)</f>
        <v>122</v>
      </c>
      <c r="E1461" s="5" t="b">
        <f t="shared" si="1"/>
        <v>0</v>
      </c>
    </row>
    <row r="1462">
      <c r="A1462" s="50" t="s">
        <v>6001</v>
      </c>
      <c r="B1462" s="61">
        <v>98.0</v>
      </c>
      <c r="C1462" s="61">
        <v>99.0</v>
      </c>
      <c r="D1462" s="9">
        <f t="array" ref="D1462">xlookup(A1462,'données'!E$2:E$3608,'données'!K$2:K$3608)</f>
        <v>117.4</v>
      </c>
      <c r="E1462" s="5" t="b">
        <f t="shared" si="1"/>
        <v>0</v>
      </c>
    </row>
    <row r="1463">
      <c r="A1463" s="50" t="s">
        <v>4521</v>
      </c>
      <c r="B1463" s="61">
        <v>96.0</v>
      </c>
      <c r="C1463" s="61">
        <v>97.0</v>
      </c>
      <c r="D1463" s="9">
        <f t="array" ref="D1463">xlookup(A1463,'données'!E$2:E$3608,'données'!K$2:K$3608)</f>
        <v>116.5</v>
      </c>
      <c r="E1463" s="5" t="b">
        <f t="shared" si="1"/>
        <v>0</v>
      </c>
    </row>
    <row r="1464">
      <c r="A1464" s="50" t="s">
        <v>2740</v>
      </c>
      <c r="B1464" s="61">
        <v>98.0</v>
      </c>
      <c r="C1464" s="61">
        <v>98.0</v>
      </c>
      <c r="D1464" s="9">
        <f t="array" ref="D1464">xlookup(A1464,'données'!E$2:E$3608,'données'!K$2:K$3608)</f>
        <v>117.5</v>
      </c>
      <c r="E1464" s="5" t="b">
        <f t="shared" si="1"/>
        <v>0</v>
      </c>
    </row>
    <row r="1465">
      <c r="A1465" s="50" t="s">
        <v>835</v>
      </c>
      <c r="B1465" s="61">
        <v>94.0</v>
      </c>
      <c r="C1465" s="50"/>
      <c r="D1465" s="9">
        <f t="array" ref="D1465">xlookup(A1465,'données'!E$2:E$3608,'données'!K$2:K$3608)</f>
        <v>93.9</v>
      </c>
      <c r="E1465" s="5" t="b">
        <f t="shared" si="1"/>
        <v>0</v>
      </c>
    </row>
    <row r="1466">
      <c r="A1466" s="50" t="s">
        <v>5998</v>
      </c>
      <c r="B1466" s="61">
        <v>100.0</v>
      </c>
      <c r="C1466" s="50"/>
      <c r="D1466" s="9">
        <f t="array" ref="D1466">xlookup(A1466,'données'!E$2:E$3608,'données'!K$2:K$3608)</f>
        <v>110.5</v>
      </c>
      <c r="E1466" s="5" t="b">
        <f t="shared" si="1"/>
        <v>0</v>
      </c>
    </row>
    <row r="1467">
      <c r="A1467" s="50" t="s">
        <v>4517</v>
      </c>
      <c r="B1467" s="61">
        <v>97.0</v>
      </c>
      <c r="C1467" s="61">
        <v>97.0</v>
      </c>
      <c r="D1467" s="9">
        <f t="array" ref="D1467">xlookup(A1467,'données'!E$2:E$3608,'données'!K$2:K$3608)</f>
        <v>109.4</v>
      </c>
      <c r="E1467" s="5" t="b">
        <f t="shared" si="1"/>
        <v>0</v>
      </c>
    </row>
    <row r="1468">
      <c r="A1468" s="50" t="s">
        <v>5991</v>
      </c>
      <c r="B1468" s="61">
        <v>96.0</v>
      </c>
      <c r="C1468" s="61">
        <v>95.0</v>
      </c>
      <c r="D1468" s="9">
        <f t="array" ref="D1468">xlookup(A1468,'données'!E$2:E$3608,'données'!K$2:K$3608)</f>
        <v>118</v>
      </c>
      <c r="E1468" s="5" t="b">
        <f t="shared" si="1"/>
        <v>0</v>
      </c>
    </row>
    <row r="1469">
      <c r="A1469" s="50" t="s">
        <v>2738</v>
      </c>
      <c r="B1469" s="61">
        <v>100.0</v>
      </c>
      <c r="C1469" s="61">
        <v>100.0</v>
      </c>
      <c r="D1469" s="9">
        <f t="array" ref="D1469">xlookup(A1469,'données'!E$2:E$3608,'données'!K$2:K$3608)</f>
        <v>122.1</v>
      </c>
      <c r="E1469" s="5" t="b">
        <f t="shared" si="1"/>
        <v>0</v>
      </c>
    </row>
    <row r="1470">
      <c r="A1470" s="50" t="s">
        <v>5988</v>
      </c>
      <c r="B1470" s="61">
        <v>99.0</v>
      </c>
      <c r="C1470" s="61">
        <v>99.0</v>
      </c>
      <c r="D1470" s="9">
        <f t="array" ref="D1470">xlookup(A1470,'données'!E$2:E$3608,'données'!K$2:K$3608)</f>
        <v>135.4</v>
      </c>
      <c r="E1470" s="5" t="b">
        <f t="shared" si="1"/>
        <v>0</v>
      </c>
    </row>
    <row r="1471">
      <c r="A1471" s="50" t="s">
        <v>831</v>
      </c>
      <c r="B1471" s="61">
        <v>95.0</v>
      </c>
      <c r="C1471" s="61">
        <v>95.0</v>
      </c>
      <c r="D1471" s="9">
        <f t="array" ref="D1471">xlookup(A1471,'données'!E$2:E$3608,'données'!K$2:K$3608)</f>
        <v>110</v>
      </c>
      <c r="E1471" s="5" t="b">
        <f t="shared" si="1"/>
        <v>0</v>
      </c>
    </row>
    <row r="1472">
      <c r="A1472" s="50" t="s">
        <v>2735</v>
      </c>
      <c r="B1472" s="61">
        <v>98.0</v>
      </c>
      <c r="C1472" s="61">
        <v>99.0</v>
      </c>
      <c r="D1472" s="9">
        <f t="array" ref="D1472">xlookup(A1472,'données'!E$2:E$3608,'données'!K$2:K$3608)</f>
        <v>103.5</v>
      </c>
      <c r="E1472" s="5" t="b">
        <f t="shared" si="1"/>
        <v>0</v>
      </c>
    </row>
    <row r="1473">
      <c r="A1473" s="50" t="s">
        <v>828</v>
      </c>
      <c r="B1473" s="61">
        <v>95.0</v>
      </c>
      <c r="C1473" s="61">
        <v>96.0</v>
      </c>
      <c r="D1473" s="9">
        <f t="array" ref="D1473">xlookup(A1473,'données'!E$2:E$3608,'données'!K$2:K$3608)</f>
        <v>105.3</v>
      </c>
      <c r="E1473" s="5" t="b">
        <f t="shared" si="1"/>
        <v>0</v>
      </c>
    </row>
    <row r="1474">
      <c r="A1474" s="50" t="s">
        <v>7442</v>
      </c>
      <c r="B1474" s="61">
        <v>97.0</v>
      </c>
      <c r="C1474" s="61">
        <v>98.0</v>
      </c>
      <c r="D1474" s="9">
        <f t="array" ref="D1474">xlookup(A1474,'données'!E$2:E$3608,'données'!K$2:K$3608)</f>
        <v>111.7</v>
      </c>
      <c r="E1474" s="5" t="b">
        <f t="shared" si="1"/>
        <v>0</v>
      </c>
    </row>
    <row r="1475">
      <c r="A1475" s="50" t="s">
        <v>4512</v>
      </c>
      <c r="B1475" s="61">
        <v>97.0</v>
      </c>
      <c r="C1475" s="61">
        <v>97.0</v>
      </c>
      <c r="D1475" s="9">
        <f t="array" ref="D1475">xlookup(A1475,'données'!E$2:E$3608,'données'!K$2:K$3608)</f>
        <v>111.7</v>
      </c>
      <c r="E1475" s="5" t="b">
        <f t="shared" si="1"/>
        <v>0</v>
      </c>
    </row>
    <row r="1476">
      <c r="A1476" s="50" t="s">
        <v>4509</v>
      </c>
      <c r="B1476" s="61">
        <v>98.0</v>
      </c>
      <c r="C1476" s="61">
        <v>98.0</v>
      </c>
      <c r="D1476" s="9">
        <f t="array" ref="D1476">xlookup(A1476,'données'!E$2:E$3608,'données'!K$2:K$3608)</f>
        <v>108.4</v>
      </c>
      <c r="E1476" s="5" t="b">
        <f t="shared" si="1"/>
        <v>0</v>
      </c>
    </row>
    <row r="1477">
      <c r="A1477" s="50" t="s">
        <v>2733</v>
      </c>
      <c r="B1477" s="61">
        <v>95.0</v>
      </c>
      <c r="C1477" s="61">
        <v>96.0</v>
      </c>
      <c r="D1477" s="9">
        <f t="array" ref="D1477">xlookup(A1477,'données'!E$2:E$3608,'données'!K$2:K$3608)</f>
        <v>103.7</v>
      </c>
      <c r="E1477" s="5" t="b">
        <f t="shared" si="1"/>
        <v>0</v>
      </c>
    </row>
    <row r="1478">
      <c r="A1478" s="50" t="s">
        <v>822</v>
      </c>
      <c r="B1478" s="61">
        <v>95.0</v>
      </c>
      <c r="C1478" s="61">
        <v>97.0</v>
      </c>
      <c r="D1478" s="9">
        <f t="array" ref="D1478">xlookup(A1478,'données'!E$2:E$3608,'données'!K$2:K$3608)</f>
        <v>104</v>
      </c>
      <c r="E1478" s="5" t="b">
        <f t="shared" si="1"/>
        <v>0</v>
      </c>
    </row>
    <row r="1479">
      <c r="A1479" s="50" t="s">
        <v>4506</v>
      </c>
      <c r="B1479" s="61">
        <v>98.0</v>
      </c>
      <c r="C1479" s="61">
        <v>98.0</v>
      </c>
      <c r="D1479" s="9">
        <f t="array" ref="D1479">xlookup(A1479,'données'!E$2:E$3608,'données'!K$2:K$3608)</f>
        <v>133</v>
      </c>
      <c r="E1479" s="5" t="b">
        <f t="shared" si="1"/>
        <v>0</v>
      </c>
    </row>
    <row r="1480">
      <c r="A1480" s="50" t="s">
        <v>4504</v>
      </c>
      <c r="B1480" s="61">
        <v>100.0</v>
      </c>
      <c r="C1480" s="61">
        <v>100.0</v>
      </c>
      <c r="D1480" s="9">
        <f t="array" ref="D1480">xlookup(A1480,'données'!E$2:E$3608,'données'!K$2:K$3608)</f>
        <v>126.5</v>
      </c>
      <c r="E1480" s="5" t="b">
        <f t="shared" si="1"/>
        <v>0</v>
      </c>
    </row>
    <row r="1481">
      <c r="A1481" s="50" t="s">
        <v>819</v>
      </c>
      <c r="B1481" s="61">
        <v>98.0</v>
      </c>
      <c r="C1481" s="61">
        <v>99.0</v>
      </c>
      <c r="D1481" s="9">
        <f t="array" ref="D1481">xlookup(A1481,'données'!E$2:E$3608,'données'!K$2:K$3608)</f>
        <v>125.5</v>
      </c>
      <c r="E1481" s="5" t="b">
        <f t="shared" si="1"/>
        <v>0</v>
      </c>
    </row>
    <row r="1482">
      <c r="A1482" s="50" t="s">
        <v>2728</v>
      </c>
      <c r="B1482" s="61">
        <v>98.0</v>
      </c>
      <c r="C1482" s="61">
        <v>98.0</v>
      </c>
      <c r="D1482" s="9">
        <f t="array" ref="D1482">xlookup(A1482,'données'!E$2:E$3608,'données'!K$2:K$3608)</f>
        <v>120.7</v>
      </c>
      <c r="E1482" s="5" t="b">
        <f t="shared" si="1"/>
        <v>0</v>
      </c>
    </row>
    <row r="1483">
      <c r="A1483" s="50" t="s">
        <v>4499</v>
      </c>
      <c r="B1483" s="61">
        <v>99.0</v>
      </c>
      <c r="C1483" s="61">
        <v>99.0</v>
      </c>
      <c r="D1483" s="9">
        <f t="array" ref="D1483">xlookup(A1483,'données'!E$2:E$3608,'données'!K$2:K$3608)</f>
        <v>122.9</v>
      </c>
      <c r="E1483" s="5" t="b">
        <f t="shared" si="1"/>
        <v>0</v>
      </c>
    </row>
    <row r="1484">
      <c r="A1484" s="50" t="s">
        <v>4497</v>
      </c>
      <c r="B1484" s="61">
        <v>100.0</v>
      </c>
      <c r="C1484" s="61">
        <v>100.0</v>
      </c>
      <c r="D1484" s="9">
        <f t="array" ref="D1484">xlookup(A1484,'données'!E$2:E$3608,'données'!K$2:K$3608)</f>
        <v>122.9</v>
      </c>
      <c r="E1484" s="5" t="b">
        <f t="shared" si="1"/>
        <v>0</v>
      </c>
    </row>
    <row r="1485">
      <c r="A1485" s="50" t="s">
        <v>5979</v>
      </c>
      <c r="B1485" s="61">
        <v>100.0</v>
      </c>
      <c r="C1485" s="61">
        <v>100.0</v>
      </c>
      <c r="D1485" s="9">
        <f t="array" ref="D1485">xlookup(A1485,'données'!E$2:E$3608,'données'!K$2:K$3608)</f>
        <v>142.5</v>
      </c>
      <c r="E1485" s="5" t="b">
        <f t="shared" si="1"/>
        <v>0</v>
      </c>
    </row>
    <row r="1486">
      <c r="A1486" s="50" t="s">
        <v>7439</v>
      </c>
      <c r="B1486" s="61">
        <v>98.0</v>
      </c>
      <c r="C1486" s="61">
        <v>99.0</v>
      </c>
      <c r="D1486" s="9">
        <f t="array" ref="D1486">xlookup(A1486,'données'!E$2:E$3608,'données'!K$2:K$3608)</f>
        <v>127.5</v>
      </c>
      <c r="E1486" s="5" t="b">
        <f t="shared" si="1"/>
        <v>0</v>
      </c>
    </row>
    <row r="1487">
      <c r="A1487" s="50" t="s">
        <v>2725</v>
      </c>
      <c r="B1487" s="61">
        <v>100.0</v>
      </c>
      <c r="C1487" s="61">
        <v>100.0</v>
      </c>
      <c r="D1487" s="9">
        <f t="array" ref="D1487">xlookup(A1487,'données'!E$2:E$3608,'données'!K$2:K$3608)</f>
        <v>117.2</v>
      </c>
      <c r="E1487" s="5" t="b">
        <f t="shared" si="1"/>
        <v>0</v>
      </c>
    </row>
    <row r="1488">
      <c r="A1488" s="50" t="s">
        <v>816</v>
      </c>
      <c r="B1488" s="61">
        <v>100.0</v>
      </c>
      <c r="C1488" s="61">
        <v>100.0</v>
      </c>
      <c r="D1488" s="9">
        <f t="array" ref="D1488">xlookup(A1488,'données'!E$2:E$3608,'données'!K$2:K$3608)</f>
        <v>125</v>
      </c>
      <c r="E1488" s="5" t="b">
        <f t="shared" si="1"/>
        <v>0</v>
      </c>
    </row>
    <row r="1489">
      <c r="A1489" s="50" t="s">
        <v>813</v>
      </c>
      <c r="B1489" s="61">
        <v>99.0</v>
      </c>
      <c r="C1489" s="61">
        <v>99.0</v>
      </c>
      <c r="D1489" s="9">
        <f t="array" ref="D1489">xlookup(A1489,'données'!E$2:E$3608,'données'!K$2:K$3608)</f>
        <v>119.6</v>
      </c>
      <c r="E1489" s="5" t="b">
        <f t="shared" si="1"/>
        <v>0</v>
      </c>
    </row>
    <row r="1490">
      <c r="A1490" s="50" t="s">
        <v>5977</v>
      </c>
      <c r="B1490" s="61">
        <v>98.0</v>
      </c>
      <c r="C1490" s="61">
        <v>98.0</v>
      </c>
      <c r="D1490" s="9">
        <f t="array" ref="D1490">xlookup(A1490,'données'!E$2:E$3608,'données'!K$2:K$3608)</f>
        <v>117.9</v>
      </c>
      <c r="E1490" s="5" t="b">
        <f t="shared" si="1"/>
        <v>0</v>
      </c>
    </row>
    <row r="1491">
      <c r="A1491" s="50" t="s">
        <v>810</v>
      </c>
      <c r="B1491" s="61">
        <v>99.0</v>
      </c>
      <c r="C1491" s="61">
        <v>100.0</v>
      </c>
      <c r="D1491" s="9">
        <f t="array" ref="D1491">xlookup(A1491,'données'!E$2:E$3608,'données'!K$2:K$3608)</f>
        <v>134.6</v>
      </c>
      <c r="E1491" s="5" t="b">
        <f t="shared" si="1"/>
        <v>0</v>
      </c>
    </row>
    <row r="1492">
      <c r="A1492" s="50" t="s">
        <v>4492</v>
      </c>
      <c r="B1492" s="61">
        <v>96.0</v>
      </c>
      <c r="C1492" s="61">
        <v>96.0</v>
      </c>
      <c r="D1492" s="9">
        <f t="array" ref="D1492">xlookup(A1492,'données'!E$2:E$3608,'données'!K$2:K$3608)</f>
        <v>129.7</v>
      </c>
      <c r="E1492" s="5" t="b">
        <f t="shared" si="1"/>
        <v>0</v>
      </c>
    </row>
    <row r="1493">
      <c r="A1493" s="50" t="s">
        <v>7436</v>
      </c>
      <c r="B1493" s="61">
        <v>97.0</v>
      </c>
      <c r="C1493" s="61">
        <v>100.0</v>
      </c>
      <c r="D1493" s="9">
        <f t="array" ref="D1493">xlookup(A1493,'données'!E$2:E$3608,'données'!K$2:K$3608)</f>
        <v>127.9</v>
      </c>
      <c r="E1493" s="5" t="b">
        <f t="shared" si="1"/>
        <v>0</v>
      </c>
    </row>
    <row r="1494">
      <c r="A1494" s="50" t="s">
        <v>808</v>
      </c>
      <c r="B1494" s="61">
        <v>93.0</v>
      </c>
      <c r="C1494" s="61">
        <v>97.0</v>
      </c>
      <c r="D1494" s="9">
        <f t="array" ref="D1494">xlookup(A1494,'données'!E$2:E$3608,'données'!K$2:K$3608)</f>
        <v>97.1</v>
      </c>
      <c r="E1494" s="5" t="b">
        <f t="shared" si="1"/>
        <v>0</v>
      </c>
    </row>
    <row r="1495">
      <c r="A1495" s="50" t="s">
        <v>5974</v>
      </c>
      <c r="B1495" s="61">
        <v>94.0</v>
      </c>
      <c r="C1495" s="61">
        <v>97.0</v>
      </c>
      <c r="D1495" s="9">
        <f t="array" ref="D1495">xlookup(A1495,'données'!E$2:E$3608,'données'!K$2:K$3608)</f>
        <v>119.6</v>
      </c>
      <c r="E1495" s="5" t="b">
        <f t="shared" si="1"/>
        <v>0</v>
      </c>
    </row>
    <row r="1496">
      <c r="A1496" s="50" t="s">
        <v>7434</v>
      </c>
      <c r="B1496" s="61">
        <v>100.0</v>
      </c>
      <c r="C1496" s="61">
        <v>100.0</v>
      </c>
      <c r="D1496" s="9">
        <f t="array" ref="D1496">xlookup(A1496,'données'!E$2:E$3608,'données'!K$2:K$3608)</f>
        <v>130.8</v>
      </c>
      <c r="E1496" s="5" t="b">
        <f t="shared" si="1"/>
        <v>0</v>
      </c>
    </row>
    <row r="1497">
      <c r="A1497" s="50" t="s">
        <v>2720</v>
      </c>
      <c r="B1497" s="61">
        <v>100.0</v>
      </c>
      <c r="C1497" s="61">
        <v>100.0</v>
      </c>
      <c r="D1497" s="9">
        <f t="array" ref="D1497">xlookup(A1497,'données'!E$2:E$3608,'données'!K$2:K$3608)</f>
        <v>117.6</v>
      </c>
      <c r="E1497" s="5" t="b">
        <f t="shared" si="1"/>
        <v>0</v>
      </c>
    </row>
    <row r="1498">
      <c r="A1498" s="50" t="s">
        <v>5970</v>
      </c>
      <c r="B1498" s="61">
        <v>97.0</v>
      </c>
      <c r="C1498" s="61">
        <v>98.0</v>
      </c>
      <c r="D1498" s="9">
        <f t="array" ref="D1498">xlookup(A1498,'données'!E$2:E$3608,'données'!K$2:K$3608)</f>
        <v>118.5</v>
      </c>
      <c r="E1498" s="5" t="b">
        <f t="shared" si="1"/>
        <v>0</v>
      </c>
    </row>
    <row r="1499">
      <c r="A1499" s="50" t="s">
        <v>5965</v>
      </c>
      <c r="B1499" s="61">
        <v>91.0</v>
      </c>
      <c r="C1499" s="61">
        <v>94.0</v>
      </c>
      <c r="D1499" s="9">
        <f t="array" ref="D1499">xlookup(A1499,'données'!E$2:E$3608,'données'!K$2:K$3608)</f>
        <v>100.2</v>
      </c>
      <c r="E1499" s="5" t="b">
        <f t="shared" si="1"/>
        <v>0</v>
      </c>
    </row>
    <row r="1500">
      <c r="A1500" s="50" t="s">
        <v>796</v>
      </c>
      <c r="B1500" s="61">
        <v>98.0</v>
      </c>
      <c r="C1500" s="61">
        <v>100.0</v>
      </c>
      <c r="D1500" s="9">
        <f t="array" ref="D1500">xlookup(A1500,'données'!E$2:E$3608,'données'!K$2:K$3608)</f>
        <v>111.2</v>
      </c>
      <c r="E1500" s="5" t="b">
        <f t="shared" si="1"/>
        <v>0</v>
      </c>
    </row>
    <row r="1501">
      <c r="A1501" s="50" t="s">
        <v>7432</v>
      </c>
      <c r="B1501" s="61">
        <v>100.0</v>
      </c>
      <c r="C1501" s="61">
        <v>100.0</v>
      </c>
      <c r="D1501" s="9">
        <f t="array" ref="D1501">xlookup(A1501,'données'!E$2:E$3608,'données'!K$2:K$3608)</f>
        <v>124.8</v>
      </c>
      <c r="E1501" s="5" t="b">
        <f t="shared" si="1"/>
        <v>0</v>
      </c>
    </row>
    <row r="1502">
      <c r="A1502" s="50" t="s">
        <v>2716</v>
      </c>
      <c r="B1502" s="61">
        <v>99.0</v>
      </c>
      <c r="C1502" s="50"/>
      <c r="D1502" s="9">
        <f t="array" ref="D1502">xlookup(A1502,'données'!E$2:E$3608,'données'!K$2:K$3608)</f>
        <v>116.6</v>
      </c>
      <c r="E1502" s="5" t="b">
        <f t="shared" si="1"/>
        <v>0</v>
      </c>
    </row>
    <row r="1503">
      <c r="A1503" s="50" t="s">
        <v>2714</v>
      </c>
      <c r="B1503" s="61">
        <v>90.0</v>
      </c>
      <c r="C1503" s="61">
        <v>100.0</v>
      </c>
      <c r="D1503" s="9">
        <f t="array" ref="D1503">xlookup(A1503,'données'!E$2:E$3608,'données'!K$2:K$3608)</f>
        <v>94</v>
      </c>
      <c r="E1503" s="5" t="b">
        <f t="shared" si="1"/>
        <v>0</v>
      </c>
    </row>
    <row r="1504">
      <c r="A1504" s="50" t="s">
        <v>791</v>
      </c>
      <c r="B1504" s="61">
        <v>99.0</v>
      </c>
      <c r="C1504" s="61">
        <v>99.0</v>
      </c>
      <c r="D1504" s="9">
        <f t="array" ref="D1504">xlookup(A1504,'données'!E$2:E$3608,'données'!K$2:K$3608)</f>
        <v>119.4</v>
      </c>
      <c r="E1504" s="5" t="b">
        <f t="shared" si="1"/>
        <v>0</v>
      </c>
    </row>
    <row r="1505">
      <c r="A1505" s="50" t="s">
        <v>7430</v>
      </c>
      <c r="B1505" s="61">
        <v>100.0</v>
      </c>
      <c r="C1505" s="61">
        <v>99.0</v>
      </c>
      <c r="D1505" s="9">
        <f t="array" ref="D1505">xlookup(A1505,'données'!E$2:E$3608,'données'!K$2:K$3608)</f>
        <v>126</v>
      </c>
      <c r="E1505" s="5" t="b">
        <f t="shared" si="1"/>
        <v>0</v>
      </c>
    </row>
    <row r="1506">
      <c r="A1506" s="50" t="s">
        <v>7429</v>
      </c>
      <c r="B1506" s="61">
        <v>100.0</v>
      </c>
      <c r="C1506" s="61">
        <v>100.0</v>
      </c>
      <c r="D1506" s="9">
        <f t="array" ref="D1506">xlookup(A1506,'données'!E$2:E$3608,'données'!K$2:K$3608)</f>
        <v>132.5</v>
      </c>
      <c r="E1506" s="5" t="b">
        <f t="shared" si="1"/>
        <v>0</v>
      </c>
    </row>
    <row r="1507">
      <c r="A1507" s="50" t="s">
        <v>788</v>
      </c>
      <c r="B1507" s="61">
        <v>99.0</v>
      </c>
      <c r="C1507" s="61">
        <v>99.0</v>
      </c>
      <c r="D1507" s="9">
        <f t="array" ref="D1507">xlookup(A1507,'données'!E$2:E$3608,'données'!K$2:K$3608)</f>
        <v>134.1</v>
      </c>
      <c r="E1507" s="5" t="b">
        <f t="shared" si="1"/>
        <v>0</v>
      </c>
    </row>
    <row r="1508">
      <c r="A1508" s="50" t="s">
        <v>7426</v>
      </c>
      <c r="B1508" s="61">
        <v>99.0</v>
      </c>
      <c r="C1508" s="61">
        <v>99.0</v>
      </c>
      <c r="D1508" s="9">
        <f t="array" ref="D1508">xlookup(A1508,'données'!E$2:E$3608,'données'!K$2:K$3608)</f>
        <v>110.5</v>
      </c>
      <c r="E1508" s="5" t="b">
        <f t="shared" si="1"/>
        <v>0</v>
      </c>
    </row>
    <row r="1509">
      <c r="A1509" s="50" t="s">
        <v>5959</v>
      </c>
      <c r="B1509" s="61">
        <v>100.0</v>
      </c>
      <c r="C1509" s="61">
        <v>100.0</v>
      </c>
      <c r="D1509" s="9">
        <f t="array" ref="D1509">xlookup(A1509,'données'!E$2:E$3608,'données'!K$2:K$3608)</f>
        <v>143.5</v>
      </c>
      <c r="E1509" s="5" t="b">
        <f t="shared" si="1"/>
        <v>0</v>
      </c>
    </row>
    <row r="1510">
      <c r="A1510" s="50" t="s">
        <v>7424</v>
      </c>
      <c r="B1510" s="61">
        <v>99.0</v>
      </c>
      <c r="C1510" s="61">
        <v>99.0</v>
      </c>
      <c r="D1510" s="9">
        <f t="array" ref="D1510">xlookup(A1510,'données'!E$2:E$3608,'données'!K$2:K$3608)</f>
        <v>130.8</v>
      </c>
      <c r="E1510" s="5" t="b">
        <f t="shared" si="1"/>
        <v>0</v>
      </c>
    </row>
    <row r="1511">
      <c r="A1511" s="50" t="s">
        <v>5958</v>
      </c>
      <c r="B1511" s="61">
        <v>100.0</v>
      </c>
      <c r="C1511" s="61">
        <v>100.0</v>
      </c>
      <c r="D1511" s="9">
        <f t="array" ref="D1511">xlookup(A1511,'données'!E$2:E$3608,'données'!K$2:K$3608)</f>
        <v>142.1</v>
      </c>
      <c r="E1511" s="5" t="b">
        <f t="shared" si="1"/>
        <v>0</v>
      </c>
    </row>
    <row r="1512">
      <c r="A1512" s="50" t="s">
        <v>786</v>
      </c>
      <c r="B1512" s="61">
        <v>100.0</v>
      </c>
      <c r="C1512" s="61">
        <v>100.0</v>
      </c>
      <c r="D1512" s="9">
        <f t="array" ref="D1512">xlookup(A1512,'données'!E$2:E$3608,'données'!K$2:K$3608)</f>
        <v>141.1</v>
      </c>
      <c r="E1512" s="5" t="b">
        <f t="shared" si="1"/>
        <v>0</v>
      </c>
    </row>
    <row r="1513">
      <c r="A1513" s="50" t="s">
        <v>4485</v>
      </c>
      <c r="B1513" s="61">
        <v>100.0</v>
      </c>
      <c r="C1513" s="61">
        <v>100.0</v>
      </c>
      <c r="D1513" s="9">
        <f t="array" ref="D1513">xlookup(A1513,'données'!E$2:E$3608,'données'!K$2:K$3608)</f>
        <v>141.9</v>
      </c>
      <c r="E1513" s="5" t="b">
        <f t="shared" si="1"/>
        <v>0</v>
      </c>
    </row>
    <row r="1514">
      <c r="A1514" s="50" t="s">
        <v>5957</v>
      </c>
      <c r="B1514" s="61">
        <v>99.0</v>
      </c>
      <c r="C1514" s="61">
        <v>99.0</v>
      </c>
      <c r="D1514" s="9">
        <f t="array" ref="D1514">xlookup(A1514,'données'!E$2:E$3608,'données'!K$2:K$3608)</f>
        <v>113.1</v>
      </c>
      <c r="E1514" s="5" t="b">
        <f t="shared" si="1"/>
        <v>0</v>
      </c>
    </row>
    <row r="1515">
      <c r="A1515" s="50" t="s">
        <v>5956</v>
      </c>
      <c r="B1515" s="61">
        <v>100.0</v>
      </c>
      <c r="C1515" s="61">
        <v>100.0</v>
      </c>
      <c r="D1515" s="9">
        <f t="array" ref="D1515">xlookup(A1515,'données'!E$2:E$3608,'données'!K$2:K$3608)</f>
        <v>117.3</v>
      </c>
      <c r="E1515" s="5" t="b">
        <f t="shared" si="1"/>
        <v>0</v>
      </c>
    </row>
    <row r="1516">
      <c r="A1516" s="50" t="s">
        <v>2712</v>
      </c>
      <c r="B1516" s="61">
        <v>100.0</v>
      </c>
      <c r="C1516" s="50"/>
      <c r="D1516" s="9">
        <f t="array" ref="D1516">xlookup(A1516,'données'!E$2:E$3608,'données'!K$2:K$3608)</f>
        <v>118.2</v>
      </c>
      <c r="E1516" s="5" t="b">
        <f t="shared" si="1"/>
        <v>0</v>
      </c>
    </row>
    <row r="1517">
      <c r="A1517" s="50" t="s">
        <v>7422</v>
      </c>
      <c r="B1517" s="61">
        <v>97.0</v>
      </c>
      <c r="C1517" s="61">
        <v>98.0</v>
      </c>
      <c r="D1517" s="9">
        <f t="array" ref="D1517">xlookup(A1517,'données'!E$2:E$3608,'données'!K$2:K$3608)</f>
        <v>118.6</v>
      </c>
      <c r="E1517" s="5" t="b">
        <f t="shared" si="1"/>
        <v>0</v>
      </c>
    </row>
    <row r="1518">
      <c r="A1518" s="50" t="s">
        <v>7421</v>
      </c>
      <c r="B1518" s="61">
        <v>100.0</v>
      </c>
      <c r="C1518" s="61">
        <v>100.0</v>
      </c>
      <c r="D1518" s="9">
        <f t="array" ref="D1518">xlookup(A1518,'données'!E$2:E$3608,'données'!K$2:K$3608)</f>
        <v>119</v>
      </c>
      <c r="E1518" s="5" t="b">
        <f t="shared" si="1"/>
        <v>0</v>
      </c>
    </row>
    <row r="1519">
      <c r="A1519" s="50" t="s">
        <v>5955</v>
      </c>
      <c r="B1519" s="61">
        <v>95.0</v>
      </c>
      <c r="C1519" s="61">
        <v>98.0</v>
      </c>
      <c r="D1519" s="9">
        <f t="array" ref="D1519">xlookup(A1519,'données'!E$2:E$3608,'données'!K$2:K$3608)</f>
        <v>111.6</v>
      </c>
      <c r="E1519" s="5" t="b">
        <f t="shared" si="1"/>
        <v>0</v>
      </c>
    </row>
    <row r="1520">
      <c r="A1520" s="50" t="s">
        <v>2709</v>
      </c>
      <c r="B1520" s="61">
        <v>96.0</v>
      </c>
      <c r="C1520" s="61">
        <v>98.0</v>
      </c>
      <c r="D1520" s="9">
        <f t="array" ref="D1520">xlookup(A1520,'données'!E$2:E$3608,'données'!K$2:K$3608)</f>
        <v>122.8</v>
      </c>
      <c r="E1520" s="5" t="b">
        <f t="shared" si="1"/>
        <v>0</v>
      </c>
    </row>
    <row r="1521">
      <c r="A1521" s="50" t="s">
        <v>7417</v>
      </c>
      <c r="B1521" s="61">
        <v>97.0</v>
      </c>
      <c r="C1521" s="61">
        <v>99.0</v>
      </c>
      <c r="D1521" s="9">
        <f t="array" ref="D1521">xlookup(A1521,'données'!E$2:E$3608,'données'!K$2:K$3608)</f>
        <v>127.3</v>
      </c>
      <c r="E1521" s="5" t="b">
        <f t="shared" si="1"/>
        <v>0</v>
      </c>
    </row>
    <row r="1522">
      <c r="A1522" s="50" t="s">
        <v>7415</v>
      </c>
      <c r="B1522" s="61">
        <v>99.0</v>
      </c>
      <c r="C1522" s="61">
        <v>100.0</v>
      </c>
      <c r="D1522" s="9">
        <f t="array" ref="D1522">xlookup(A1522,'données'!E$2:E$3608,'données'!K$2:K$3608)</f>
        <v>126.8</v>
      </c>
      <c r="E1522" s="5" t="b">
        <f t="shared" si="1"/>
        <v>0</v>
      </c>
    </row>
    <row r="1523">
      <c r="A1523" s="50" t="s">
        <v>7413</v>
      </c>
      <c r="B1523" s="61">
        <v>99.0</v>
      </c>
      <c r="C1523" s="61">
        <v>99.0</v>
      </c>
      <c r="D1523" s="9">
        <f t="array" ref="D1523">xlookup(A1523,'données'!E$2:E$3608,'données'!K$2:K$3608)</f>
        <v>140.9</v>
      </c>
      <c r="E1523" s="5" t="b">
        <f t="shared" si="1"/>
        <v>0</v>
      </c>
    </row>
    <row r="1524">
      <c r="A1524" s="50" t="s">
        <v>7411</v>
      </c>
      <c r="B1524" s="61">
        <v>99.0</v>
      </c>
      <c r="C1524" s="61">
        <v>99.0</v>
      </c>
      <c r="D1524" s="9">
        <f t="array" ref="D1524">xlookup(A1524,'données'!E$2:E$3608,'données'!K$2:K$3608)</f>
        <v>140</v>
      </c>
      <c r="E1524" s="5" t="b">
        <f t="shared" si="1"/>
        <v>0</v>
      </c>
    </row>
    <row r="1525">
      <c r="A1525" s="50" t="s">
        <v>781</v>
      </c>
      <c r="B1525" s="61">
        <v>99.0</v>
      </c>
      <c r="C1525" s="61">
        <v>99.0</v>
      </c>
      <c r="D1525" s="9">
        <f t="array" ref="D1525">xlookup(A1525,'données'!E$2:E$3608,'données'!K$2:K$3608)</f>
        <v>133.8</v>
      </c>
      <c r="E1525" s="5" t="b">
        <f t="shared" si="1"/>
        <v>0</v>
      </c>
    </row>
    <row r="1526">
      <c r="A1526" s="50" t="s">
        <v>2704</v>
      </c>
      <c r="B1526" s="61">
        <v>98.0</v>
      </c>
      <c r="C1526" s="61">
        <v>99.0</v>
      </c>
      <c r="D1526" s="9">
        <f t="array" ref="D1526">xlookup(A1526,'données'!E$2:E$3608,'données'!K$2:K$3608)</f>
        <v>130.4</v>
      </c>
      <c r="E1526" s="5" t="b">
        <f t="shared" si="1"/>
        <v>0</v>
      </c>
    </row>
    <row r="1527">
      <c r="A1527" s="50" t="s">
        <v>5953</v>
      </c>
      <c r="B1527" s="61">
        <v>97.0</v>
      </c>
      <c r="C1527" s="61">
        <v>97.0</v>
      </c>
      <c r="D1527" s="9">
        <f t="array" ref="D1527">xlookup(A1527,'données'!E$2:E$3608,'données'!K$2:K$3608)</f>
        <v>101.5</v>
      </c>
      <c r="E1527" s="5" t="b">
        <f t="shared" si="1"/>
        <v>0</v>
      </c>
    </row>
    <row r="1528">
      <c r="A1528" s="50" t="s">
        <v>2701</v>
      </c>
      <c r="B1528" s="61">
        <v>99.0</v>
      </c>
      <c r="C1528" s="61">
        <v>100.0</v>
      </c>
      <c r="D1528" s="9">
        <f t="array" ref="D1528">xlookup(A1528,'données'!E$2:E$3608,'données'!K$2:K$3608)</f>
        <v>115.1</v>
      </c>
      <c r="E1528" s="5" t="b">
        <f t="shared" si="1"/>
        <v>0</v>
      </c>
    </row>
    <row r="1529">
      <c r="A1529" s="50" t="s">
        <v>777</v>
      </c>
      <c r="B1529" s="61">
        <v>100.0</v>
      </c>
      <c r="C1529" s="61">
        <v>100.0</v>
      </c>
      <c r="D1529" s="9">
        <f t="array" ref="D1529">xlookup(A1529,'données'!E$2:E$3608,'données'!K$2:K$3608)</f>
        <v>114.1</v>
      </c>
      <c r="E1529" s="5" t="b">
        <f t="shared" si="1"/>
        <v>0</v>
      </c>
    </row>
    <row r="1530">
      <c r="A1530" s="50" t="s">
        <v>4476</v>
      </c>
      <c r="B1530" s="61">
        <v>99.0</v>
      </c>
      <c r="C1530" s="61">
        <v>99.0</v>
      </c>
      <c r="D1530" s="9">
        <f t="array" ref="D1530">xlookup(A1530,'données'!E$2:E$3608,'données'!K$2:K$3608)</f>
        <v>113.3</v>
      </c>
      <c r="E1530" s="5" t="b">
        <f t="shared" si="1"/>
        <v>0</v>
      </c>
    </row>
    <row r="1531">
      <c r="A1531" s="50" t="s">
        <v>7410</v>
      </c>
      <c r="B1531" s="61">
        <v>98.0</v>
      </c>
      <c r="C1531" s="61">
        <v>98.0</v>
      </c>
      <c r="D1531" s="9">
        <f t="array" ref="D1531">xlookup(A1531,'données'!E$2:E$3608,'données'!K$2:K$3608)</f>
        <v>119.2</v>
      </c>
      <c r="E1531" s="5" t="b">
        <f t="shared" si="1"/>
        <v>0</v>
      </c>
    </row>
    <row r="1532">
      <c r="A1532" s="50" t="s">
        <v>7409</v>
      </c>
      <c r="B1532" s="61">
        <v>100.0</v>
      </c>
      <c r="C1532" s="61">
        <v>100.0</v>
      </c>
      <c r="D1532" s="9">
        <f t="array" ref="D1532">xlookup(A1532,'données'!E$2:E$3608,'données'!K$2:K$3608)</f>
        <v>105.6</v>
      </c>
      <c r="E1532" s="5" t="b">
        <f t="shared" si="1"/>
        <v>0</v>
      </c>
    </row>
    <row r="1533">
      <c r="A1533" s="50" t="s">
        <v>5951</v>
      </c>
      <c r="B1533" s="61">
        <v>100.0</v>
      </c>
      <c r="C1533" s="61">
        <v>99.0</v>
      </c>
      <c r="D1533" s="9">
        <f t="array" ref="D1533">xlookup(A1533,'données'!E$2:E$3608,'données'!K$2:K$3608)</f>
        <v>114.2</v>
      </c>
      <c r="E1533" s="5" t="b">
        <f t="shared" si="1"/>
        <v>0</v>
      </c>
    </row>
    <row r="1534">
      <c r="A1534" s="50" t="s">
        <v>771</v>
      </c>
      <c r="B1534" s="61">
        <v>100.0</v>
      </c>
      <c r="C1534" s="61">
        <v>100.0</v>
      </c>
      <c r="D1534" s="9">
        <f t="array" ref="D1534">xlookup(A1534,'données'!E$2:E$3608,'données'!K$2:K$3608)</f>
        <v>117.9</v>
      </c>
      <c r="E1534" s="5" t="b">
        <f t="shared" si="1"/>
        <v>0</v>
      </c>
    </row>
    <row r="1535">
      <c r="A1535" s="50" t="s">
        <v>768</v>
      </c>
      <c r="B1535" s="61">
        <v>100.0</v>
      </c>
      <c r="C1535" s="61">
        <v>100.0</v>
      </c>
      <c r="D1535" s="9">
        <f t="array" ref="D1535">xlookup(A1535,'données'!E$2:E$3608,'données'!K$2:K$3608)</f>
        <v>105.4</v>
      </c>
      <c r="E1535" s="5" t="b">
        <f t="shared" si="1"/>
        <v>0</v>
      </c>
    </row>
    <row r="1536">
      <c r="A1536" s="50" t="s">
        <v>765</v>
      </c>
      <c r="B1536" s="61">
        <v>98.0</v>
      </c>
      <c r="C1536" s="61">
        <v>99.0</v>
      </c>
      <c r="D1536" s="9">
        <f t="array" ref="D1536">xlookup(A1536,'données'!E$2:E$3608,'données'!K$2:K$3608)</f>
        <v>115.7</v>
      </c>
      <c r="E1536" s="5" t="b">
        <f t="shared" si="1"/>
        <v>0</v>
      </c>
    </row>
    <row r="1537">
      <c r="A1537" s="50" t="s">
        <v>2697</v>
      </c>
      <c r="B1537" s="61">
        <v>97.0</v>
      </c>
      <c r="C1537" s="61">
        <v>97.0</v>
      </c>
      <c r="D1537" s="9">
        <f t="array" ref="D1537">xlookup(A1537,'données'!E$2:E$3608,'données'!K$2:K$3608)</f>
        <v>115.8</v>
      </c>
      <c r="E1537" s="5" t="b">
        <f t="shared" si="1"/>
        <v>0</v>
      </c>
    </row>
    <row r="1538">
      <c r="A1538" s="50" t="s">
        <v>2695</v>
      </c>
      <c r="B1538" s="61">
        <v>98.0</v>
      </c>
      <c r="C1538" s="61">
        <v>99.0</v>
      </c>
      <c r="D1538" s="9">
        <f t="array" ref="D1538">xlookup(A1538,'données'!E$2:E$3608,'données'!K$2:K$3608)</f>
        <v>111.6</v>
      </c>
      <c r="E1538" s="5" t="b">
        <f t="shared" si="1"/>
        <v>0</v>
      </c>
    </row>
    <row r="1539">
      <c r="A1539" s="50" t="s">
        <v>7407</v>
      </c>
      <c r="B1539" s="61">
        <v>100.0</v>
      </c>
      <c r="C1539" s="61">
        <v>100.0</v>
      </c>
      <c r="D1539" s="9">
        <f t="array" ref="D1539">xlookup(A1539,'données'!E$2:E$3608,'données'!K$2:K$3608)</f>
        <v>111.8</v>
      </c>
      <c r="E1539" s="5" t="b">
        <f t="shared" si="1"/>
        <v>0</v>
      </c>
    </row>
    <row r="1540">
      <c r="A1540" s="50" t="s">
        <v>2693</v>
      </c>
      <c r="B1540" s="61">
        <v>99.0</v>
      </c>
      <c r="C1540" s="61">
        <v>99.0</v>
      </c>
      <c r="D1540" s="9">
        <f t="array" ref="D1540">xlookup(A1540,'données'!E$2:E$3608,'données'!K$2:K$3608)</f>
        <v>120.6</v>
      </c>
      <c r="E1540" s="5" t="b">
        <f t="shared" si="1"/>
        <v>0</v>
      </c>
    </row>
    <row r="1541">
      <c r="A1541" s="50" t="s">
        <v>2690</v>
      </c>
      <c r="B1541" s="61">
        <v>100.0</v>
      </c>
      <c r="C1541" s="50"/>
      <c r="D1541" s="9">
        <f t="array" ref="D1541">xlookup(A1541,'données'!E$2:E$3608,'données'!K$2:K$3608)</f>
        <v>116.5</v>
      </c>
      <c r="E1541" s="5" t="b">
        <f t="shared" si="1"/>
        <v>0</v>
      </c>
    </row>
    <row r="1542">
      <c r="A1542" s="50" t="s">
        <v>762</v>
      </c>
      <c r="B1542" s="61">
        <v>100.0</v>
      </c>
      <c r="C1542" s="50"/>
      <c r="D1542" s="9">
        <f t="array" ref="D1542">xlookup(A1542,'données'!E$2:E$3608,'données'!K$2:K$3608)</f>
        <v>105.5</v>
      </c>
      <c r="E1542" s="5" t="b">
        <f t="shared" si="1"/>
        <v>0</v>
      </c>
    </row>
    <row r="1543">
      <c r="A1543" s="50" t="s">
        <v>7404</v>
      </c>
      <c r="B1543" s="61">
        <v>99.0</v>
      </c>
      <c r="C1543" s="61">
        <v>99.0</v>
      </c>
      <c r="D1543" s="9">
        <f t="array" ref="D1543">xlookup(A1543,'données'!E$2:E$3608,'données'!K$2:K$3608)</f>
        <v>115.1</v>
      </c>
      <c r="E1543" s="5" t="b">
        <f t="shared" si="1"/>
        <v>0</v>
      </c>
    </row>
    <row r="1544">
      <c r="A1544" s="50" t="s">
        <v>7401</v>
      </c>
      <c r="B1544" s="61">
        <v>97.0</v>
      </c>
      <c r="C1544" s="61">
        <v>98.0</v>
      </c>
      <c r="D1544" s="9">
        <f t="array" ref="D1544">xlookup(A1544,'données'!E$2:E$3608,'données'!K$2:K$3608)</f>
        <v>121.2</v>
      </c>
      <c r="E1544" s="5" t="b">
        <f t="shared" si="1"/>
        <v>0</v>
      </c>
    </row>
    <row r="1545">
      <c r="A1545" s="50" t="s">
        <v>5945</v>
      </c>
      <c r="B1545" s="61">
        <v>97.0</v>
      </c>
      <c r="C1545" s="61">
        <v>98.0</v>
      </c>
      <c r="D1545" s="9">
        <f t="array" ref="D1545">xlookup(A1545,'données'!E$2:E$3608,'données'!K$2:K$3608)</f>
        <v>118.3</v>
      </c>
      <c r="E1545" s="5" t="b">
        <f t="shared" si="1"/>
        <v>0</v>
      </c>
    </row>
    <row r="1546">
      <c r="A1546" s="50" t="s">
        <v>4459</v>
      </c>
      <c r="B1546" s="61">
        <v>100.0</v>
      </c>
      <c r="C1546" s="61">
        <v>100.0</v>
      </c>
      <c r="D1546" s="9">
        <f t="array" ref="D1546">xlookup(A1546,'données'!E$2:E$3608,'données'!K$2:K$3608)</f>
        <v>124</v>
      </c>
      <c r="E1546" s="5" t="b">
        <f t="shared" si="1"/>
        <v>0</v>
      </c>
    </row>
    <row r="1547">
      <c r="A1547" s="50" t="s">
        <v>5944</v>
      </c>
      <c r="B1547" s="61">
        <v>98.0</v>
      </c>
      <c r="C1547" s="61">
        <v>98.0</v>
      </c>
      <c r="D1547" s="9">
        <f t="array" ref="D1547">xlookup(A1547,'données'!E$2:E$3608,'données'!K$2:K$3608)</f>
        <v>109.5</v>
      </c>
      <c r="E1547" s="5" t="b">
        <f t="shared" si="1"/>
        <v>0</v>
      </c>
    </row>
    <row r="1548">
      <c r="A1548" s="50" t="s">
        <v>755</v>
      </c>
      <c r="B1548" s="61">
        <v>100.0</v>
      </c>
      <c r="C1548" s="61">
        <v>100.0</v>
      </c>
      <c r="D1548" s="9">
        <f t="array" ref="D1548">xlookup(A1548,'données'!E$2:E$3608,'données'!K$2:K$3608)</f>
        <v>124.8</v>
      </c>
      <c r="E1548" s="5" t="b">
        <f t="shared" si="1"/>
        <v>0</v>
      </c>
    </row>
    <row r="1549">
      <c r="A1549" s="50" t="s">
        <v>4457</v>
      </c>
      <c r="B1549" s="61">
        <v>97.0</v>
      </c>
      <c r="C1549" s="61">
        <v>97.0</v>
      </c>
      <c r="D1549" s="9">
        <f t="array" ref="D1549">xlookup(A1549,'données'!E$2:E$3608,'données'!K$2:K$3608)</f>
        <v>122.7</v>
      </c>
      <c r="E1549" s="5" t="b">
        <f t="shared" si="1"/>
        <v>0</v>
      </c>
    </row>
    <row r="1550">
      <c r="A1550" s="50" t="s">
        <v>5942</v>
      </c>
      <c r="B1550" s="61">
        <v>99.0</v>
      </c>
      <c r="C1550" s="61">
        <v>99.0</v>
      </c>
      <c r="D1550" s="9">
        <f t="array" ref="D1550">xlookup(A1550,'données'!E$2:E$3608,'données'!K$2:K$3608)</f>
        <v>122.6</v>
      </c>
      <c r="E1550" s="5" t="b">
        <f t="shared" si="1"/>
        <v>0</v>
      </c>
    </row>
    <row r="1551">
      <c r="A1551" s="50" t="s">
        <v>5940</v>
      </c>
      <c r="B1551" s="61">
        <v>94.0</v>
      </c>
      <c r="C1551" s="61">
        <v>94.0</v>
      </c>
      <c r="D1551" s="9">
        <f t="array" ref="D1551">xlookup(A1551,'données'!E$2:E$3608,'données'!K$2:K$3608)</f>
        <v>105.2</v>
      </c>
      <c r="E1551" s="5" t="b">
        <f t="shared" si="1"/>
        <v>0</v>
      </c>
    </row>
    <row r="1552">
      <c r="A1552" s="50" t="s">
        <v>751</v>
      </c>
      <c r="B1552" s="61">
        <v>95.0</v>
      </c>
      <c r="C1552" s="61">
        <v>100.0</v>
      </c>
      <c r="D1552" s="9">
        <f t="array" ref="D1552">xlookup(A1552,'données'!E$2:E$3608,'données'!K$2:K$3608)</f>
        <v>104.8</v>
      </c>
      <c r="E1552" s="5" t="b">
        <f t="shared" si="1"/>
        <v>0</v>
      </c>
    </row>
    <row r="1553">
      <c r="A1553" s="50" t="s">
        <v>5931</v>
      </c>
      <c r="B1553" s="61">
        <v>100.0</v>
      </c>
      <c r="C1553" s="61">
        <v>100.0</v>
      </c>
      <c r="D1553" s="9">
        <f t="array" ref="D1553">xlookup(A1553,'données'!E$2:E$3608,'données'!K$2:K$3608)</f>
        <v>114.2</v>
      </c>
      <c r="E1553" s="5" t="b">
        <f t="shared" si="1"/>
        <v>0</v>
      </c>
    </row>
    <row r="1554">
      <c r="A1554" s="50" t="s">
        <v>749</v>
      </c>
      <c r="B1554" s="61">
        <v>98.0</v>
      </c>
      <c r="C1554" s="61">
        <v>97.0</v>
      </c>
      <c r="D1554" s="9">
        <f t="array" ref="D1554">xlookup(A1554,'données'!E$2:E$3608,'données'!K$2:K$3608)</f>
        <v>105.8</v>
      </c>
      <c r="E1554" s="5" t="b">
        <f t="shared" si="1"/>
        <v>0</v>
      </c>
    </row>
    <row r="1555">
      <c r="A1555" s="50" t="s">
        <v>4446</v>
      </c>
      <c r="B1555" s="61">
        <v>98.0</v>
      </c>
      <c r="C1555" s="61">
        <v>99.0</v>
      </c>
      <c r="D1555" s="9">
        <f t="array" ref="D1555">xlookup(A1555,'données'!E$2:E$3608,'données'!K$2:K$3608)</f>
        <v>114.9</v>
      </c>
      <c r="E1555" s="5" t="b">
        <f t="shared" si="1"/>
        <v>0</v>
      </c>
    </row>
    <row r="1556">
      <c r="A1556" s="50" t="s">
        <v>7391</v>
      </c>
      <c r="B1556" s="61">
        <v>97.0</v>
      </c>
      <c r="C1556" s="61">
        <v>98.0</v>
      </c>
      <c r="D1556" s="9">
        <f t="array" ref="D1556">xlookup(A1556,'données'!E$2:E$3608,'données'!K$2:K$3608)</f>
        <v>106.3</v>
      </c>
      <c r="E1556" s="5" t="b">
        <f t="shared" si="1"/>
        <v>0</v>
      </c>
    </row>
    <row r="1557">
      <c r="A1557" s="50" t="s">
        <v>7389</v>
      </c>
      <c r="B1557" s="61">
        <v>89.0</v>
      </c>
      <c r="C1557" s="61">
        <v>92.0</v>
      </c>
      <c r="D1557" s="9">
        <f t="array" ref="D1557">xlookup(A1557,'données'!E$2:E$3608,'données'!K$2:K$3608)</f>
        <v>100.1</v>
      </c>
      <c r="E1557" s="5" t="b">
        <f t="shared" si="1"/>
        <v>0</v>
      </c>
    </row>
    <row r="1558">
      <c r="A1558" s="50" t="s">
        <v>746</v>
      </c>
      <c r="B1558" s="61">
        <v>95.0</v>
      </c>
      <c r="C1558" s="61">
        <v>95.0</v>
      </c>
      <c r="D1558" s="9">
        <f t="array" ref="D1558">xlookup(A1558,'données'!E$2:E$3608,'données'!K$2:K$3608)</f>
        <v>111.8</v>
      </c>
      <c r="E1558" s="5" t="b">
        <f t="shared" si="1"/>
        <v>0</v>
      </c>
    </row>
    <row r="1559">
      <c r="A1559" s="50" t="s">
        <v>5924</v>
      </c>
      <c r="B1559" s="61">
        <v>95.0</v>
      </c>
      <c r="C1559" s="61">
        <v>96.0</v>
      </c>
      <c r="D1559" s="9">
        <f t="array" ref="D1559">xlookup(A1559,'données'!E$2:E$3608,'données'!K$2:K$3608)</f>
        <v>104.7</v>
      </c>
      <c r="E1559" s="5" t="b">
        <f t="shared" si="1"/>
        <v>0</v>
      </c>
    </row>
    <row r="1560">
      <c r="A1560" s="50" t="s">
        <v>2669</v>
      </c>
      <c r="B1560" s="61">
        <v>100.0</v>
      </c>
      <c r="C1560" s="61">
        <v>100.0</v>
      </c>
      <c r="D1560" s="9">
        <f t="array" ref="D1560">xlookup(A1560,'données'!E$2:E$3608,'données'!K$2:K$3608)</f>
        <v>117.4</v>
      </c>
      <c r="E1560" s="5" t="b">
        <f t="shared" si="1"/>
        <v>0</v>
      </c>
    </row>
    <row r="1561">
      <c r="A1561" s="50" t="s">
        <v>4444</v>
      </c>
      <c r="B1561" s="61">
        <v>90.0</v>
      </c>
      <c r="C1561" s="61">
        <v>95.0</v>
      </c>
      <c r="D1561" s="9">
        <f t="array" ref="D1561">xlookup(A1561,'données'!E$2:E$3608,'données'!K$2:K$3608)</f>
        <v>102.1</v>
      </c>
      <c r="E1561" s="5" t="b">
        <f t="shared" si="1"/>
        <v>0</v>
      </c>
    </row>
    <row r="1562">
      <c r="A1562" s="50" t="s">
        <v>743</v>
      </c>
      <c r="B1562" s="61">
        <v>99.0</v>
      </c>
      <c r="C1562" s="61">
        <v>99.0</v>
      </c>
      <c r="D1562" s="9">
        <f t="array" ref="D1562">xlookup(A1562,'données'!E$2:E$3608,'données'!K$2:K$3608)</f>
        <v>112.1</v>
      </c>
      <c r="E1562" s="5" t="b">
        <f t="shared" si="1"/>
        <v>0</v>
      </c>
    </row>
    <row r="1563">
      <c r="A1563" s="50" t="s">
        <v>4442</v>
      </c>
      <c r="B1563" s="61">
        <v>99.0</v>
      </c>
      <c r="C1563" s="61">
        <v>100.0</v>
      </c>
      <c r="D1563" s="9">
        <f t="array" ref="D1563">xlookup(A1563,'données'!E$2:E$3608,'données'!K$2:K$3608)</f>
        <v>113.4</v>
      </c>
      <c r="E1563" s="5" t="b">
        <f t="shared" si="1"/>
        <v>0</v>
      </c>
    </row>
    <row r="1564">
      <c r="A1564" s="50" t="s">
        <v>5922</v>
      </c>
      <c r="B1564" s="61">
        <v>95.0</v>
      </c>
      <c r="C1564" s="61">
        <v>97.0</v>
      </c>
      <c r="D1564" s="9">
        <f t="array" ref="D1564">xlookup(A1564,'données'!E$2:E$3608,'données'!K$2:K$3608)</f>
        <v>119.3</v>
      </c>
      <c r="E1564" s="5" t="b">
        <f t="shared" si="1"/>
        <v>0</v>
      </c>
    </row>
    <row r="1565">
      <c r="A1565" s="50" t="s">
        <v>5920</v>
      </c>
      <c r="B1565" s="61">
        <v>97.0</v>
      </c>
      <c r="C1565" s="61">
        <v>97.0</v>
      </c>
      <c r="D1565" s="9">
        <f t="array" ref="D1565">xlookup(A1565,'données'!E$2:E$3608,'données'!K$2:K$3608)</f>
        <v>103.9</v>
      </c>
      <c r="E1565" s="5" t="b">
        <f t="shared" si="1"/>
        <v>0</v>
      </c>
    </row>
    <row r="1566">
      <c r="A1566" s="50" t="s">
        <v>7388</v>
      </c>
      <c r="B1566" s="61">
        <v>95.0</v>
      </c>
      <c r="C1566" s="61">
        <v>97.0</v>
      </c>
      <c r="D1566" s="9">
        <f t="array" ref="D1566">xlookup(A1566,'données'!E$2:E$3608,'données'!K$2:K$3608)</f>
        <v>98.9</v>
      </c>
      <c r="E1566" s="5" t="b">
        <f t="shared" si="1"/>
        <v>0</v>
      </c>
    </row>
    <row r="1567">
      <c r="A1567" s="50" t="s">
        <v>2660</v>
      </c>
      <c r="B1567" s="61">
        <v>97.0</v>
      </c>
      <c r="C1567" s="61">
        <v>97.0</v>
      </c>
      <c r="D1567" s="9">
        <f t="array" ref="D1567">xlookup(A1567,'données'!E$2:E$3608,'données'!K$2:K$3608)</f>
        <v>115</v>
      </c>
      <c r="E1567" s="5" t="b">
        <f t="shared" si="1"/>
        <v>0</v>
      </c>
    </row>
    <row r="1568">
      <c r="A1568" s="50" t="s">
        <v>7385</v>
      </c>
      <c r="B1568" s="61">
        <v>100.0</v>
      </c>
      <c r="C1568" s="61">
        <v>100.0</v>
      </c>
      <c r="D1568" s="9">
        <f t="array" ref="D1568">xlookup(A1568,'données'!E$2:E$3608,'données'!K$2:K$3608)</f>
        <v>131</v>
      </c>
      <c r="E1568" s="5" t="b">
        <f t="shared" si="1"/>
        <v>0</v>
      </c>
    </row>
    <row r="1569">
      <c r="A1569" s="50" t="s">
        <v>4441</v>
      </c>
      <c r="B1569" s="61">
        <v>93.0</v>
      </c>
      <c r="C1569" s="61">
        <v>92.0</v>
      </c>
      <c r="D1569" s="9">
        <f t="array" ref="D1569">xlookup(A1569,'données'!E$2:E$3608,'données'!K$2:K$3608)</f>
        <v>111.5</v>
      </c>
      <c r="E1569" s="5" t="b">
        <f t="shared" si="1"/>
        <v>0</v>
      </c>
    </row>
    <row r="1570">
      <c r="A1570" s="50" t="s">
        <v>2659</v>
      </c>
      <c r="B1570" s="61">
        <v>100.0</v>
      </c>
      <c r="C1570" s="61">
        <v>100.0</v>
      </c>
      <c r="D1570" s="9">
        <f t="array" ref="D1570">xlookup(A1570,'données'!E$2:E$3608,'données'!K$2:K$3608)</f>
        <v>128.1</v>
      </c>
      <c r="E1570" s="5" t="b">
        <f t="shared" si="1"/>
        <v>0</v>
      </c>
    </row>
    <row r="1571">
      <c r="A1571" s="50" t="s">
        <v>7383</v>
      </c>
      <c r="B1571" s="61">
        <v>100.0</v>
      </c>
      <c r="C1571" s="50"/>
      <c r="D1571" s="9">
        <f t="array" ref="D1571">xlookup(A1571,'données'!E$2:E$3608,'données'!K$2:K$3608)</f>
        <v>121.1</v>
      </c>
      <c r="E1571" s="5" t="b">
        <f t="shared" si="1"/>
        <v>0</v>
      </c>
    </row>
    <row r="1572">
      <c r="A1572" s="50" t="s">
        <v>7378</v>
      </c>
      <c r="B1572" s="61">
        <v>99.0</v>
      </c>
      <c r="C1572" s="50"/>
      <c r="D1572" s="9">
        <f t="array" ref="D1572">xlookup(A1572,'données'!E$2:E$3608,'données'!K$2:K$3608)</f>
        <v>107.8</v>
      </c>
      <c r="E1572" s="5" t="b">
        <f t="shared" si="1"/>
        <v>0</v>
      </c>
    </row>
    <row r="1573">
      <c r="A1573" s="50" t="s">
        <v>739</v>
      </c>
      <c r="B1573" s="61">
        <v>99.0</v>
      </c>
      <c r="C1573" s="61">
        <v>99.0</v>
      </c>
      <c r="D1573" s="9">
        <f t="array" ref="D1573">xlookup(A1573,'données'!E$2:E$3608,'données'!K$2:K$3608)</f>
        <v>124.3</v>
      </c>
      <c r="E1573" s="5" t="b">
        <f t="shared" si="1"/>
        <v>0</v>
      </c>
    </row>
    <row r="1574">
      <c r="A1574" s="50" t="s">
        <v>7374</v>
      </c>
      <c r="B1574" s="61">
        <v>95.0</v>
      </c>
      <c r="C1574" s="61">
        <v>98.0</v>
      </c>
      <c r="D1574" s="9">
        <f t="array" ref="D1574">xlookup(A1574,'données'!E$2:E$3608,'données'!K$2:K$3608)</f>
        <v>112.2</v>
      </c>
      <c r="E1574" s="5" t="b">
        <f t="shared" si="1"/>
        <v>0</v>
      </c>
    </row>
    <row r="1575">
      <c r="A1575" s="50" t="s">
        <v>733</v>
      </c>
      <c r="B1575" s="61">
        <v>97.0</v>
      </c>
      <c r="C1575" s="61">
        <v>98.0</v>
      </c>
      <c r="D1575" s="9">
        <f t="array" ref="D1575">xlookup(A1575,'données'!E$2:E$3608,'données'!K$2:K$3608)</f>
        <v>106.2</v>
      </c>
      <c r="E1575" s="5" t="b">
        <f t="shared" si="1"/>
        <v>0</v>
      </c>
    </row>
    <row r="1576">
      <c r="A1576" s="50" t="s">
        <v>7372</v>
      </c>
      <c r="B1576" s="61">
        <v>97.0</v>
      </c>
      <c r="C1576" s="61">
        <v>98.0</v>
      </c>
      <c r="D1576" s="9">
        <f t="array" ref="D1576">xlookup(A1576,'données'!E$2:E$3608,'données'!K$2:K$3608)</f>
        <v>115.7</v>
      </c>
      <c r="E1576" s="5" t="b">
        <f t="shared" si="1"/>
        <v>0</v>
      </c>
    </row>
    <row r="1577">
      <c r="A1577" s="50" t="s">
        <v>2655</v>
      </c>
      <c r="B1577" s="61">
        <v>89.0</v>
      </c>
      <c r="C1577" s="61">
        <v>90.0</v>
      </c>
      <c r="D1577" s="9">
        <f t="array" ref="D1577">xlookup(A1577,'données'!E$2:E$3608,'données'!K$2:K$3608)</f>
        <v>111.6</v>
      </c>
      <c r="E1577" s="5" t="b">
        <f t="shared" si="1"/>
        <v>0</v>
      </c>
    </row>
    <row r="1578">
      <c r="A1578" s="50" t="s">
        <v>4439</v>
      </c>
      <c r="B1578" s="61">
        <v>99.0</v>
      </c>
      <c r="C1578" s="61">
        <v>99.0</v>
      </c>
      <c r="D1578" s="9">
        <f t="array" ref="D1578">xlookup(A1578,'données'!E$2:E$3608,'données'!K$2:K$3608)</f>
        <v>120.1</v>
      </c>
      <c r="E1578" s="5" t="b">
        <f t="shared" si="1"/>
        <v>0</v>
      </c>
    </row>
    <row r="1579">
      <c r="A1579" s="50" t="s">
        <v>729</v>
      </c>
      <c r="B1579" s="61">
        <v>97.0</v>
      </c>
      <c r="C1579" s="61">
        <v>97.0</v>
      </c>
      <c r="D1579" s="9">
        <f t="array" ref="D1579">xlookup(A1579,'données'!E$2:E$3608,'données'!K$2:K$3608)</f>
        <v>112.8</v>
      </c>
      <c r="E1579" s="5" t="b">
        <f t="shared" si="1"/>
        <v>0</v>
      </c>
    </row>
    <row r="1580">
      <c r="A1580" s="50" t="s">
        <v>4436</v>
      </c>
      <c r="B1580" s="61">
        <v>99.0</v>
      </c>
      <c r="C1580" s="61">
        <v>99.0</v>
      </c>
      <c r="D1580" s="9">
        <f t="array" ref="D1580">xlookup(A1580,'données'!E$2:E$3608,'données'!K$2:K$3608)</f>
        <v>122.8</v>
      </c>
      <c r="E1580" s="5" t="b">
        <f t="shared" si="1"/>
        <v>0</v>
      </c>
    </row>
    <row r="1581">
      <c r="A1581" s="50" t="s">
        <v>724</v>
      </c>
      <c r="B1581" s="61">
        <v>99.0</v>
      </c>
      <c r="C1581" s="61">
        <v>99.0</v>
      </c>
      <c r="D1581" s="9">
        <f t="array" ref="D1581">xlookup(A1581,'données'!E$2:E$3608,'données'!K$2:K$3608)</f>
        <v>109.6</v>
      </c>
      <c r="E1581" s="5" t="b">
        <f t="shared" si="1"/>
        <v>0</v>
      </c>
    </row>
    <row r="1582">
      <c r="A1582" s="50" t="s">
        <v>721</v>
      </c>
      <c r="B1582" s="61">
        <v>97.0</v>
      </c>
      <c r="C1582" s="61">
        <v>97.0</v>
      </c>
      <c r="D1582" s="9">
        <f t="array" ref="D1582">xlookup(A1582,'données'!E$2:E$3608,'données'!K$2:K$3608)</f>
        <v>109.5</v>
      </c>
      <c r="E1582" s="5" t="b">
        <f t="shared" si="1"/>
        <v>0</v>
      </c>
    </row>
    <row r="1583">
      <c r="A1583" s="50" t="s">
        <v>2649</v>
      </c>
      <c r="B1583" s="61">
        <v>98.0</v>
      </c>
      <c r="C1583" s="61">
        <v>98.0</v>
      </c>
      <c r="D1583" s="9">
        <f t="array" ref="D1583">xlookup(A1583,'données'!E$2:E$3608,'données'!K$2:K$3608)</f>
        <v>109.3</v>
      </c>
      <c r="E1583" s="5" t="b">
        <f t="shared" si="1"/>
        <v>0</v>
      </c>
    </row>
    <row r="1584">
      <c r="A1584" s="50" t="s">
        <v>5915</v>
      </c>
      <c r="B1584" s="61">
        <v>98.0</v>
      </c>
      <c r="C1584" s="61">
        <v>99.0</v>
      </c>
      <c r="D1584" s="9">
        <f t="array" ref="D1584">xlookup(A1584,'données'!E$2:E$3608,'données'!K$2:K$3608)</f>
        <v>113.5</v>
      </c>
      <c r="E1584" s="5" t="b">
        <f t="shared" si="1"/>
        <v>0</v>
      </c>
    </row>
    <row r="1585">
      <c r="A1585" s="50" t="s">
        <v>5913</v>
      </c>
      <c r="B1585" s="61">
        <v>99.0</v>
      </c>
      <c r="C1585" s="61">
        <v>100.0</v>
      </c>
      <c r="D1585" s="9">
        <f t="array" ref="D1585">xlookup(A1585,'données'!E$2:E$3608,'données'!K$2:K$3608)</f>
        <v>112.3</v>
      </c>
      <c r="E1585" s="5" t="b">
        <f t="shared" si="1"/>
        <v>0</v>
      </c>
    </row>
    <row r="1586">
      <c r="A1586" s="50" t="s">
        <v>718</v>
      </c>
      <c r="B1586" s="61">
        <v>98.0</v>
      </c>
      <c r="C1586" s="61">
        <v>99.0</v>
      </c>
      <c r="D1586" s="9">
        <f t="array" ref="D1586">xlookup(A1586,'données'!E$2:E$3608,'données'!K$2:K$3608)</f>
        <v>115.9</v>
      </c>
      <c r="E1586" s="5" t="b">
        <f t="shared" si="1"/>
        <v>0</v>
      </c>
    </row>
    <row r="1587">
      <c r="A1587" s="50" t="s">
        <v>4419</v>
      </c>
      <c r="B1587" s="61">
        <v>90.0</v>
      </c>
      <c r="C1587" s="61">
        <v>90.0</v>
      </c>
      <c r="D1587" s="9">
        <f t="array" ref="D1587">xlookup(A1587,'données'!E$2:E$3608,'données'!K$2:K$3608)</f>
        <v>108.8</v>
      </c>
      <c r="E1587" s="5" t="b">
        <f t="shared" si="1"/>
        <v>0</v>
      </c>
    </row>
    <row r="1588">
      <c r="A1588" s="50" t="s">
        <v>5911</v>
      </c>
      <c r="B1588" s="61">
        <v>98.0</v>
      </c>
      <c r="C1588" s="61">
        <v>97.0</v>
      </c>
      <c r="D1588" s="9">
        <f t="array" ref="D1588">xlookup(A1588,'données'!E$2:E$3608,'données'!K$2:K$3608)</f>
        <v>106.5</v>
      </c>
      <c r="E1588" s="5" t="b">
        <f t="shared" si="1"/>
        <v>0</v>
      </c>
    </row>
    <row r="1589">
      <c r="A1589" s="50" t="s">
        <v>7368</v>
      </c>
      <c r="B1589" s="61">
        <v>98.0</v>
      </c>
      <c r="C1589" s="61">
        <v>98.0</v>
      </c>
      <c r="D1589" s="9">
        <f t="array" ref="D1589">xlookup(A1589,'données'!E$2:E$3608,'données'!K$2:K$3608)</f>
        <v>114.5</v>
      </c>
      <c r="E1589" s="5" t="b">
        <f t="shared" si="1"/>
        <v>0</v>
      </c>
    </row>
    <row r="1590">
      <c r="A1590" s="50" t="s">
        <v>2646</v>
      </c>
      <c r="B1590" s="61">
        <v>97.0</v>
      </c>
      <c r="C1590" s="61">
        <v>98.0</v>
      </c>
      <c r="D1590" s="9">
        <f t="array" ref="D1590">xlookup(A1590,'données'!E$2:E$3608,'données'!K$2:K$3608)</f>
        <v>99</v>
      </c>
      <c r="E1590" s="5" t="b">
        <f t="shared" si="1"/>
        <v>0</v>
      </c>
    </row>
    <row r="1591">
      <c r="A1591" s="50" t="s">
        <v>4418</v>
      </c>
      <c r="B1591" s="61">
        <v>100.0</v>
      </c>
      <c r="C1591" s="61">
        <v>100.0</v>
      </c>
      <c r="D1591" s="9">
        <f t="array" ref="D1591">xlookup(A1591,'données'!E$2:E$3608,'données'!K$2:K$3608)</f>
        <v>111.1</v>
      </c>
      <c r="E1591" s="5" t="b">
        <f t="shared" si="1"/>
        <v>0</v>
      </c>
    </row>
    <row r="1592">
      <c r="A1592" s="50" t="s">
        <v>4415</v>
      </c>
      <c r="B1592" s="61">
        <v>99.0</v>
      </c>
      <c r="C1592" s="61">
        <v>99.0</v>
      </c>
      <c r="D1592" s="9">
        <f t="array" ref="D1592">xlookup(A1592,'données'!E$2:E$3608,'données'!K$2:K$3608)</f>
        <v>123.6</v>
      </c>
      <c r="E1592" s="5" t="b">
        <f t="shared" si="1"/>
        <v>0</v>
      </c>
    </row>
    <row r="1593">
      <c r="A1593" s="50" t="s">
        <v>2643</v>
      </c>
      <c r="B1593" s="61">
        <v>99.0</v>
      </c>
      <c r="C1593" s="61">
        <v>98.0</v>
      </c>
      <c r="D1593" s="9">
        <f t="array" ref="D1593">xlookup(A1593,'données'!E$2:E$3608,'données'!K$2:K$3608)</f>
        <v>118.6</v>
      </c>
      <c r="E1593" s="5" t="b">
        <f t="shared" si="1"/>
        <v>0</v>
      </c>
    </row>
    <row r="1594">
      <c r="A1594" s="50" t="s">
        <v>7361</v>
      </c>
      <c r="B1594" s="61">
        <v>100.0</v>
      </c>
      <c r="C1594" s="61">
        <v>100.0</v>
      </c>
      <c r="D1594" s="9">
        <f t="array" ref="D1594">xlookup(A1594,'données'!E$2:E$3608,'données'!K$2:K$3608)</f>
        <v>114.9</v>
      </c>
      <c r="E1594" s="5" t="b">
        <f t="shared" si="1"/>
        <v>0</v>
      </c>
    </row>
    <row r="1595">
      <c r="A1595" s="50" t="s">
        <v>2635</v>
      </c>
      <c r="B1595" s="61">
        <v>96.0</v>
      </c>
      <c r="C1595" s="61">
        <v>96.0</v>
      </c>
      <c r="D1595" s="9">
        <f t="array" ref="D1595">xlookup(A1595,'données'!E$2:E$3608,'données'!K$2:K$3608)</f>
        <v>117.8</v>
      </c>
      <c r="E1595" s="5" t="b">
        <f t="shared" si="1"/>
        <v>0</v>
      </c>
    </row>
    <row r="1596">
      <c r="A1596" s="50" t="s">
        <v>2632</v>
      </c>
      <c r="B1596" s="61">
        <v>96.0</v>
      </c>
      <c r="C1596" s="61">
        <v>96.0</v>
      </c>
      <c r="D1596" s="9">
        <f t="array" ref="D1596">xlookup(A1596,'données'!E$2:E$3608,'données'!K$2:K$3608)</f>
        <v>110.2</v>
      </c>
      <c r="E1596" s="5" t="b">
        <f t="shared" si="1"/>
        <v>0</v>
      </c>
    </row>
    <row r="1597">
      <c r="A1597" s="50" t="s">
        <v>5907</v>
      </c>
      <c r="B1597" s="61">
        <v>99.0</v>
      </c>
      <c r="C1597" s="61">
        <v>99.0</v>
      </c>
      <c r="D1597" s="9">
        <f t="array" ref="D1597">xlookup(A1597,'données'!E$2:E$3608,'données'!K$2:K$3608)</f>
        <v>119</v>
      </c>
      <c r="E1597" s="5" t="b">
        <f t="shared" si="1"/>
        <v>0</v>
      </c>
    </row>
    <row r="1598">
      <c r="A1598" s="50" t="s">
        <v>705</v>
      </c>
      <c r="B1598" s="61">
        <v>98.0</v>
      </c>
      <c r="C1598" s="61">
        <v>99.0</v>
      </c>
      <c r="D1598" s="9">
        <f t="array" ref="D1598">xlookup(A1598,'données'!E$2:E$3608,'données'!K$2:K$3608)</f>
        <v>136.3</v>
      </c>
      <c r="E1598" s="5" t="b">
        <f t="shared" si="1"/>
        <v>0</v>
      </c>
    </row>
    <row r="1599">
      <c r="A1599" s="50" t="s">
        <v>7357</v>
      </c>
      <c r="B1599" s="61">
        <v>99.0</v>
      </c>
      <c r="C1599" s="61">
        <v>99.0</v>
      </c>
      <c r="D1599" s="9">
        <f t="array" ref="D1599">xlookup(A1599,'données'!E$2:E$3608,'données'!K$2:K$3608)</f>
        <v>140.1</v>
      </c>
      <c r="E1599" s="5" t="b">
        <f t="shared" si="1"/>
        <v>0</v>
      </c>
    </row>
    <row r="1600">
      <c r="A1600" s="50" t="s">
        <v>702</v>
      </c>
      <c r="B1600" s="61">
        <v>100.0</v>
      </c>
      <c r="C1600" s="61">
        <v>100.0</v>
      </c>
      <c r="D1600" s="9">
        <f t="array" ref="D1600">xlookup(A1600,'données'!E$2:E$3608,'données'!K$2:K$3608)</f>
        <v>138.7</v>
      </c>
      <c r="E1600" s="5" t="b">
        <f t="shared" si="1"/>
        <v>0</v>
      </c>
    </row>
    <row r="1601">
      <c r="A1601" s="50" t="s">
        <v>2629</v>
      </c>
      <c r="B1601" s="61">
        <v>99.0</v>
      </c>
      <c r="C1601" s="61">
        <v>99.0</v>
      </c>
      <c r="D1601" s="9">
        <f t="array" ref="D1601">xlookup(A1601,'données'!E$2:E$3608,'données'!K$2:K$3608)</f>
        <v>125.7</v>
      </c>
      <c r="E1601" s="5" t="b">
        <f t="shared" si="1"/>
        <v>0</v>
      </c>
    </row>
    <row r="1602">
      <c r="A1602" s="50" t="s">
        <v>5901</v>
      </c>
      <c r="B1602" s="61">
        <v>100.0</v>
      </c>
      <c r="C1602" s="61">
        <v>100.0</v>
      </c>
      <c r="D1602" s="9">
        <f t="array" ref="D1602">xlookup(A1602,'données'!E$2:E$3608,'données'!K$2:K$3608)</f>
        <v>131.6</v>
      </c>
      <c r="E1602" s="5" t="b">
        <f t="shared" si="1"/>
        <v>0</v>
      </c>
    </row>
    <row r="1603">
      <c r="A1603" s="50" t="s">
        <v>699</v>
      </c>
      <c r="B1603" s="61">
        <v>96.0</v>
      </c>
      <c r="C1603" s="61">
        <v>98.0</v>
      </c>
      <c r="D1603" s="9">
        <f t="array" ref="D1603">xlookup(A1603,'données'!E$2:E$3608,'données'!K$2:K$3608)</f>
        <v>114.5</v>
      </c>
      <c r="E1603" s="5" t="b">
        <f t="shared" si="1"/>
        <v>0</v>
      </c>
    </row>
    <row r="1604">
      <c r="A1604" s="50" t="s">
        <v>7356</v>
      </c>
      <c r="B1604" s="61">
        <v>97.0</v>
      </c>
      <c r="C1604" s="61">
        <v>98.0</v>
      </c>
      <c r="D1604" s="9">
        <f t="array" ref="D1604">xlookup(A1604,'données'!E$2:E$3608,'données'!K$2:K$3608)</f>
        <v>106.5</v>
      </c>
      <c r="E1604" s="5" t="b">
        <f t="shared" si="1"/>
        <v>0</v>
      </c>
    </row>
    <row r="1605">
      <c r="A1605" s="50" t="s">
        <v>696</v>
      </c>
      <c r="B1605" s="61">
        <v>93.0</v>
      </c>
      <c r="C1605" s="61">
        <v>96.0</v>
      </c>
      <c r="D1605" s="9">
        <f t="array" ref="D1605">xlookup(A1605,'données'!E$2:E$3608,'données'!K$2:K$3608)</f>
        <v>107.7</v>
      </c>
      <c r="E1605" s="5" t="b">
        <f t="shared" si="1"/>
        <v>0</v>
      </c>
    </row>
    <row r="1606">
      <c r="A1606" s="50" t="s">
        <v>4412</v>
      </c>
      <c r="B1606" s="61">
        <v>98.0</v>
      </c>
      <c r="C1606" s="61">
        <v>99.0</v>
      </c>
      <c r="D1606" s="9">
        <f t="array" ref="D1606">xlookup(A1606,'données'!E$2:E$3608,'données'!K$2:K$3608)</f>
        <v>144.6</v>
      </c>
      <c r="E1606" s="5" t="b">
        <f t="shared" si="1"/>
        <v>0</v>
      </c>
    </row>
    <row r="1607">
      <c r="A1607" s="50" t="s">
        <v>693</v>
      </c>
      <c r="B1607" s="61">
        <v>99.0</v>
      </c>
      <c r="C1607" s="61">
        <v>99.0</v>
      </c>
      <c r="D1607" s="9">
        <f t="array" ref="D1607">xlookup(A1607,'données'!E$2:E$3608,'données'!K$2:K$3608)</f>
        <v>125.2</v>
      </c>
      <c r="E1607" s="5" t="b">
        <f t="shared" si="1"/>
        <v>0</v>
      </c>
    </row>
    <row r="1608">
      <c r="A1608" s="50" t="s">
        <v>2627</v>
      </c>
      <c r="B1608" s="61">
        <v>96.0</v>
      </c>
      <c r="C1608" s="61">
        <v>99.0</v>
      </c>
      <c r="D1608" s="9">
        <f t="array" ref="D1608">xlookup(A1608,'données'!E$2:E$3608,'données'!K$2:K$3608)</f>
        <v>115.4</v>
      </c>
      <c r="E1608" s="5" t="b">
        <f t="shared" si="1"/>
        <v>0</v>
      </c>
    </row>
    <row r="1609">
      <c r="A1609" s="50" t="s">
        <v>690</v>
      </c>
      <c r="B1609" s="61">
        <v>96.0</v>
      </c>
      <c r="C1609" s="61">
        <v>97.0</v>
      </c>
      <c r="D1609" s="9">
        <f t="array" ref="D1609">xlookup(A1609,'données'!E$2:E$3608,'données'!K$2:K$3608)</f>
        <v>119.1</v>
      </c>
      <c r="E1609" s="5" t="b">
        <f t="shared" si="1"/>
        <v>0</v>
      </c>
    </row>
    <row r="1610">
      <c r="A1610" s="50" t="s">
        <v>2624</v>
      </c>
      <c r="B1610" s="61">
        <v>95.0</v>
      </c>
      <c r="C1610" s="61">
        <v>99.0</v>
      </c>
      <c r="D1610" s="9">
        <f t="array" ref="D1610">xlookup(A1610,'données'!E$2:E$3608,'données'!K$2:K$3608)</f>
        <v>111.6</v>
      </c>
      <c r="E1610" s="5" t="b">
        <f t="shared" si="1"/>
        <v>0</v>
      </c>
    </row>
    <row r="1611">
      <c r="A1611" s="50" t="s">
        <v>5898</v>
      </c>
      <c r="B1611" s="61">
        <v>98.0</v>
      </c>
      <c r="C1611" s="61">
        <v>99.0</v>
      </c>
      <c r="D1611" s="9">
        <f t="array" ref="D1611">xlookup(A1611,'données'!E$2:E$3608,'données'!K$2:K$3608)</f>
        <v>133.7</v>
      </c>
      <c r="E1611" s="5" t="b">
        <f t="shared" si="1"/>
        <v>0</v>
      </c>
    </row>
    <row r="1612">
      <c r="A1612" s="50" t="s">
        <v>688</v>
      </c>
      <c r="B1612" s="61">
        <v>97.0</v>
      </c>
      <c r="C1612" s="61">
        <v>97.0</v>
      </c>
      <c r="D1612" s="9">
        <f t="array" ref="D1612">xlookup(A1612,'données'!E$2:E$3608,'données'!K$2:K$3608)</f>
        <v>125.2</v>
      </c>
      <c r="E1612" s="5" t="b">
        <f t="shared" si="1"/>
        <v>0</v>
      </c>
    </row>
    <row r="1613">
      <c r="A1613" s="50" t="s">
        <v>683</v>
      </c>
      <c r="B1613" s="61">
        <v>100.0</v>
      </c>
      <c r="C1613" s="61">
        <v>100.0</v>
      </c>
      <c r="D1613" s="9">
        <f t="array" ref="D1613">xlookup(A1613,'données'!E$2:E$3608,'données'!K$2:K$3608)</f>
        <v>128.6</v>
      </c>
      <c r="E1613" s="5" t="b">
        <f t="shared" si="1"/>
        <v>0</v>
      </c>
    </row>
    <row r="1614">
      <c r="A1614" s="50" t="s">
        <v>5890</v>
      </c>
      <c r="B1614" s="61">
        <v>99.0</v>
      </c>
      <c r="C1614" s="61">
        <v>99.0</v>
      </c>
      <c r="D1614" s="9">
        <f t="array" ref="D1614">xlookup(A1614,'données'!E$2:E$3608,'données'!K$2:K$3608)</f>
        <v>131.1</v>
      </c>
      <c r="E1614" s="5" t="b">
        <f t="shared" si="1"/>
        <v>0</v>
      </c>
    </row>
    <row r="1615">
      <c r="A1615" s="50" t="s">
        <v>7346</v>
      </c>
      <c r="B1615" s="61">
        <v>100.0</v>
      </c>
      <c r="C1615" s="61">
        <v>100.0</v>
      </c>
      <c r="D1615" s="9">
        <f t="array" ref="D1615">xlookup(A1615,'données'!E$2:E$3608,'données'!K$2:K$3608)</f>
        <v>122.9</v>
      </c>
      <c r="E1615" s="5" t="b">
        <f t="shared" si="1"/>
        <v>0</v>
      </c>
    </row>
    <row r="1616">
      <c r="A1616" s="50" t="s">
        <v>2612</v>
      </c>
      <c r="B1616" s="61">
        <v>99.0</v>
      </c>
      <c r="C1616" s="61">
        <v>99.0</v>
      </c>
      <c r="D1616" s="9">
        <f t="array" ref="D1616">xlookup(A1616,'données'!E$2:E$3608,'données'!K$2:K$3608)</f>
        <v>105.4</v>
      </c>
      <c r="E1616" s="5" t="b">
        <f t="shared" si="1"/>
        <v>0</v>
      </c>
    </row>
    <row r="1617">
      <c r="A1617" s="50" t="s">
        <v>7344</v>
      </c>
      <c r="B1617" s="61">
        <v>98.0</v>
      </c>
      <c r="C1617" s="61">
        <v>98.0</v>
      </c>
      <c r="D1617" s="9">
        <f t="array" ref="D1617">xlookup(A1617,'données'!E$2:E$3608,'données'!K$2:K$3608)</f>
        <v>129.9</v>
      </c>
      <c r="E1617" s="5" t="b">
        <f t="shared" si="1"/>
        <v>0</v>
      </c>
    </row>
    <row r="1618">
      <c r="A1618" s="50" t="s">
        <v>681</v>
      </c>
      <c r="B1618" s="61">
        <v>100.0</v>
      </c>
      <c r="C1618" s="61">
        <v>100.0</v>
      </c>
      <c r="D1618" s="9">
        <f t="array" ref="D1618">xlookup(A1618,'données'!E$2:E$3608,'données'!K$2:K$3608)</f>
        <v>117.8</v>
      </c>
      <c r="E1618" s="5" t="b">
        <f t="shared" si="1"/>
        <v>0</v>
      </c>
    </row>
    <row r="1619">
      <c r="A1619" s="50" t="s">
        <v>2610</v>
      </c>
      <c r="B1619" s="61">
        <v>97.0</v>
      </c>
      <c r="C1619" s="61">
        <v>99.0</v>
      </c>
      <c r="D1619" s="9">
        <f t="array" ref="D1619">xlookup(A1619,'données'!E$2:E$3608,'données'!K$2:K$3608)</f>
        <v>116.2</v>
      </c>
      <c r="E1619" s="5" t="b">
        <f t="shared" si="1"/>
        <v>0</v>
      </c>
    </row>
    <row r="1620">
      <c r="A1620" s="50" t="s">
        <v>5887</v>
      </c>
      <c r="B1620" s="61">
        <v>94.0</v>
      </c>
      <c r="C1620" s="61">
        <v>97.0</v>
      </c>
      <c r="D1620" s="9">
        <f t="array" ref="D1620">xlookup(A1620,'données'!E$2:E$3608,'données'!K$2:K$3608)</f>
        <v>101.9</v>
      </c>
      <c r="E1620" s="5" t="b">
        <f t="shared" si="1"/>
        <v>0</v>
      </c>
    </row>
    <row r="1621">
      <c r="A1621" s="50" t="s">
        <v>675</v>
      </c>
      <c r="B1621" s="61">
        <v>100.0</v>
      </c>
      <c r="C1621" s="61">
        <v>100.0</v>
      </c>
      <c r="D1621" s="9">
        <f t="array" ref="D1621">xlookup(A1621,'données'!E$2:E$3608,'données'!K$2:K$3608)</f>
        <v>135.7</v>
      </c>
      <c r="E1621" s="5" t="b">
        <f t="shared" si="1"/>
        <v>0</v>
      </c>
    </row>
    <row r="1622">
      <c r="A1622" s="50" t="s">
        <v>2607</v>
      </c>
      <c r="B1622" s="61">
        <v>99.0</v>
      </c>
      <c r="C1622" s="61">
        <v>100.0</v>
      </c>
      <c r="D1622" s="9">
        <f t="array" ref="D1622">xlookup(A1622,'données'!E$2:E$3608,'données'!K$2:K$3608)</f>
        <v>132</v>
      </c>
      <c r="E1622" s="5" t="b">
        <f t="shared" si="1"/>
        <v>0</v>
      </c>
    </row>
    <row r="1623">
      <c r="A1623" s="50" t="s">
        <v>5885</v>
      </c>
      <c r="B1623" s="61">
        <v>99.0</v>
      </c>
      <c r="C1623" s="61">
        <v>100.0</v>
      </c>
      <c r="D1623" s="9">
        <f t="array" ref="D1623">xlookup(A1623,'données'!E$2:E$3608,'données'!K$2:K$3608)</f>
        <v>126.6</v>
      </c>
      <c r="E1623" s="5" t="b">
        <f t="shared" si="1"/>
        <v>0</v>
      </c>
    </row>
    <row r="1624">
      <c r="A1624" s="50" t="s">
        <v>672</v>
      </c>
      <c r="B1624" s="61">
        <v>99.0</v>
      </c>
      <c r="C1624" s="61">
        <v>100.0</v>
      </c>
      <c r="D1624" s="9">
        <f t="array" ref="D1624">xlookup(A1624,'données'!E$2:E$3608,'données'!K$2:K$3608)</f>
        <v>124.3</v>
      </c>
      <c r="E1624" s="5" t="b">
        <f t="shared" si="1"/>
        <v>0</v>
      </c>
    </row>
    <row r="1625">
      <c r="A1625" s="50" t="s">
        <v>5883</v>
      </c>
      <c r="B1625" s="61">
        <v>97.0</v>
      </c>
      <c r="C1625" s="61">
        <v>100.0</v>
      </c>
      <c r="D1625" s="9">
        <f t="array" ref="D1625">xlookup(A1625,'données'!E$2:E$3608,'données'!K$2:K$3608)</f>
        <v>118.3</v>
      </c>
      <c r="E1625" s="5" t="b">
        <f t="shared" si="1"/>
        <v>0</v>
      </c>
    </row>
    <row r="1626">
      <c r="A1626" s="50" t="s">
        <v>2605</v>
      </c>
      <c r="B1626" s="61">
        <v>97.0</v>
      </c>
      <c r="C1626" s="61">
        <v>98.0</v>
      </c>
      <c r="D1626" s="9">
        <f t="array" ref="D1626">xlookup(A1626,'données'!E$2:E$3608,'données'!K$2:K$3608)</f>
        <v>114.8</v>
      </c>
      <c r="E1626" s="5" t="b">
        <f t="shared" si="1"/>
        <v>0</v>
      </c>
    </row>
    <row r="1627">
      <c r="A1627" s="50" t="s">
        <v>4401</v>
      </c>
      <c r="B1627" s="61">
        <v>98.0</v>
      </c>
      <c r="C1627" s="61">
        <v>98.0</v>
      </c>
      <c r="D1627" s="9">
        <f t="array" ref="D1627">xlookup(A1627,'données'!E$2:E$3608,'données'!K$2:K$3608)</f>
        <v>117.8</v>
      </c>
      <c r="E1627" s="5" t="b">
        <f t="shared" si="1"/>
        <v>0</v>
      </c>
    </row>
    <row r="1628">
      <c r="A1628" s="50" t="s">
        <v>669</v>
      </c>
      <c r="B1628" s="61">
        <v>99.0</v>
      </c>
      <c r="C1628" s="61">
        <v>99.0</v>
      </c>
      <c r="D1628" s="9">
        <f t="array" ref="D1628">xlookup(A1628,'données'!E$2:E$3608,'données'!K$2:K$3608)</f>
        <v>116.4</v>
      </c>
      <c r="E1628" s="5" t="b">
        <f t="shared" si="1"/>
        <v>0</v>
      </c>
    </row>
    <row r="1629">
      <c r="A1629" s="50" t="s">
        <v>7341</v>
      </c>
      <c r="B1629" s="61">
        <v>97.0</v>
      </c>
      <c r="C1629" s="61">
        <v>97.0</v>
      </c>
      <c r="D1629" s="9">
        <f t="array" ref="D1629">xlookup(A1629,'données'!E$2:E$3608,'données'!K$2:K$3608)</f>
        <v>113.3</v>
      </c>
      <c r="E1629" s="5" t="b">
        <f t="shared" si="1"/>
        <v>0</v>
      </c>
    </row>
    <row r="1630">
      <c r="A1630" s="50" t="s">
        <v>4398</v>
      </c>
      <c r="B1630" s="61">
        <v>99.0</v>
      </c>
      <c r="C1630" s="61">
        <v>99.0</v>
      </c>
      <c r="D1630" s="9">
        <f t="array" ref="D1630">xlookup(A1630,'données'!E$2:E$3608,'données'!K$2:K$3608)</f>
        <v>122.7</v>
      </c>
      <c r="E1630" s="5" t="b">
        <f t="shared" si="1"/>
        <v>0</v>
      </c>
    </row>
    <row r="1631">
      <c r="A1631" s="50" t="s">
        <v>5881</v>
      </c>
      <c r="B1631" s="61">
        <v>98.0</v>
      </c>
      <c r="C1631" s="50"/>
      <c r="D1631" s="9">
        <f t="array" ref="D1631">xlookup(A1631,'données'!E$2:E$3608,'données'!K$2:K$3608)</f>
        <v>126.6</v>
      </c>
      <c r="E1631" s="5" t="b">
        <f t="shared" si="1"/>
        <v>0</v>
      </c>
    </row>
    <row r="1632">
      <c r="A1632" s="50" t="s">
        <v>7339</v>
      </c>
      <c r="B1632" s="61">
        <v>89.0</v>
      </c>
      <c r="C1632" s="61">
        <v>92.0</v>
      </c>
      <c r="D1632" s="9">
        <f t="array" ref="D1632">xlookup(A1632,'données'!E$2:E$3608,'données'!K$2:K$3608)</f>
        <v>101.2</v>
      </c>
      <c r="E1632" s="5" t="b">
        <f t="shared" si="1"/>
        <v>0</v>
      </c>
    </row>
    <row r="1633">
      <c r="A1633" s="50" t="s">
        <v>2601</v>
      </c>
      <c r="B1633" s="61">
        <v>97.0</v>
      </c>
      <c r="C1633" s="61">
        <v>100.0</v>
      </c>
      <c r="D1633" s="9">
        <f t="array" ref="D1633">xlookup(A1633,'données'!E$2:E$3608,'données'!K$2:K$3608)</f>
        <v>121.4</v>
      </c>
      <c r="E1633" s="5" t="b">
        <f t="shared" si="1"/>
        <v>0</v>
      </c>
    </row>
    <row r="1634">
      <c r="A1634" s="50" t="s">
        <v>667</v>
      </c>
      <c r="B1634" s="61">
        <v>90.0</v>
      </c>
      <c r="C1634" s="61">
        <v>96.0</v>
      </c>
      <c r="D1634" s="9">
        <f t="array" ref="D1634">xlookup(A1634,'données'!E$2:E$3608,'données'!K$2:K$3608)</f>
        <v>92.6</v>
      </c>
      <c r="E1634" s="5" t="b">
        <f t="shared" si="1"/>
        <v>0</v>
      </c>
    </row>
    <row r="1635">
      <c r="A1635" s="50" t="s">
        <v>5879</v>
      </c>
      <c r="B1635" s="61">
        <v>96.0</v>
      </c>
      <c r="C1635" s="61">
        <v>97.0</v>
      </c>
      <c r="D1635" s="9">
        <f t="array" ref="D1635">xlookup(A1635,'données'!E$2:E$3608,'données'!K$2:K$3608)</f>
        <v>124.2</v>
      </c>
      <c r="E1635" s="5" t="b">
        <f t="shared" si="1"/>
        <v>0</v>
      </c>
    </row>
    <row r="1636">
      <c r="A1636" s="50" t="s">
        <v>2600</v>
      </c>
      <c r="B1636" s="61">
        <v>100.0</v>
      </c>
      <c r="C1636" s="61">
        <v>100.0</v>
      </c>
      <c r="D1636" s="9">
        <f t="array" ref="D1636">xlookup(A1636,'données'!E$2:E$3608,'données'!K$2:K$3608)</f>
        <v>129.1</v>
      </c>
      <c r="E1636" s="5" t="b">
        <f t="shared" si="1"/>
        <v>0</v>
      </c>
    </row>
    <row r="1637">
      <c r="A1637" s="50" t="s">
        <v>2598</v>
      </c>
      <c r="B1637" s="61">
        <v>98.0</v>
      </c>
      <c r="C1637" s="61">
        <v>98.0</v>
      </c>
      <c r="D1637" s="9">
        <f t="array" ref="D1637">xlookup(A1637,'données'!E$2:E$3608,'données'!K$2:K$3608)</f>
        <v>137.4</v>
      </c>
      <c r="E1637" s="5" t="b">
        <f t="shared" si="1"/>
        <v>0</v>
      </c>
    </row>
    <row r="1638">
      <c r="A1638" s="50" t="s">
        <v>4396</v>
      </c>
      <c r="B1638" s="61">
        <v>95.0</v>
      </c>
      <c r="C1638" s="50"/>
      <c r="D1638" s="9">
        <f t="array" ref="D1638">xlookup(A1638,'données'!E$2:E$3608,'données'!K$2:K$3608)</f>
        <v>99.1</v>
      </c>
      <c r="E1638" s="5" t="b">
        <f t="shared" si="1"/>
        <v>0</v>
      </c>
    </row>
    <row r="1639">
      <c r="A1639" s="50" t="s">
        <v>664</v>
      </c>
      <c r="B1639" s="61">
        <v>96.0</v>
      </c>
      <c r="C1639" s="61">
        <v>97.0</v>
      </c>
      <c r="D1639" s="9">
        <f t="array" ref="D1639">xlookup(A1639,'données'!E$2:E$3608,'données'!K$2:K$3608)</f>
        <v>107.6</v>
      </c>
      <c r="E1639" s="5" t="b">
        <f t="shared" si="1"/>
        <v>0</v>
      </c>
    </row>
    <row r="1640">
      <c r="A1640" s="50" t="s">
        <v>7337</v>
      </c>
      <c r="B1640" s="61">
        <v>96.0</v>
      </c>
      <c r="C1640" s="61">
        <v>99.0</v>
      </c>
      <c r="D1640" s="9">
        <f t="array" ref="D1640">xlookup(A1640,'données'!E$2:E$3608,'données'!K$2:K$3608)</f>
        <v>112.9</v>
      </c>
      <c r="E1640" s="5" t="b">
        <f t="shared" si="1"/>
        <v>0</v>
      </c>
    </row>
    <row r="1641">
      <c r="A1641" s="50" t="s">
        <v>5874</v>
      </c>
      <c r="B1641" s="61">
        <v>98.0</v>
      </c>
      <c r="C1641" s="61">
        <v>98.0</v>
      </c>
      <c r="D1641" s="9">
        <f t="array" ref="D1641">xlookup(A1641,'données'!E$2:E$3608,'données'!K$2:K$3608)</f>
        <v>124.8</v>
      </c>
      <c r="E1641" s="5" t="b">
        <f t="shared" si="1"/>
        <v>0</v>
      </c>
    </row>
    <row r="1642">
      <c r="A1642" s="50" t="s">
        <v>4394</v>
      </c>
      <c r="B1642" s="61">
        <v>97.0</v>
      </c>
      <c r="C1642" s="61">
        <v>98.0</v>
      </c>
      <c r="D1642" s="9">
        <f t="array" ref="D1642">xlookup(A1642,'données'!E$2:E$3608,'données'!K$2:K$3608)</f>
        <v>116</v>
      </c>
      <c r="E1642" s="5" t="b">
        <f t="shared" si="1"/>
        <v>0</v>
      </c>
    </row>
    <row r="1643">
      <c r="A1643" s="50" t="s">
        <v>7333</v>
      </c>
      <c r="B1643" s="61">
        <v>98.0</v>
      </c>
      <c r="C1643" s="61">
        <v>98.0</v>
      </c>
      <c r="D1643" s="9">
        <f t="array" ref="D1643">xlookup(A1643,'données'!E$2:E$3608,'données'!K$2:K$3608)</f>
        <v>123.8</v>
      </c>
      <c r="E1643" s="5" t="b">
        <f t="shared" si="1"/>
        <v>0</v>
      </c>
    </row>
    <row r="1644">
      <c r="A1644" s="50" t="s">
        <v>5871</v>
      </c>
      <c r="B1644" s="61">
        <v>100.0</v>
      </c>
      <c r="C1644" s="61">
        <v>100.0</v>
      </c>
      <c r="D1644" s="9">
        <f t="array" ref="D1644">xlookup(A1644,'données'!E$2:E$3608,'données'!K$2:K$3608)</f>
        <v>134.7</v>
      </c>
      <c r="E1644" s="5" t="b">
        <f t="shared" si="1"/>
        <v>0</v>
      </c>
    </row>
    <row r="1645">
      <c r="A1645" s="50" t="s">
        <v>643</v>
      </c>
      <c r="B1645" s="61">
        <v>99.0</v>
      </c>
      <c r="C1645" s="61">
        <v>100.0</v>
      </c>
      <c r="D1645" s="9">
        <f t="array" ref="D1645">xlookup(A1645,'données'!E$2:E$3608,'données'!K$2:K$3608)</f>
        <v>121.4</v>
      </c>
      <c r="E1645" s="5" t="b">
        <f t="shared" si="1"/>
        <v>0</v>
      </c>
    </row>
    <row r="1646">
      <c r="A1646" s="50" t="s">
        <v>7331</v>
      </c>
      <c r="B1646" s="61">
        <v>99.0</v>
      </c>
      <c r="C1646" s="61">
        <v>99.0</v>
      </c>
      <c r="D1646" s="9">
        <f t="array" ref="D1646">xlookup(A1646,'données'!E$2:E$3608,'données'!K$2:K$3608)</f>
        <v>129.1</v>
      </c>
      <c r="E1646" s="5" t="b">
        <f t="shared" si="1"/>
        <v>0</v>
      </c>
    </row>
    <row r="1647">
      <c r="A1647" s="50" t="s">
        <v>4392</v>
      </c>
      <c r="B1647" s="61">
        <v>100.0</v>
      </c>
      <c r="C1647" s="61">
        <v>100.0</v>
      </c>
      <c r="D1647" s="9">
        <f t="array" ref="D1647">xlookup(A1647,'données'!E$2:E$3608,'données'!K$2:K$3608)</f>
        <v>142.3</v>
      </c>
      <c r="E1647" s="5" t="b">
        <f t="shared" si="1"/>
        <v>0</v>
      </c>
    </row>
    <row r="1648">
      <c r="A1648" s="50" t="s">
        <v>2591</v>
      </c>
      <c r="B1648" s="61">
        <v>98.0</v>
      </c>
      <c r="C1648" s="61">
        <v>99.0</v>
      </c>
      <c r="D1648" s="9">
        <f t="array" ref="D1648">xlookup(A1648,'données'!E$2:E$3608,'données'!K$2:K$3608)</f>
        <v>121.4</v>
      </c>
      <c r="E1648" s="5" t="b">
        <f t="shared" si="1"/>
        <v>0</v>
      </c>
    </row>
    <row r="1649">
      <c r="A1649" s="50" t="s">
        <v>641</v>
      </c>
      <c r="B1649" s="61">
        <v>100.0</v>
      </c>
      <c r="C1649" s="61">
        <v>100.0</v>
      </c>
      <c r="D1649" s="9">
        <f t="array" ref="D1649">xlookup(A1649,'données'!E$2:E$3608,'données'!K$2:K$3608)</f>
        <v>128</v>
      </c>
      <c r="E1649" s="5" t="b">
        <f t="shared" si="1"/>
        <v>0</v>
      </c>
    </row>
    <row r="1650">
      <c r="A1650" s="50" t="s">
        <v>5869</v>
      </c>
      <c r="B1650" s="61">
        <v>99.0</v>
      </c>
      <c r="C1650" s="61">
        <v>99.0</v>
      </c>
      <c r="D1650" s="9">
        <f t="array" ref="D1650">xlookup(A1650,'données'!E$2:E$3608,'données'!K$2:K$3608)</f>
        <v>118.6</v>
      </c>
      <c r="E1650" s="5" t="b">
        <f t="shared" si="1"/>
        <v>0</v>
      </c>
    </row>
    <row r="1651">
      <c r="A1651" s="50" t="s">
        <v>7329</v>
      </c>
      <c r="B1651" s="61">
        <v>97.0</v>
      </c>
      <c r="C1651" s="61">
        <v>98.0</v>
      </c>
      <c r="D1651" s="9">
        <f t="array" ref="D1651">xlookup(A1651,'données'!E$2:E$3608,'données'!K$2:K$3608)</f>
        <v>120.1</v>
      </c>
      <c r="E1651" s="5" t="b">
        <f t="shared" si="1"/>
        <v>0</v>
      </c>
    </row>
    <row r="1652">
      <c r="A1652" s="50" t="s">
        <v>2584</v>
      </c>
      <c r="B1652" s="61">
        <v>98.0</v>
      </c>
      <c r="C1652" s="61">
        <v>98.0</v>
      </c>
      <c r="D1652" s="9">
        <f t="array" ref="D1652">xlookup(A1652,'données'!E$2:E$3608,'données'!K$2:K$3608)</f>
        <v>112.9</v>
      </c>
      <c r="E1652" s="5" t="b">
        <f t="shared" si="1"/>
        <v>0</v>
      </c>
    </row>
    <row r="1653">
      <c r="A1653" s="50" t="s">
        <v>7327</v>
      </c>
      <c r="B1653" s="61">
        <v>97.0</v>
      </c>
      <c r="C1653" s="61">
        <v>97.0</v>
      </c>
      <c r="D1653" s="9">
        <f t="array" ref="D1653">xlookup(A1653,'données'!E$2:E$3608,'données'!K$2:K$3608)</f>
        <v>120.7</v>
      </c>
      <c r="E1653" s="5" t="b">
        <f t="shared" si="1"/>
        <v>0</v>
      </c>
    </row>
    <row r="1654">
      <c r="A1654" s="50" t="s">
        <v>2582</v>
      </c>
      <c r="B1654" s="61">
        <v>98.0</v>
      </c>
      <c r="C1654" s="61">
        <v>98.0</v>
      </c>
      <c r="D1654" s="9">
        <f t="array" ref="D1654">xlookup(A1654,'données'!E$2:E$3608,'données'!K$2:K$3608)</f>
        <v>132.5</v>
      </c>
      <c r="E1654" s="5" t="b">
        <f t="shared" si="1"/>
        <v>0</v>
      </c>
    </row>
    <row r="1655">
      <c r="A1655" s="50" t="s">
        <v>4387</v>
      </c>
      <c r="B1655" s="61">
        <v>97.0</v>
      </c>
      <c r="C1655" s="61">
        <v>98.0</v>
      </c>
      <c r="D1655" s="9">
        <f t="array" ref="D1655">xlookup(A1655,'données'!E$2:E$3608,'données'!K$2:K$3608)</f>
        <v>114.6</v>
      </c>
      <c r="E1655" s="5" t="b">
        <f t="shared" si="1"/>
        <v>0</v>
      </c>
    </row>
    <row r="1656">
      <c r="A1656" s="50" t="s">
        <v>5868</v>
      </c>
      <c r="B1656" s="61">
        <v>98.0</v>
      </c>
      <c r="C1656" s="61">
        <v>100.0</v>
      </c>
      <c r="D1656" s="9">
        <f t="array" ref="D1656">xlookup(A1656,'données'!E$2:E$3608,'données'!K$2:K$3608)</f>
        <v>115.7</v>
      </c>
      <c r="E1656" s="5" t="b">
        <f t="shared" si="1"/>
        <v>0</v>
      </c>
    </row>
    <row r="1657">
      <c r="A1657" s="50" t="s">
        <v>2580</v>
      </c>
      <c r="B1657" s="61">
        <v>98.0</v>
      </c>
      <c r="C1657" s="61">
        <v>98.0</v>
      </c>
      <c r="D1657" s="9">
        <f t="array" ref="D1657">xlookup(A1657,'données'!E$2:E$3608,'données'!K$2:K$3608)</f>
        <v>118.8</v>
      </c>
      <c r="E1657" s="5" t="b">
        <f t="shared" si="1"/>
        <v>0</v>
      </c>
    </row>
    <row r="1658">
      <c r="A1658" s="50" t="s">
        <v>2578</v>
      </c>
      <c r="B1658" s="61">
        <v>100.0</v>
      </c>
      <c r="C1658" s="61">
        <v>100.0</v>
      </c>
      <c r="D1658" s="9">
        <f t="array" ref="D1658">xlookup(A1658,'données'!E$2:E$3608,'données'!K$2:K$3608)</f>
        <v>124.1</v>
      </c>
      <c r="E1658" s="5" t="b">
        <f t="shared" si="1"/>
        <v>0</v>
      </c>
    </row>
    <row r="1659">
      <c r="A1659" s="50" t="s">
        <v>7326</v>
      </c>
      <c r="B1659" s="61">
        <v>92.0</v>
      </c>
      <c r="C1659" s="61">
        <v>93.0</v>
      </c>
      <c r="D1659" s="9">
        <f t="array" ref="D1659">xlookup(A1659,'données'!E$2:E$3608,'données'!K$2:K$3608)</f>
        <v>101.4</v>
      </c>
      <c r="E1659" s="5" t="b">
        <f t="shared" si="1"/>
        <v>0</v>
      </c>
    </row>
    <row r="1660">
      <c r="A1660" s="50" t="s">
        <v>5866</v>
      </c>
      <c r="B1660" s="61">
        <v>98.0</v>
      </c>
      <c r="C1660" s="61">
        <v>98.0</v>
      </c>
      <c r="D1660" s="9">
        <f t="array" ref="D1660">xlookup(A1660,'données'!E$2:E$3608,'données'!K$2:K$3608)</f>
        <v>106</v>
      </c>
      <c r="E1660" s="5" t="b">
        <f t="shared" si="1"/>
        <v>0</v>
      </c>
    </row>
    <row r="1661">
      <c r="A1661" s="50" t="s">
        <v>7323</v>
      </c>
      <c r="B1661" s="61">
        <v>96.0</v>
      </c>
      <c r="C1661" s="61">
        <v>97.0</v>
      </c>
      <c r="D1661" s="9">
        <f t="array" ref="D1661">xlookup(A1661,'données'!E$2:E$3608,'données'!K$2:K$3608)</f>
        <v>111.3</v>
      </c>
      <c r="E1661" s="5" t="b">
        <f t="shared" si="1"/>
        <v>0</v>
      </c>
    </row>
    <row r="1662">
      <c r="A1662" s="50" t="s">
        <v>5865</v>
      </c>
      <c r="B1662" s="61">
        <v>97.0</v>
      </c>
      <c r="C1662" s="61">
        <v>97.0</v>
      </c>
      <c r="D1662" s="9">
        <f t="array" ref="D1662">xlookup(A1662,'données'!E$2:E$3608,'données'!K$2:K$3608)</f>
        <v>104.4</v>
      </c>
      <c r="E1662" s="5" t="b">
        <f t="shared" si="1"/>
        <v>0</v>
      </c>
    </row>
    <row r="1663">
      <c r="A1663" s="50" t="s">
        <v>632</v>
      </c>
      <c r="B1663" s="61">
        <v>98.0</v>
      </c>
      <c r="C1663" s="61">
        <v>98.0</v>
      </c>
      <c r="D1663" s="9">
        <f t="array" ref="D1663">xlookup(A1663,'données'!E$2:E$3608,'données'!K$2:K$3608)</f>
        <v>116.3</v>
      </c>
      <c r="E1663" s="5" t="b">
        <f t="shared" si="1"/>
        <v>0</v>
      </c>
    </row>
    <row r="1664">
      <c r="A1664" s="50" t="s">
        <v>2572</v>
      </c>
      <c r="B1664" s="61">
        <v>100.0</v>
      </c>
      <c r="C1664" s="61">
        <v>100.0</v>
      </c>
      <c r="D1664" s="9">
        <f t="array" ref="D1664">xlookup(A1664,'données'!E$2:E$3608,'données'!K$2:K$3608)</f>
        <v>111.7</v>
      </c>
      <c r="E1664" s="5" t="b">
        <f t="shared" si="1"/>
        <v>0</v>
      </c>
    </row>
    <row r="1665">
      <c r="A1665" s="50" t="s">
        <v>629</v>
      </c>
      <c r="B1665" s="61">
        <v>99.0</v>
      </c>
      <c r="C1665" s="61">
        <v>99.0</v>
      </c>
      <c r="D1665" s="9">
        <f t="array" ref="D1665">xlookup(A1665,'données'!E$2:E$3608,'données'!K$2:K$3608)</f>
        <v>111.5</v>
      </c>
      <c r="E1665" s="5" t="b">
        <f t="shared" si="1"/>
        <v>0</v>
      </c>
    </row>
    <row r="1666">
      <c r="A1666" s="50" t="s">
        <v>7320</v>
      </c>
      <c r="B1666" s="61">
        <v>99.0</v>
      </c>
      <c r="C1666" s="61">
        <v>99.0</v>
      </c>
      <c r="D1666" s="9">
        <f t="array" ref="D1666">xlookup(A1666,'données'!E$2:E$3608,'données'!K$2:K$3608)</f>
        <v>129.3</v>
      </c>
      <c r="E1666" s="5" t="b">
        <f t="shared" si="1"/>
        <v>0</v>
      </c>
    </row>
    <row r="1667">
      <c r="A1667" s="50" t="s">
        <v>7318</v>
      </c>
      <c r="B1667" s="61">
        <v>99.0</v>
      </c>
      <c r="C1667" s="61">
        <v>99.0</v>
      </c>
      <c r="D1667" s="9">
        <f t="array" ref="D1667">xlookup(A1667,'données'!E$2:E$3608,'données'!K$2:K$3608)</f>
        <v>124</v>
      </c>
      <c r="E1667" s="5" t="b">
        <f t="shared" si="1"/>
        <v>0</v>
      </c>
    </row>
    <row r="1668">
      <c r="A1668" s="50" t="s">
        <v>625</v>
      </c>
      <c r="B1668" s="61">
        <v>99.0</v>
      </c>
      <c r="C1668" s="61">
        <v>99.0</v>
      </c>
      <c r="D1668" s="9">
        <f t="array" ref="D1668">xlookup(A1668,'données'!E$2:E$3608,'données'!K$2:K$3608)</f>
        <v>117.5</v>
      </c>
      <c r="E1668" s="5" t="b">
        <f t="shared" si="1"/>
        <v>0</v>
      </c>
    </row>
    <row r="1669">
      <c r="A1669" s="50" t="s">
        <v>4385</v>
      </c>
      <c r="B1669" s="61">
        <v>100.0</v>
      </c>
      <c r="C1669" s="61">
        <v>100.0</v>
      </c>
      <c r="D1669" s="9">
        <f t="array" ref="D1669">xlookup(A1669,'données'!E$2:E$3608,'données'!K$2:K$3608)</f>
        <v>101.8</v>
      </c>
      <c r="E1669" s="5" t="b">
        <f t="shared" si="1"/>
        <v>0</v>
      </c>
    </row>
    <row r="1670">
      <c r="A1670" s="50" t="s">
        <v>5860</v>
      </c>
      <c r="B1670" s="61">
        <v>100.0</v>
      </c>
      <c r="C1670" s="61">
        <v>99.0</v>
      </c>
      <c r="D1670" s="9">
        <f t="array" ref="D1670">xlookup(A1670,'données'!E$2:E$3608,'données'!K$2:K$3608)</f>
        <v>135.5</v>
      </c>
      <c r="E1670" s="5" t="b">
        <f t="shared" si="1"/>
        <v>0</v>
      </c>
    </row>
    <row r="1671">
      <c r="A1671" s="50" t="s">
        <v>4382</v>
      </c>
      <c r="B1671" s="61">
        <v>98.0</v>
      </c>
      <c r="C1671" s="61">
        <v>99.0</v>
      </c>
      <c r="D1671" s="9">
        <f t="array" ref="D1671">xlookup(A1671,'données'!E$2:E$3608,'données'!K$2:K$3608)</f>
        <v>118.2</v>
      </c>
      <c r="E1671" s="5" t="b">
        <f t="shared" si="1"/>
        <v>0</v>
      </c>
    </row>
    <row r="1672">
      <c r="A1672" s="50" t="s">
        <v>7314</v>
      </c>
      <c r="B1672" s="61">
        <v>98.0</v>
      </c>
      <c r="C1672" s="61">
        <v>99.0</v>
      </c>
      <c r="D1672" s="9">
        <f t="array" ref="D1672">xlookup(A1672,'données'!E$2:E$3608,'données'!K$2:K$3608)</f>
        <v>136.1</v>
      </c>
      <c r="E1672" s="5" t="b">
        <f t="shared" si="1"/>
        <v>0</v>
      </c>
    </row>
    <row r="1673">
      <c r="A1673" s="50" t="s">
        <v>4379</v>
      </c>
      <c r="B1673" s="61">
        <v>99.0</v>
      </c>
      <c r="C1673" s="61">
        <v>99.0</v>
      </c>
      <c r="D1673" s="9">
        <f t="array" ref="D1673">xlookup(A1673,'données'!E$2:E$3608,'données'!K$2:K$3608)</f>
        <v>120.7</v>
      </c>
      <c r="E1673" s="5" t="b">
        <f t="shared" si="1"/>
        <v>0</v>
      </c>
    </row>
    <row r="1674">
      <c r="A1674" s="50" t="s">
        <v>4377</v>
      </c>
      <c r="B1674" s="61">
        <v>99.0</v>
      </c>
      <c r="C1674" s="61">
        <v>99.0</v>
      </c>
      <c r="D1674" s="9">
        <f t="array" ref="D1674">xlookup(A1674,'données'!E$2:E$3608,'données'!K$2:K$3608)</f>
        <v>124.9</v>
      </c>
      <c r="E1674" s="5" t="b">
        <f t="shared" si="1"/>
        <v>0</v>
      </c>
    </row>
    <row r="1675">
      <c r="A1675" s="50" t="s">
        <v>4375</v>
      </c>
      <c r="B1675" s="61">
        <v>97.0</v>
      </c>
      <c r="C1675" s="61">
        <v>99.0</v>
      </c>
      <c r="D1675" s="9">
        <f t="array" ref="D1675">xlookup(A1675,'données'!E$2:E$3608,'données'!K$2:K$3608)</f>
        <v>119.3</v>
      </c>
      <c r="E1675" s="5" t="b">
        <f t="shared" si="1"/>
        <v>0</v>
      </c>
    </row>
    <row r="1676">
      <c r="A1676" s="50" t="s">
        <v>4372</v>
      </c>
      <c r="B1676" s="61">
        <v>100.0</v>
      </c>
      <c r="C1676" s="61">
        <v>100.0</v>
      </c>
      <c r="D1676" s="9">
        <f t="array" ref="D1676">xlookup(A1676,'données'!E$2:E$3608,'données'!K$2:K$3608)</f>
        <v>112.2</v>
      </c>
      <c r="E1676" s="5" t="b">
        <f t="shared" si="1"/>
        <v>0</v>
      </c>
    </row>
    <row r="1677">
      <c r="A1677" s="50" t="s">
        <v>2568</v>
      </c>
      <c r="B1677" s="61">
        <v>97.0</v>
      </c>
      <c r="C1677" s="61">
        <v>98.0</v>
      </c>
      <c r="D1677" s="9">
        <f t="array" ref="D1677">xlookup(A1677,'données'!E$2:E$3608,'données'!K$2:K$3608)</f>
        <v>115.7</v>
      </c>
      <c r="E1677" s="5" t="b">
        <f t="shared" si="1"/>
        <v>0</v>
      </c>
    </row>
    <row r="1678">
      <c r="A1678" s="50" t="s">
        <v>7312</v>
      </c>
      <c r="B1678" s="61">
        <v>99.0</v>
      </c>
      <c r="C1678" s="61">
        <v>99.0</v>
      </c>
      <c r="D1678" s="9">
        <f t="array" ref="D1678">xlookup(A1678,'données'!E$2:E$3608,'données'!K$2:K$3608)</f>
        <v>111.3</v>
      </c>
      <c r="E1678" s="5" t="b">
        <f t="shared" si="1"/>
        <v>0</v>
      </c>
    </row>
    <row r="1679">
      <c r="A1679" s="50" t="s">
        <v>4365</v>
      </c>
      <c r="B1679" s="61">
        <v>100.0</v>
      </c>
      <c r="C1679" s="61">
        <v>100.0</v>
      </c>
      <c r="D1679" s="9">
        <f t="array" ref="D1679">xlookup(A1679,'données'!E$2:E$3608,'données'!K$2:K$3608)</f>
        <v>133.7</v>
      </c>
      <c r="E1679" s="5" t="b">
        <f t="shared" si="1"/>
        <v>0</v>
      </c>
    </row>
    <row r="1680">
      <c r="A1680" s="50" t="s">
        <v>5858</v>
      </c>
      <c r="B1680" s="61">
        <v>99.0</v>
      </c>
      <c r="C1680" s="50"/>
      <c r="D1680" s="9">
        <f t="array" ref="D1680">xlookup(A1680,'données'!E$2:E$3608,'données'!K$2:K$3608)</f>
        <v>121.2</v>
      </c>
      <c r="E1680" s="5" t="b">
        <f t="shared" si="1"/>
        <v>0</v>
      </c>
    </row>
    <row r="1681">
      <c r="A1681" s="50" t="s">
        <v>2564</v>
      </c>
      <c r="B1681" s="61">
        <v>97.0</v>
      </c>
      <c r="C1681" s="50"/>
      <c r="D1681" s="9">
        <f t="array" ref="D1681">xlookup(A1681,'données'!E$2:E$3608,'données'!K$2:K$3608)</f>
        <v>116.4</v>
      </c>
      <c r="E1681" s="5" t="b">
        <f t="shared" si="1"/>
        <v>0</v>
      </c>
    </row>
    <row r="1682">
      <c r="A1682" s="50" t="s">
        <v>7310</v>
      </c>
      <c r="B1682" s="61">
        <v>98.0</v>
      </c>
      <c r="C1682" s="61">
        <v>99.0</v>
      </c>
      <c r="D1682" s="9">
        <f t="array" ref="D1682">xlookup(A1682,'données'!E$2:E$3608,'données'!K$2:K$3608)</f>
        <v>124.3</v>
      </c>
      <c r="E1682" s="5" t="b">
        <f t="shared" si="1"/>
        <v>0</v>
      </c>
    </row>
    <row r="1683">
      <c r="A1683" s="50" t="s">
        <v>4363</v>
      </c>
      <c r="B1683" s="61">
        <v>100.0</v>
      </c>
      <c r="C1683" s="61">
        <v>100.0</v>
      </c>
      <c r="D1683" s="9">
        <f t="array" ref="D1683">xlookup(A1683,'données'!E$2:E$3608,'données'!K$2:K$3608)</f>
        <v>119.7</v>
      </c>
      <c r="E1683" s="5" t="b">
        <f t="shared" si="1"/>
        <v>0</v>
      </c>
    </row>
    <row r="1684">
      <c r="A1684" s="50" t="s">
        <v>4361</v>
      </c>
      <c r="B1684" s="61">
        <v>100.0</v>
      </c>
      <c r="C1684" s="61">
        <v>100.0</v>
      </c>
      <c r="D1684" s="9">
        <f t="array" ref="D1684">xlookup(A1684,'données'!E$2:E$3608,'données'!K$2:K$3608)</f>
        <v>129.1</v>
      </c>
      <c r="E1684" s="5" t="b">
        <f t="shared" si="1"/>
        <v>0</v>
      </c>
    </row>
    <row r="1685">
      <c r="A1685" s="50" t="s">
        <v>2560</v>
      </c>
      <c r="B1685" s="61">
        <v>98.0</v>
      </c>
      <c r="C1685" s="61">
        <v>97.0</v>
      </c>
      <c r="D1685" s="9">
        <f t="array" ref="D1685">xlookup(A1685,'données'!E$2:E$3608,'données'!K$2:K$3608)</f>
        <v>116.7</v>
      </c>
      <c r="E1685" s="5" t="b">
        <f t="shared" si="1"/>
        <v>0</v>
      </c>
    </row>
    <row r="1686">
      <c r="A1686" s="50" t="s">
        <v>4359</v>
      </c>
      <c r="B1686" s="61">
        <v>99.0</v>
      </c>
      <c r="C1686" s="61">
        <v>99.0</v>
      </c>
      <c r="D1686" s="9">
        <f t="array" ref="D1686">xlookup(A1686,'données'!E$2:E$3608,'données'!K$2:K$3608)</f>
        <v>136.8</v>
      </c>
      <c r="E1686" s="5" t="b">
        <f t="shared" si="1"/>
        <v>0</v>
      </c>
    </row>
    <row r="1687">
      <c r="A1687" s="50" t="s">
        <v>4357</v>
      </c>
      <c r="B1687" s="61">
        <v>100.0</v>
      </c>
      <c r="C1687" s="61">
        <v>100.0</v>
      </c>
      <c r="D1687" s="9">
        <f t="array" ref="D1687">xlookup(A1687,'données'!E$2:E$3608,'données'!K$2:K$3608)</f>
        <v>130.1</v>
      </c>
      <c r="E1687" s="5" t="b">
        <f t="shared" si="1"/>
        <v>0</v>
      </c>
    </row>
    <row r="1688">
      <c r="A1688" s="50" t="s">
        <v>5856</v>
      </c>
      <c r="B1688" s="61">
        <v>100.0</v>
      </c>
      <c r="C1688" s="61">
        <v>100.0</v>
      </c>
      <c r="D1688" s="9">
        <f t="array" ref="D1688">xlookup(A1688,'données'!E$2:E$3608,'données'!K$2:K$3608)</f>
        <v>140.2</v>
      </c>
      <c r="E1688" s="5" t="b">
        <f t="shared" si="1"/>
        <v>0</v>
      </c>
    </row>
    <row r="1689">
      <c r="A1689" s="50" t="s">
        <v>7308</v>
      </c>
      <c r="B1689" s="61">
        <v>100.0</v>
      </c>
      <c r="C1689" s="61">
        <v>100.0</v>
      </c>
      <c r="D1689" s="9">
        <f t="array" ref="D1689">xlookup(A1689,'données'!E$2:E$3608,'données'!K$2:K$3608)</f>
        <v>114.5</v>
      </c>
      <c r="E1689" s="5" t="b">
        <f t="shared" si="1"/>
        <v>0</v>
      </c>
    </row>
    <row r="1690">
      <c r="A1690" s="50" t="s">
        <v>5854</v>
      </c>
      <c r="B1690" s="61">
        <v>99.0</v>
      </c>
      <c r="C1690" s="61">
        <v>100.0</v>
      </c>
      <c r="D1690" s="9">
        <f t="array" ref="D1690">xlookup(A1690,'données'!E$2:E$3608,'données'!K$2:K$3608)</f>
        <v>111.6</v>
      </c>
      <c r="E1690" s="5" t="b">
        <f t="shared" si="1"/>
        <v>0</v>
      </c>
    </row>
    <row r="1691">
      <c r="A1691" s="50" t="s">
        <v>7306</v>
      </c>
      <c r="B1691" s="61">
        <v>99.0</v>
      </c>
      <c r="C1691" s="61">
        <v>99.0</v>
      </c>
      <c r="D1691" s="9">
        <f t="array" ref="D1691">xlookup(A1691,'données'!E$2:E$3608,'données'!K$2:K$3608)</f>
        <v>139.6</v>
      </c>
      <c r="E1691" s="5" t="b">
        <f t="shared" si="1"/>
        <v>0</v>
      </c>
    </row>
    <row r="1692">
      <c r="A1692" s="50" t="s">
        <v>4351</v>
      </c>
      <c r="B1692" s="61">
        <v>98.0</v>
      </c>
      <c r="C1692" s="61">
        <v>98.0</v>
      </c>
      <c r="D1692" s="9">
        <f t="array" ref="D1692">xlookup(A1692,'données'!E$2:E$3608,'données'!K$2:K$3608)</f>
        <v>111.8</v>
      </c>
      <c r="E1692" s="5" t="b">
        <f t="shared" si="1"/>
        <v>0</v>
      </c>
    </row>
    <row r="1693">
      <c r="A1693" s="50" t="s">
        <v>4349</v>
      </c>
      <c r="B1693" s="61">
        <v>98.0</v>
      </c>
      <c r="C1693" s="61">
        <v>97.0</v>
      </c>
      <c r="D1693" s="9">
        <f t="array" ref="D1693">xlookup(A1693,'données'!E$2:E$3608,'données'!K$2:K$3608)</f>
        <v>116.3</v>
      </c>
      <c r="E1693" s="5" t="b">
        <f t="shared" si="1"/>
        <v>0</v>
      </c>
    </row>
    <row r="1694">
      <c r="A1694" s="50" t="s">
        <v>7302</v>
      </c>
      <c r="B1694" s="61">
        <v>95.0</v>
      </c>
      <c r="C1694" s="61">
        <v>100.0</v>
      </c>
      <c r="D1694" s="9">
        <f t="array" ref="D1694">xlookup(A1694,'données'!E$2:E$3608,'données'!K$2:K$3608)</f>
        <v>110.7</v>
      </c>
      <c r="E1694" s="5" t="b">
        <f t="shared" si="1"/>
        <v>0</v>
      </c>
    </row>
    <row r="1695">
      <c r="A1695" s="50" t="s">
        <v>4343</v>
      </c>
      <c r="B1695" s="61">
        <v>97.0</v>
      </c>
      <c r="C1695" s="61">
        <v>98.0</v>
      </c>
      <c r="D1695" s="9">
        <f t="array" ref="D1695">xlookup(A1695,'données'!E$2:E$3608,'données'!K$2:K$3608)</f>
        <v>125.2</v>
      </c>
      <c r="E1695" s="5" t="b">
        <f t="shared" si="1"/>
        <v>0</v>
      </c>
    </row>
    <row r="1696">
      <c r="A1696" s="50" t="s">
        <v>7300</v>
      </c>
      <c r="B1696" s="61">
        <v>96.0</v>
      </c>
      <c r="C1696" s="61">
        <v>98.0</v>
      </c>
      <c r="D1696" s="9">
        <f t="array" ref="D1696">xlookup(A1696,'données'!E$2:E$3608,'données'!K$2:K$3608)</f>
        <v>120.3</v>
      </c>
      <c r="E1696" s="5" t="b">
        <f t="shared" si="1"/>
        <v>0</v>
      </c>
    </row>
    <row r="1697">
      <c r="A1697" s="50" t="s">
        <v>2555</v>
      </c>
      <c r="B1697" s="61">
        <v>96.0</v>
      </c>
      <c r="C1697" s="61">
        <v>98.0</v>
      </c>
      <c r="D1697" s="9">
        <f t="array" ref="D1697">xlookup(A1697,'données'!E$2:E$3608,'données'!K$2:K$3608)</f>
        <v>114.7</v>
      </c>
      <c r="E1697" s="5" t="b">
        <f t="shared" si="1"/>
        <v>0</v>
      </c>
    </row>
    <row r="1698">
      <c r="A1698" s="50" t="s">
        <v>4341</v>
      </c>
      <c r="B1698" s="61">
        <v>97.0</v>
      </c>
      <c r="C1698" s="61">
        <v>98.0</v>
      </c>
      <c r="D1698" s="9">
        <f t="array" ref="D1698">xlookup(A1698,'données'!E$2:E$3608,'données'!K$2:K$3608)</f>
        <v>127.5</v>
      </c>
      <c r="E1698" s="5" t="b">
        <f t="shared" si="1"/>
        <v>0</v>
      </c>
    </row>
    <row r="1699">
      <c r="A1699" s="50" t="s">
        <v>2553</v>
      </c>
      <c r="B1699" s="61">
        <v>98.0</v>
      </c>
      <c r="C1699" s="61">
        <v>98.0</v>
      </c>
      <c r="D1699" s="9">
        <f t="array" ref="D1699">xlookup(A1699,'données'!E$2:E$3608,'données'!K$2:K$3608)</f>
        <v>134.4</v>
      </c>
      <c r="E1699" s="5" t="b">
        <f t="shared" si="1"/>
        <v>0</v>
      </c>
    </row>
    <row r="1700">
      <c r="A1700" s="50" t="s">
        <v>5849</v>
      </c>
      <c r="B1700" s="61">
        <v>98.0</v>
      </c>
      <c r="C1700" s="61">
        <v>99.0</v>
      </c>
      <c r="D1700" s="9">
        <f t="array" ref="D1700">xlookup(A1700,'données'!E$2:E$3608,'données'!K$2:K$3608)</f>
        <v>110.9</v>
      </c>
      <c r="E1700" s="5" t="b">
        <f t="shared" si="1"/>
        <v>0</v>
      </c>
    </row>
    <row r="1701">
      <c r="A1701" s="50" t="s">
        <v>2550</v>
      </c>
      <c r="B1701" s="61">
        <v>99.0</v>
      </c>
      <c r="C1701" s="61">
        <v>99.0</v>
      </c>
      <c r="D1701" s="9">
        <f t="array" ref="D1701">xlookup(A1701,'données'!E$2:E$3608,'données'!K$2:K$3608)</f>
        <v>109.3</v>
      </c>
      <c r="E1701" s="5" t="b">
        <f t="shared" si="1"/>
        <v>0</v>
      </c>
    </row>
    <row r="1702">
      <c r="A1702" s="50" t="s">
        <v>2547</v>
      </c>
      <c r="B1702" s="61">
        <v>100.0</v>
      </c>
      <c r="C1702" s="50"/>
      <c r="D1702" s="9">
        <f t="array" ref="D1702">xlookup(A1702,'données'!E$2:E$3608,'données'!K$2:K$3608)</f>
        <v>125.2</v>
      </c>
      <c r="E1702" s="5" t="b">
        <f t="shared" si="1"/>
        <v>0</v>
      </c>
    </row>
    <row r="1703">
      <c r="A1703" s="50" t="s">
        <v>7298</v>
      </c>
      <c r="B1703" s="61">
        <v>100.0</v>
      </c>
      <c r="C1703" s="61">
        <v>100.0</v>
      </c>
      <c r="D1703" s="9">
        <f t="array" ref="D1703">xlookup(A1703,'données'!E$2:E$3608,'données'!K$2:K$3608)</f>
        <v>126.8</v>
      </c>
      <c r="E1703" s="5" t="b">
        <f t="shared" si="1"/>
        <v>0</v>
      </c>
    </row>
    <row r="1704">
      <c r="A1704" s="50" t="s">
        <v>620</v>
      </c>
      <c r="B1704" s="61">
        <v>99.0</v>
      </c>
      <c r="C1704" s="61">
        <v>98.0</v>
      </c>
      <c r="D1704" s="9">
        <f t="array" ref="D1704">xlookup(A1704,'données'!E$2:E$3608,'données'!K$2:K$3608)</f>
        <v>115.3</v>
      </c>
      <c r="E1704" s="5" t="b">
        <f t="shared" si="1"/>
        <v>0</v>
      </c>
    </row>
    <row r="1705">
      <c r="A1705" s="50" t="s">
        <v>5847</v>
      </c>
      <c r="B1705" s="61">
        <v>98.0</v>
      </c>
      <c r="C1705" s="50"/>
      <c r="D1705" s="9">
        <f t="array" ref="D1705">xlookup(A1705,'données'!E$2:E$3608,'données'!K$2:K$3608)</f>
        <v>117.8</v>
      </c>
      <c r="E1705" s="5" t="b">
        <f t="shared" si="1"/>
        <v>0</v>
      </c>
    </row>
    <row r="1706">
      <c r="A1706" s="50" t="s">
        <v>7295</v>
      </c>
      <c r="B1706" s="61">
        <v>100.0</v>
      </c>
      <c r="C1706" s="61">
        <v>100.0</v>
      </c>
      <c r="D1706" s="9">
        <f t="array" ref="D1706">xlookup(A1706,'données'!E$2:E$3608,'données'!K$2:K$3608)</f>
        <v>115.5</v>
      </c>
      <c r="E1706" s="5" t="b">
        <f t="shared" si="1"/>
        <v>0</v>
      </c>
    </row>
    <row r="1707">
      <c r="A1707" s="50" t="s">
        <v>7292</v>
      </c>
      <c r="B1707" s="61">
        <v>98.0</v>
      </c>
      <c r="C1707" s="61">
        <v>99.0</v>
      </c>
      <c r="D1707" s="9">
        <f t="array" ref="D1707">xlookup(A1707,'données'!E$2:E$3608,'données'!K$2:K$3608)</f>
        <v>106.2</v>
      </c>
      <c r="E1707" s="5" t="b">
        <f t="shared" si="1"/>
        <v>0</v>
      </c>
    </row>
    <row r="1708">
      <c r="A1708" s="50" t="s">
        <v>5845</v>
      </c>
      <c r="B1708" s="61">
        <v>99.0</v>
      </c>
      <c r="C1708" s="61">
        <v>99.0</v>
      </c>
      <c r="D1708" s="9">
        <f t="array" ref="D1708">xlookup(A1708,'données'!E$2:E$3608,'données'!K$2:K$3608)</f>
        <v>125.6</v>
      </c>
      <c r="E1708" s="5" t="b">
        <f t="shared" si="1"/>
        <v>0</v>
      </c>
    </row>
    <row r="1709">
      <c r="A1709" s="50" t="s">
        <v>4332</v>
      </c>
      <c r="B1709" s="61">
        <v>97.0</v>
      </c>
      <c r="C1709" s="61">
        <v>99.0</v>
      </c>
      <c r="D1709" s="9">
        <f t="array" ref="D1709">xlookup(A1709,'données'!E$2:E$3608,'données'!K$2:K$3608)</f>
        <v>133.2</v>
      </c>
      <c r="E1709" s="5" t="b">
        <f t="shared" si="1"/>
        <v>0</v>
      </c>
    </row>
    <row r="1710">
      <c r="A1710" s="50" t="s">
        <v>5842</v>
      </c>
      <c r="B1710" s="61">
        <v>97.0</v>
      </c>
      <c r="C1710" s="61">
        <v>98.0</v>
      </c>
      <c r="D1710" s="9">
        <f t="array" ref="D1710">xlookup(A1710,'données'!E$2:E$3608,'données'!K$2:K$3608)</f>
        <v>132.2</v>
      </c>
      <c r="E1710" s="5" t="b">
        <f t="shared" si="1"/>
        <v>0</v>
      </c>
    </row>
    <row r="1711">
      <c r="A1711" s="50" t="s">
        <v>7290</v>
      </c>
      <c r="B1711" s="61">
        <v>100.0</v>
      </c>
      <c r="C1711" s="61">
        <v>100.0</v>
      </c>
      <c r="D1711" s="9">
        <f t="array" ref="D1711">xlookup(A1711,'données'!E$2:E$3608,'données'!K$2:K$3608)</f>
        <v>131.8</v>
      </c>
      <c r="E1711" s="5" t="b">
        <f t="shared" si="1"/>
        <v>0</v>
      </c>
    </row>
    <row r="1712">
      <c r="A1712" s="50" t="s">
        <v>5839</v>
      </c>
      <c r="B1712" s="61">
        <v>96.0</v>
      </c>
      <c r="C1712" s="61">
        <v>96.0</v>
      </c>
      <c r="D1712" s="9">
        <f t="array" ref="D1712">xlookup(A1712,'données'!E$2:E$3608,'données'!K$2:K$3608)</f>
        <v>123.2</v>
      </c>
      <c r="E1712" s="5" t="b">
        <f t="shared" si="1"/>
        <v>0</v>
      </c>
    </row>
    <row r="1713">
      <c r="A1713" s="50" t="s">
        <v>4330</v>
      </c>
      <c r="B1713" s="61">
        <v>89.0</v>
      </c>
      <c r="C1713" s="61">
        <v>93.0</v>
      </c>
      <c r="D1713" s="9">
        <f t="array" ref="D1713">xlookup(A1713,'données'!E$2:E$3608,'données'!K$2:K$3608)</f>
        <v>108.5</v>
      </c>
      <c r="E1713" s="5" t="b">
        <f t="shared" si="1"/>
        <v>0</v>
      </c>
    </row>
    <row r="1714">
      <c r="A1714" s="50" t="s">
        <v>5838</v>
      </c>
      <c r="B1714" s="61">
        <v>94.0</v>
      </c>
      <c r="C1714" s="61">
        <v>95.0</v>
      </c>
      <c r="D1714" s="9">
        <f t="array" ref="D1714">xlookup(A1714,'données'!E$2:E$3608,'données'!K$2:K$3608)</f>
        <v>102.4</v>
      </c>
      <c r="E1714" s="5" t="b">
        <f t="shared" si="1"/>
        <v>0</v>
      </c>
    </row>
    <row r="1715">
      <c r="A1715" s="50" t="s">
        <v>2546</v>
      </c>
      <c r="B1715" s="61">
        <v>100.0</v>
      </c>
      <c r="C1715" s="61">
        <v>100.0</v>
      </c>
      <c r="D1715" s="9">
        <f t="array" ref="D1715">xlookup(A1715,'données'!E$2:E$3608,'données'!K$2:K$3608)</f>
        <v>125.5</v>
      </c>
      <c r="E1715" s="5" t="b">
        <f t="shared" si="1"/>
        <v>0</v>
      </c>
    </row>
    <row r="1716">
      <c r="A1716" s="50" t="s">
        <v>5835</v>
      </c>
      <c r="B1716" s="61">
        <v>99.0</v>
      </c>
      <c r="C1716" s="61">
        <v>98.0</v>
      </c>
      <c r="D1716" s="9">
        <f t="array" ref="D1716">xlookup(A1716,'données'!E$2:E$3608,'données'!K$2:K$3608)</f>
        <v>127.5</v>
      </c>
      <c r="E1716" s="5" t="b">
        <f t="shared" si="1"/>
        <v>0</v>
      </c>
    </row>
    <row r="1717">
      <c r="A1717" s="50" t="s">
        <v>4328</v>
      </c>
      <c r="B1717" s="61">
        <v>100.0</v>
      </c>
      <c r="C1717" s="61">
        <v>100.0</v>
      </c>
      <c r="D1717" s="9">
        <f t="array" ref="D1717">xlookup(A1717,'données'!E$2:E$3608,'données'!K$2:K$3608)</f>
        <v>131.3</v>
      </c>
      <c r="E1717" s="5" t="b">
        <f t="shared" si="1"/>
        <v>0</v>
      </c>
    </row>
    <row r="1718">
      <c r="A1718" s="50" t="s">
        <v>616</v>
      </c>
      <c r="B1718" s="61">
        <v>100.0</v>
      </c>
      <c r="C1718" s="61">
        <v>100.0</v>
      </c>
      <c r="D1718" s="9">
        <f t="array" ref="D1718">xlookup(A1718,'données'!E$2:E$3608,'données'!K$2:K$3608)</f>
        <v>134.2</v>
      </c>
      <c r="E1718" s="5" t="b">
        <f t="shared" si="1"/>
        <v>0</v>
      </c>
    </row>
    <row r="1719">
      <c r="A1719" s="50" t="s">
        <v>5833</v>
      </c>
      <c r="B1719" s="61">
        <v>100.0</v>
      </c>
      <c r="C1719" s="61">
        <v>100.0</v>
      </c>
      <c r="D1719" s="9">
        <f t="array" ref="D1719">xlookup(A1719,'données'!E$2:E$3608,'données'!K$2:K$3608)</f>
        <v>126.1</v>
      </c>
      <c r="E1719" s="5" t="b">
        <f t="shared" si="1"/>
        <v>0</v>
      </c>
    </row>
    <row r="1720">
      <c r="A1720" s="50" t="s">
        <v>613</v>
      </c>
      <c r="B1720" s="61">
        <v>96.0</v>
      </c>
      <c r="C1720" s="61">
        <v>98.0</v>
      </c>
      <c r="D1720" s="9">
        <f t="array" ref="D1720">xlookup(A1720,'données'!E$2:E$3608,'données'!K$2:K$3608)</f>
        <v>105.8</v>
      </c>
      <c r="E1720" s="5" t="b">
        <f t="shared" si="1"/>
        <v>0</v>
      </c>
    </row>
    <row r="1721">
      <c r="A1721" s="50" t="s">
        <v>7286</v>
      </c>
      <c r="B1721" s="61">
        <v>97.0</v>
      </c>
      <c r="C1721" s="61">
        <v>98.0</v>
      </c>
      <c r="D1721" s="9">
        <f t="array" ref="D1721">xlookup(A1721,'données'!E$2:E$3608,'données'!K$2:K$3608)</f>
        <v>116.8</v>
      </c>
      <c r="E1721" s="5" t="b">
        <f t="shared" si="1"/>
        <v>0</v>
      </c>
    </row>
    <row r="1722">
      <c r="A1722" s="50" t="s">
        <v>5830</v>
      </c>
      <c r="B1722" s="61">
        <v>95.0</v>
      </c>
      <c r="C1722" s="61">
        <v>96.0</v>
      </c>
      <c r="D1722" s="9">
        <f t="array" ref="D1722">xlookup(A1722,'données'!E$2:E$3608,'données'!K$2:K$3608)</f>
        <v>113.9</v>
      </c>
      <c r="E1722" s="5" t="b">
        <f t="shared" si="1"/>
        <v>0</v>
      </c>
    </row>
    <row r="1723">
      <c r="A1723" s="50" t="s">
        <v>2539</v>
      </c>
      <c r="B1723" s="61">
        <v>93.0</v>
      </c>
      <c r="C1723" s="61">
        <v>95.0</v>
      </c>
      <c r="D1723" s="9">
        <f t="array" ref="D1723">xlookup(A1723,'données'!E$2:E$3608,'données'!K$2:K$3608)</f>
        <v>106.7</v>
      </c>
      <c r="E1723" s="5" t="b">
        <f t="shared" si="1"/>
        <v>0</v>
      </c>
    </row>
    <row r="1724">
      <c r="A1724" s="50" t="s">
        <v>4317</v>
      </c>
      <c r="B1724" s="61">
        <v>93.0</v>
      </c>
      <c r="C1724" s="61">
        <v>94.0</v>
      </c>
      <c r="D1724" s="9">
        <f t="array" ref="D1724">xlookup(A1724,'données'!E$2:E$3608,'données'!K$2:K$3608)</f>
        <v>113.4</v>
      </c>
      <c r="E1724" s="5" t="b">
        <f t="shared" si="1"/>
        <v>0</v>
      </c>
    </row>
    <row r="1725">
      <c r="A1725" s="50" t="s">
        <v>5829</v>
      </c>
      <c r="B1725" s="61">
        <v>94.0</v>
      </c>
      <c r="C1725" s="61">
        <v>96.0</v>
      </c>
      <c r="D1725" s="9">
        <f t="array" ref="D1725">xlookup(A1725,'données'!E$2:E$3608,'données'!K$2:K$3608)</f>
        <v>107.9</v>
      </c>
      <c r="E1725" s="5" t="b">
        <f t="shared" si="1"/>
        <v>0</v>
      </c>
    </row>
    <row r="1726">
      <c r="A1726" s="50" t="s">
        <v>7281</v>
      </c>
      <c r="B1726" s="61">
        <v>97.0</v>
      </c>
      <c r="C1726" s="61">
        <v>97.0</v>
      </c>
      <c r="D1726" s="9">
        <f t="array" ref="D1726">xlookup(A1726,'données'!E$2:E$3608,'données'!K$2:K$3608)</f>
        <v>126.4</v>
      </c>
      <c r="E1726" s="5" t="b">
        <f t="shared" si="1"/>
        <v>0</v>
      </c>
    </row>
    <row r="1727">
      <c r="A1727" s="50" t="s">
        <v>4314</v>
      </c>
      <c r="B1727" s="61">
        <v>97.0</v>
      </c>
      <c r="C1727" s="61">
        <v>99.0</v>
      </c>
      <c r="D1727" s="9">
        <f t="array" ref="D1727">xlookup(A1727,'données'!E$2:E$3608,'données'!K$2:K$3608)</f>
        <v>105.7</v>
      </c>
      <c r="E1727" s="5" t="b">
        <f t="shared" si="1"/>
        <v>0</v>
      </c>
    </row>
    <row r="1728">
      <c r="A1728" s="50" t="s">
        <v>5826</v>
      </c>
      <c r="B1728" s="61">
        <v>98.0</v>
      </c>
      <c r="C1728" s="61">
        <v>98.0</v>
      </c>
      <c r="D1728" s="9">
        <f t="array" ref="D1728">xlookup(A1728,'données'!E$2:E$3608,'données'!K$2:K$3608)</f>
        <v>113.5</v>
      </c>
      <c r="E1728" s="5" t="b">
        <f t="shared" si="1"/>
        <v>0</v>
      </c>
    </row>
    <row r="1729">
      <c r="A1729" s="50" t="s">
        <v>610</v>
      </c>
      <c r="B1729" s="61">
        <v>98.0</v>
      </c>
      <c r="C1729" s="61">
        <v>98.0</v>
      </c>
      <c r="D1729" s="9">
        <f t="array" ref="D1729">xlookup(A1729,'données'!E$2:E$3608,'données'!K$2:K$3608)</f>
        <v>115.3</v>
      </c>
      <c r="E1729" s="5" t="b">
        <f t="shared" si="1"/>
        <v>0</v>
      </c>
    </row>
    <row r="1730">
      <c r="A1730" s="50" t="s">
        <v>4311</v>
      </c>
      <c r="B1730" s="61">
        <v>96.0</v>
      </c>
      <c r="C1730" s="61">
        <v>98.0</v>
      </c>
      <c r="D1730" s="9">
        <f t="array" ref="D1730">xlookup(A1730,'données'!E$2:E$3608,'données'!K$2:K$3608)</f>
        <v>92.6</v>
      </c>
      <c r="E1730" s="5" t="b">
        <f t="shared" si="1"/>
        <v>0</v>
      </c>
    </row>
    <row r="1731">
      <c r="A1731" s="50" t="s">
        <v>5824</v>
      </c>
      <c r="B1731" s="61">
        <v>93.0</v>
      </c>
      <c r="C1731" s="61">
        <v>94.0</v>
      </c>
      <c r="D1731" s="9">
        <f t="array" ref="D1731">xlookup(A1731,'données'!E$2:E$3608,'données'!K$2:K$3608)</f>
        <v>99.8</v>
      </c>
      <c r="E1731" s="5" t="b">
        <f t="shared" si="1"/>
        <v>0</v>
      </c>
    </row>
    <row r="1732">
      <c r="A1732" s="50" t="s">
        <v>4306</v>
      </c>
      <c r="B1732" s="61">
        <v>94.0</v>
      </c>
      <c r="C1732" s="61">
        <v>98.0</v>
      </c>
      <c r="D1732" s="9">
        <f t="array" ref="D1732">xlookup(A1732,'données'!E$2:E$3608,'données'!K$2:K$3608)</f>
        <v>108.9</v>
      </c>
      <c r="E1732" s="5" t="b">
        <f t="shared" si="1"/>
        <v>0</v>
      </c>
    </row>
    <row r="1733">
      <c r="A1733" s="50" t="s">
        <v>7278</v>
      </c>
      <c r="B1733" s="61">
        <v>98.0</v>
      </c>
      <c r="C1733" s="61">
        <v>98.0</v>
      </c>
      <c r="D1733" s="9">
        <f t="array" ref="D1733">xlookup(A1733,'données'!E$2:E$3608,'données'!K$2:K$3608)</f>
        <v>101.2</v>
      </c>
      <c r="E1733" s="5" t="b">
        <f t="shared" si="1"/>
        <v>0</v>
      </c>
    </row>
    <row r="1734">
      <c r="A1734" s="50" t="s">
        <v>5821</v>
      </c>
      <c r="B1734" s="61">
        <v>100.0</v>
      </c>
      <c r="C1734" s="61">
        <v>100.0</v>
      </c>
      <c r="D1734" s="9">
        <f t="array" ref="D1734">xlookup(A1734,'données'!E$2:E$3608,'données'!K$2:K$3608)</f>
        <v>123.4</v>
      </c>
      <c r="E1734" s="5" t="b">
        <f t="shared" si="1"/>
        <v>0</v>
      </c>
    </row>
    <row r="1735">
      <c r="A1735" s="50" t="s">
        <v>7276</v>
      </c>
      <c r="B1735" s="61">
        <v>99.0</v>
      </c>
      <c r="C1735" s="61">
        <v>99.0</v>
      </c>
      <c r="D1735" s="9">
        <f t="array" ref="D1735">xlookup(A1735,'données'!E$2:E$3608,'données'!K$2:K$3608)</f>
        <v>117.9</v>
      </c>
      <c r="E1735" s="5" t="b">
        <f t="shared" si="1"/>
        <v>0</v>
      </c>
    </row>
    <row r="1736">
      <c r="A1736" s="50" t="s">
        <v>7273</v>
      </c>
      <c r="B1736" s="61">
        <v>98.0</v>
      </c>
      <c r="C1736" s="61">
        <v>98.0</v>
      </c>
      <c r="D1736" s="9">
        <f t="array" ref="D1736">xlookup(A1736,'données'!E$2:E$3608,'données'!K$2:K$3608)</f>
        <v>126.4</v>
      </c>
      <c r="E1736" s="5" t="b">
        <f t="shared" si="1"/>
        <v>0</v>
      </c>
    </row>
    <row r="1737">
      <c r="A1737" s="50" t="s">
        <v>2536</v>
      </c>
      <c r="B1737" s="61">
        <v>99.0</v>
      </c>
      <c r="C1737" s="61">
        <v>99.0</v>
      </c>
      <c r="D1737" s="9">
        <f t="array" ref="D1737">xlookup(A1737,'données'!E$2:E$3608,'données'!K$2:K$3608)</f>
        <v>137.2</v>
      </c>
      <c r="E1737" s="5" t="b">
        <f t="shared" si="1"/>
        <v>0</v>
      </c>
    </row>
    <row r="1738">
      <c r="A1738" s="50" t="s">
        <v>7271</v>
      </c>
      <c r="B1738" s="61">
        <v>92.0</v>
      </c>
      <c r="C1738" s="61">
        <v>91.0</v>
      </c>
      <c r="D1738" s="9">
        <f t="array" ref="D1738">xlookup(A1738,'données'!E$2:E$3608,'données'!K$2:K$3608)</f>
        <v>115.1</v>
      </c>
      <c r="E1738" s="5" t="b">
        <f t="shared" si="1"/>
        <v>0</v>
      </c>
    </row>
    <row r="1739">
      <c r="A1739" s="50" t="s">
        <v>7269</v>
      </c>
      <c r="B1739" s="61">
        <v>98.0</v>
      </c>
      <c r="C1739" s="61">
        <v>100.0</v>
      </c>
      <c r="D1739" s="9">
        <f t="array" ref="D1739">xlookup(A1739,'données'!E$2:E$3608,'données'!K$2:K$3608)</f>
        <v>114.8</v>
      </c>
      <c r="E1739" s="5" t="b">
        <f t="shared" si="1"/>
        <v>0</v>
      </c>
    </row>
    <row r="1740">
      <c r="A1740" s="50" t="s">
        <v>2533</v>
      </c>
      <c r="B1740" s="61">
        <v>99.0</v>
      </c>
      <c r="C1740" s="61">
        <v>99.0</v>
      </c>
      <c r="D1740" s="9">
        <f t="array" ref="D1740">xlookup(A1740,'données'!E$2:E$3608,'données'!K$2:K$3608)</f>
        <v>135.4</v>
      </c>
      <c r="E1740" s="5" t="b">
        <f t="shared" si="1"/>
        <v>0</v>
      </c>
    </row>
    <row r="1741">
      <c r="A1741" s="50" t="s">
        <v>5817</v>
      </c>
      <c r="B1741" s="61">
        <v>94.0</v>
      </c>
      <c r="C1741" s="61">
        <v>97.0</v>
      </c>
      <c r="D1741" s="9">
        <f t="array" ref="D1741">xlookup(A1741,'données'!E$2:E$3608,'données'!K$2:K$3608)</f>
        <v>88</v>
      </c>
      <c r="E1741" s="5" t="b">
        <f t="shared" si="1"/>
        <v>0</v>
      </c>
    </row>
    <row r="1742">
      <c r="A1742" s="50" t="s">
        <v>7267</v>
      </c>
      <c r="B1742" s="61">
        <v>96.0</v>
      </c>
      <c r="C1742" s="61">
        <v>96.0</v>
      </c>
      <c r="D1742" s="9">
        <f t="array" ref="D1742">xlookup(A1742,'données'!E$2:E$3608,'données'!K$2:K$3608)</f>
        <v>124.6</v>
      </c>
      <c r="E1742" s="5" t="b">
        <f t="shared" si="1"/>
        <v>0</v>
      </c>
    </row>
    <row r="1743">
      <c r="A1743" s="50" t="s">
        <v>2531</v>
      </c>
      <c r="B1743" s="61">
        <v>93.0</v>
      </c>
      <c r="C1743" s="61">
        <v>94.0</v>
      </c>
      <c r="D1743" s="9">
        <f t="array" ref="D1743">xlookup(A1743,'données'!E$2:E$3608,'données'!K$2:K$3608)</f>
        <v>101.1</v>
      </c>
      <c r="E1743" s="5" t="b">
        <f t="shared" si="1"/>
        <v>0</v>
      </c>
    </row>
    <row r="1744">
      <c r="A1744" s="50" t="s">
        <v>5814</v>
      </c>
      <c r="B1744" s="61">
        <v>96.0</v>
      </c>
      <c r="C1744" s="61">
        <v>95.0</v>
      </c>
      <c r="D1744" s="9">
        <f t="array" ref="D1744">xlookup(A1744,'données'!E$2:E$3608,'données'!K$2:K$3608)</f>
        <v>124.8</v>
      </c>
      <c r="E1744" s="5" t="b">
        <f t="shared" si="1"/>
        <v>0</v>
      </c>
    </row>
    <row r="1745">
      <c r="A1745" s="50" t="s">
        <v>603</v>
      </c>
      <c r="B1745" s="61">
        <v>96.0</v>
      </c>
      <c r="C1745" s="61">
        <v>98.0</v>
      </c>
      <c r="D1745" s="9">
        <f t="array" ref="D1745">xlookup(A1745,'données'!E$2:E$3608,'données'!K$2:K$3608)</f>
        <v>129.4</v>
      </c>
      <c r="E1745" s="5" t="b">
        <f t="shared" si="1"/>
        <v>0</v>
      </c>
    </row>
    <row r="1746">
      <c r="A1746" s="50" t="s">
        <v>5810</v>
      </c>
      <c r="B1746" s="61">
        <v>96.0</v>
      </c>
      <c r="C1746" s="50"/>
      <c r="D1746" s="9">
        <f t="array" ref="D1746">xlookup(A1746,'données'!E$2:E$3608,'données'!K$2:K$3608)</f>
        <v>107.3</v>
      </c>
      <c r="E1746" s="5" t="b">
        <f t="shared" si="1"/>
        <v>0</v>
      </c>
    </row>
    <row r="1747">
      <c r="A1747" s="50" t="s">
        <v>4300</v>
      </c>
      <c r="B1747" s="61">
        <v>98.0</v>
      </c>
      <c r="C1747" s="50"/>
      <c r="D1747" s="9">
        <f t="array" ref="D1747">xlookup(A1747,'données'!E$2:E$3608,'données'!K$2:K$3608)</f>
        <v>119.8</v>
      </c>
      <c r="E1747" s="5" t="b">
        <f t="shared" si="1"/>
        <v>0</v>
      </c>
    </row>
    <row r="1748">
      <c r="A1748" s="50" t="s">
        <v>7256</v>
      </c>
      <c r="B1748" s="61">
        <v>94.0</v>
      </c>
      <c r="C1748" s="61">
        <v>98.0</v>
      </c>
      <c r="D1748" s="9">
        <f t="array" ref="D1748">xlookup(A1748,'données'!E$2:E$3608,'données'!K$2:K$3608)</f>
        <v>107.5</v>
      </c>
      <c r="E1748" s="5" t="b">
        <f t="shared" si="1"/>
        <v>0</v>
      </c>
    </row>
    <row r="1749">
      <c r="A1749" s="50" t="s">
        <v>5808</v>
      </c>
      <c r="B1749" s="61">
        <v>97.0</v>
      </c>
      <c r="C1749" s="61">
        <v>98.0</v>
      </c>
      <c r="D1749" s="9">
        <f t="array" ref="D1749">xlookup(A1749,'données'!E$2:E$3608,'données'!K$2:K$3608)</f>
        <v>124.2</v>
      </c>
      <c r="E1749" s="5" t="b">
        <f t="shared" si="1"/>
        <v>0</v>
      </c>
    </row>
    <row r="1750">
      <c r="A1750" s="50" t="s">
        <v>2526</v>
      </c>
      <c r="B1750" s="61">
        <v>97.0</v>
      </c>
      <c r="C1750" s="61">
        <v>98.0</v>
      </c>
      <c r="D1750" s="9">
        <f t="array" ref="D1750">xlookup(A1750,'données'!E$2:E$3608,'données'!K$2:K$3608)</f>
        <v>119.7</v>
      </c>
      <c r="E1750" s="5" t="b">
        <f t="shared" si="1"/>
        <v>0</v>
      </c>
    </row>
    <row r="1751">
      <c r="A1751" s="50" t="s">
        <v>597</v>
      </c>
      <c r="B1751" s="61">
        <v>97.0</v>
      </c>
      <c r="C1751" s="50"/>
      <c r="D1751" s="9">
        <f t="array" ref="D1751">xlookup(A1751,'données'!E$2:E$3608,'données'!K$2:K$3608)</f>
        <v>118.5</v>
      </c>
      <c r="E1751" s="5" t="b">
        <f t="shared" si="1"/>
        <v>0</v>
      </c>
    </row>
    <row r="1752">
      <c r="A1752" s="50" t="s">
        <v>5804</v>
      </c>
      <c r="B1752" s="61">
        <v>98.0</v>
      </c>
      <c r="C1752" s="61">
        <v>100.0</v>
      </c>
      <c r="D1752" s="9">
        <f t="array" ref="D1752">xlookup(A1752,'données'!E$2:E$3608,'données'!K$2:K$3608)</f>
        <v>126</v>
      </c>
      <c r="E1752" s="5" t="b">
        <f t="shared" si="1"/>
        <v>0</v>
      </c>
    </row>
    <row r="1753">
      <c r="A1753" s="50" t="s">
        <v>591</v>
      </c>
      <c r="B1753" s="61">
        <v>100.0</v>
      </c>
      <c r="C1753" s="61">
        <v>100.0</v>
      </c>
      <c r="D1753" s="9">
        <f t="array" ref="D1753">xlookup(A1753,'données'!E$2:E$3608,'données'!K$2:K$3608)</f>
        <v>114.9</v>
      </c>
      <c r="E1753" s="5" t="b">
        <f t="shared" si="1"/>
        <v>0</v>
      </c>
    </row>
    <row r="1754">
      <c r="A1754" s="50" t="s">
        <v>7249</v>
      </c>
      <c r="B1754" s="61">
        <v>100.0</v>
      </c>
      <c r="C1754" s="61">
        <v>100.0</v>
      </c>
      <c r="D1754" s="9">
        <f t="array" ref="D1754">xlookup(A1754,'données'!E$2:E$3608,'données'!K$2:K$3608)</f>
        <v>131.1</v>
      </c>
      <c r="E1754" s="5" t="b">
        <f t="shared" si="1"/>
        <v>0</v>
      </c>
    </row>
    <row r="1755">
      <c r="A1755" s="50" t="s">
        <v>5802</v>
      </c>
      <c r="B1755" s="61">
        <v>100.0</v>
      </c>
      <c r="C1755" s="61">
        <v>100.0</v>
      </c>
      <c r="D1755" s="9">
        <f t="array" ref="D1755">xlookup(A1755,'données'!E$2:E$3608,'données'!K$2:K$3608)</f>
        <v>131.4</v>
      </c>
      <c r="E1755" s="5" t="b">
        <f t="shared" si="1"/>
        <v>0</v>
      </c>
    </row>
    <row r="1756">
      <c r="A1756" s="50" t="s">
        <v>4294</v>
      </c>
      <c r="B1756" s="61">
        <v>100.0</v>
      </c>
      <c r="C1756" s="61">
        <v>100.0</v>
      </c>
      <c r="D1756" s="9">
        <f t="array" ref="D1756">xlookup(A1756,'données'!E$2:E$3608,'données'!K$2:K$3608)</f>
        <v>139.9</v>
      </c>
      <c r="E1756" s="5" t="b">
        <f t="shared" si="1"/>
        <v>0</v>
      </c>
    </row>
    <row r="1757">
      <c r="A1757" s="50" t="s">
        <v>5800</v>
      </c>
      <c r="B1757" s="61">
        <v>100.0</v>
      </c>
      <c r="C1757" s="61">
        <v>100.0</v>
      </c>
      <c r="D1757" s="9">
        <f t="array" ref="D1757">xlookup(A1757,'données'!E$2:E$3608,'données'!K$2:K$3608)</f>
        <v>128.9</v>
      </c>
      <c r="E1757" s="5" t="b">
        <f t="shared" si="1"/>
        <v>0</v>
      </c>
    </row>
    <row r="1758">
      <c r="A1758" s="50" t="s">
        <v>2523</v>
      </c>
      <c r="B1758" s="61">
        <v>100.0</v>
      </c>
      <c r="C1758" s="61">
        <v>100.0</v>
      </c>
      <c r="D1758" s="9">
        <f t="array" ref="D1758">xlookup(A1758,'données'!E$2:E$3608,'données'!K$2:K$3608)</f>
        <v>112.8</v>
      </c>
      <c r="E1758" s="5" t="b">
        <f t="shared" si="1"/>
        <v>0</v>
      </c>
    </row>
    <row r="1759">
      <c r="A1759" s="50" t="s">
        <v>7247</v>
      </c>
      <c r="B1759" s="61">
        <v>95.0</v>
      </c>
      <c r="C1759" s="61">
        <v>94.0</v>
      </c>
      <c r="D1759" s="9">
        <f t="array" ref="D1759">xlookup(A1759,'données'!E$2:E$3608,'données'!K$2:K$3608)</f>
        <v>123.8</v>
      </c>
      <c r="E1759" s="5" t="b">
        <f t="shared" si="1"/>
        <v>0</v>
      </c>
    </row>
    <row r="1760">
      <c r="A1760" s="50" t="s">
        <v>4292</v>
      </c>
      <c r="B1760" s="61">
        <v>100.0</v>
      </c>
      <c r="C1760" s="61">
        <v>100.0</v>
      </c>
      <c r="D1760" s="9">
        <f t="array" ref="D1760">xlookup(A1760,'données'!E$2:E$3608,'données'!K$2:K$3608)</f>
        <v>135.2</v>
      </c>
      <c r="E1760" s="5" t="b">
        <f t="shared" si="1"/>
        <v>0</v>
      </c>
    </row>
    <row r="1761">
      <c r="A1761" s="50" t="s">
        <v>589</v>
      </c>
      <c r="B1761" s="61">
        <v>100.0</v>
      </c>
      <c r="C1761" s="61">
        <v>100.0</v>
      </c>
      <c r="D1761" s="9">
        <f t="array" ref="D1761">xlookup(A1761,'données'!E$2:E$3608,'données'!K$2:K$3608)</f>
        <v>144.7</v>
      </c>
      <c r="E1761" s="5" t="b">
        <f t="shared" si="1"/>
        <v>0</v>
      </c>
    </row>
    <row r="1762">
      <c r="A1762" s="50" t="s">
        <v>587</v>
      </c>
      <c r="B1762" s="61">
        <v>100.0</v>
      </c>
      <c r="C1762" s="61">
        <v>100.0</v>
      </c>
      <c r="D1762" s="9">
        <f t="array" ref="D1762">xlookup(A1762,'données'!E$2:E$3608,'données'!K$2:K$3608)</f>
        <v>140.9</v>
      </c>
      <c r="E1762" s="5" t="b">
        <f t="shared" si="1"/>
        <v>0</v>
      </c>
    </row>
    <row r="1763">
      <c r="A1763" s="50" t="s">
        <v>7245</v>
      </c>
      <c r="B1763" s="61">
        <v>100.0</v>
      </c>
      <c r="C1763" s="61">
        <v>100.0</v>
      </c>
      <c r="D1763" s="9">
        <f t="array" ref="D1763">xlookup(A1763,'données'!E$2:E$3608,'données'!K$2:K$3608)</f>
        <v>127.4</v>
      </c>
      <c r="E1763" s="5" t="b">
        <f t="shared" si="1"/>
        <v>0</v>
      </c>
    </row>
    <row r="1764">
      <c r="A1764" s="50" t="s">
        <v>5799</v>
      </c>
      <c r="B1764" s="61">
        <v>98.0</v>
      </c>
      <c r="C1764" s="61">
        <v>99.0</v>
      </c>
      <c r="D1764" s="9">
        <f t="array" ref="D1764">xlookup(A1764,'données'!E$2:E$3608,'données'!K$2:K$3608)</f>
        <v>121.4</v>
      </c>
      <c r="E1764" s="5" t="b">
        <f t="shared" si="1"/>
        <v>0</v>
      </c>
    </row>
    <row r="1765">
      <c r="A1765" s="50" t="s">
        <v>584</v>
      </c>
      <c r="B1765" s="61">
        <v>94.0</v>
      </c>
      <c r="C1765" s="61">
        <v>97.0</v>
      </c>
      <c r="D1765" s="9">
        <f t="array" ref="D1765">xlookup(A1765,'données'!E$2:E$3608,'données'!K$2:K$3608)</f>
        <v>117.8</v>
      </c>
      <c r="E1765" s="5" t="b">
        <f t="shared" si="1"/>
        <v>0</v>
      </c>
    </row>
    <row r="1766">
      <c r="A1766" s="50" t="s">
        <v>4286</v>
      </c>
      <c r="B1766" s="61">
        <v>98.0</v>
      </c>
      <c r="C1766" s="61">
        <v>99.0</v>
      </c>
      <c r="D1766" s="9">
        <f t="array" ref="D1766">xlookup(A1766,'données'!E$2:E$3608,'données'!K$2:K$3608)</f>
        <v>100.6</v>
      </c>
      <c r="E1766" s="5" t="b">
        <f t="shared" si="1"/>
        <v>0</v>
      </c>
    </row>
    <row r="1767">
      <c r="A1767" s="50" t="s">
        <v>581</v>
      </c>
      <c r="B1767" s="61">
        <v>94.0</v>
      </c>
      <c r="C1767" s="61">
        <v>94.0</v>
      </c>
      <c r="D1767" s="9">
        <f t="array" ref="D1767">xlookup(A1767,'données'!E$2:E$3608,'données'!K$2:K$3608)</f>
        <v>111.7</v>
      </c>
      <c r="E1767" s="5" t="b">
        <f t="shared" si="1"/>
        <v>0</v>
      </c>
    </row>
    <row r="1768">
      <c r="A1768" s="50" t="s">
        <v>2519</v>
      </c>
      <c r="B1768" s="61">
        <v>96.0</v>
      </c>
      <c r="C1768" s="61">
        <v>98.0</v>
      </c>
      <c r="D1768" s="9">
        <f t="array" ref="D1768">xlookup(A1768,'données'!E$2:E$3608,'données'!K$2:K$3608)</f>
        <v>109.1</v>
      </c>
      <c r="E1768" s="5" t="b">
        <f t="shared" si="1"/>
        <v>0</v>
      </c>
    </row>
    <row r="1769">
      <c r="A1769" s="50" t="s">
        <v>7241</v>
      </c>
      <c r="B1769" s="61">
        <v>94.0</v>
      </c>
      <c r="C1769" s="61">
        <v>96.0</v>
      </c>
      <c r="D1769" s="9">
        <f t="array" ref="D1769">xlookup(A1769,'données'!E$2:E$3608,'données'!K$2:K$3608)</f>
        <v>112.4</v>
      </c>
      <c r="E1769" s="5" t="b">
        <f t="shared" si="1"/>
        <v>0</v>
      </c>
    </row>
    <row r="1770">
      <c r="A1770" s="50" t="s">
        <v>4281</v>
      </c>
      <c r="B1770" s="61">
        <v>92.0</v>
      </c>
      <c r="C1770" s="61">
        <v>97.0</v>
      </c>
      <c r="D1770" s="9">
        <f t="array" ref="D1770">xlookup(A1770,'données'!E$2:E$3608,'données'!K$2:K$3608)</f>
        <v>119.7</v>
      </c>
      <c r="E1770" s="5" t="b">
        <f t="shared" si="1"/>
        <v>0</v>
      </c>
    </row>
    <row r="1771">
      <c r="A1771" s="50" t="s">
        <v>4279</v>
      </c>
      <c r="B1771" s="61">
        <v>97.0</v>
      </c>
      <c r="C1771" s="61">
        <v>100.0</v>
      </c>
      <c r="D1771" s="9">
        <f t="array" ref="D1771">xlookup(A1771,'données'!E$2:E$3608,'données'!K$2:K$3608)</f>
        <v>127.1</v>
      </c>
      <c r="E1771" s="5" t="b">
        <f t="shared" si="1"/>
        <v>0</v>
      </c>
    </row>
    <row r="1772">
      <c r="A1772" s="50" t="s">
        <v>571</v>
      </c>
      <c r="B1772" s="61">
        <v>96.0</v>
      </c>
      <c r="C1772" s="61">
        <v>96.0</v>
      </c>
      <c r="D1772" s="9">
        <f t="array" ref="D1772">xlookup(A1772,'données'!E$2:E$3608,'données'!K$2:K$3608)</f>
        <v>116.2</v>
      </c>
      <c r="E1772" s="5" t="b">
        <f t="shared" si="1"/>
        <v>0</v>
      </c>
    </row>
    <row r="1773">
      <c r="A1773" s="50" t="s">
        <v>2515</v>
      </c>
      <c r="B1773" s="61">
        <v>100.0</v>
      </c>
      <c r="C1773" s="61">
        <v>100.0</v>
      </c>
      <c r="D1773" s="9">
        <f t="array" ref="D1773">xlookup(A1773,'données'!E$2:E$3608,'données'!K$2:K$3608)</f>
        <v>136.3</v>
      </c>
      <c r="E1773" s="5" t="b">
        <f t="shared" si="1"/>
        <v>0</v>
      </c>
    </row>
    <row r="1774">
      <c r="A1774" s="50" t="s">
        <v>569</v>
      </c>
      <c r="B1774" s="61">
        <v>97.0</v>
      </c>
      <c r="C1774" s="61">
        <v>97.0</v>
      </c>
      <c r="D1774" s="9">
        <f t="array" ref="D1774">xlookup(A1774,'données'!E$2:E$3608,'données'!K$2:K$3608)</f>
        <v>134.6</v>
      </c>
      <c r="E1774" s="5" t="b">
        <f t="shared" si="1"/>
        <v>0</v>
      </c>
    </row>
    <row r="1775">
      <c r="A1775" s="50" t="s">
        <v>567</v>
      </c>
      <c r="B1775" s="61">
        <v>95.0</v>
      </c>
      <c r="C1775" s="61">
        <v>95.0</v>
      </c>
      <c r="D1775" s="9">
        <f t="array" ref="D1775">xlookup(A1775,'données'!E$2:E$3608,'données'!K$2:K$3608)</f>
        <v>124.5</v>
      </c>
      <c r="E1775" s="5" t="b">
        <f t="shared" si="1"/>
        <v>0</v>
      </c>
    </row>
    <row r="1776">
      <c r="A1776" s="50" t="s">
        <v>2513</v>
      </c>
      <c r="B1776" s="61">
        <v>98.0</v>
      </c>
      <c r="C1776" s="61">
        <v>98.0</v>
      </c>
      <c r="D1776" s="9">
        <f t="array" ref="D1776">xlookup(A1776,'données'!E$2:E$3608,'données'!K$2:K$3608)</f>
        <v>134.7</v>
      </c>
      <c r="E1776" s="5" t="b">
        <f t="shared" si="1"/>
        <v>0</v>
      </c>
    </row>
    <row r="1777">
      <c r="A1777" s="50" t="s">
        <v>2510</v>
      </c>
      <c r="B1777" s="61">
        <v>98.0</v>
      </c>
      <c r="C1777" s="61">
        <v>99.0</v>
      </c>
      <c r="D1777" s="9">
        <f t="array" ref="D1777">xlookup(A1777,'données'!E$2:E$3608,'données'!K$2:K$3608)</f>
        <v>108.5</v>
      </c>
      <c r="E1777" s="5" t="b">
        <f t="shared" si="1"/>
        <v>0</v>
      </c>
    </row>
    <row r="1778">
      <c r="A1778" s="50" t="s">
        <v>4277</v>
      </c>
      <c r="B1778" s="61">
        <v>98.0</v>
      </c>
      <c r="C1778" s="50"/>
      <c r="D1778" s="9">
        <f t="array" ref="D1778">xlookup(A1778,'données'!E$2:E$3608,'données'!K$2:K$3608)</f>
        <v>110.7</v>
      </c>
      <c r="E1778" s="5" t="b">
        <f t="shared" si="1"/>
        <v>0</v>
      </c>
    </row>
    <row r="1779">
      <c r="A1779" s="50" t="s">
        <v>7237</v>
      </c>
      <c r="B1779" s="61">
        <v>96.0</v>
      </c>
      <c r="C1779" s="61">
        <v>97.0</v>
      </c>
      <c r="D1779" s="9">
        <f t="array" ref="D1779">xlookup(A1779,'données'!E$2:E$3608,'données'!K$2:K$3608)</f>
        <v>108.9</v>
      </c>
      <c r="E1779" s="5" t="b">
        <f t="shared" si="1"/>
        <v>0</v>
      </c>
    </row>
    <row r="1780">
      <c r="A1780" s="50" t="s">
        <v>561</v>
      </c>
      <c r="B1780" s="61">
        <v>96.0</v>
      </c>
      <c r="C1780" s="61">
        <v>98.0</v>
      </c>
      <c r="D1780" s="9">
        <f t="array" ref="D1780">xlookup(A1780,'données'!E$2:E$3608,'données'!K$2:K$3608)</f>
        <v>121.8</v>
      </c>
      <c r="E1780" s="5" t="b">
        <f t="shared" si="1"/>
        <v>0</v>
      </c>
    </row>
    <row r="1781">
      <c r="A1781" s="50" t="s">
        <v>4275</v>
      </c>
      <c r="B1781" s="61">
        <v>97.0</v>
      </c>
      <c r="C1781" s="61">
        <v>98.0</v>
      </c>
      <c r="D1781" s="9">
        <f t="array" ref="D1781">xlookup(A1781,'données'!E$2:E$3608,'données'!K$2:K$3608)</f>
        <v>120.5</v>
      </c>
      <c r="E1781" s="5" t="b">
        <f t="shared" si="1"/>
        <v>0</v>
      </c>
    </row>
    <row r="1782">
      <c r="A1782" s="50" t="s">
        <v>554</v>
      </c>
      <c r="B1782" s="61">
        <v>97.0</v>
      </c>
      <c r="C1782" s="61">
        <v>97.0</v>
      </c>
      <c r="D1782" s="9">
        <f t="array" ref="D1782">xlookup(A1782,'données'!E$2:E$3608,'données'!K$2:K$3608)</f>
        <v>131.5</v>
      </c>
      <c r="E1782" s="5" t="b">
        <f t="shared" si="1"/>
        <v>0</v>
      </c>
    </row>
    <row r="1783">
      <c r="A1783" s="50" t="s">
        <v>552</v>
      </c>
      <c r="B1783" s="61">
        <v>99.0</v>
      </c>
      <c r="C1783" s="61">
        <v>100.0</v>
      </c>
      <c r="D1783" s="9">
        <f t="array" ref="D1783">xlookup(A1783,'données'!E$2:E$3608,'données'!K$2:K$3608)</f>
        <v>123.2</v>
      </c>
      <c r="E1783" s="5" t="b">
        <f t="shared" si="1"/>
        <v>0</v>
      </c>
    </row>
    <row r="1784">
      <c r="A1784" s="50" t="s">
        <v>2505</v>
      </c>
      <c r="B1784" s="61">
        <v>96.0</v>
      </c>
      <c r="C1784" s="61">
        <v>95.0</v>
      </c>
      <c r="D1784" s="9">
        <f t="array" ref="D1784">xlookup(A1784,'données'!E$2:E$3608,'données'!K$2:K$3608)</f>
        <v>127.9</v>
      </c>
      <c r="E1784" s="5" t="b">
        <f t="shared" si="1"/>
        <v>0</v>
      </c>
    </row>
    <row r="1785">
      <c r="A1785" s="50" t="s">
        <v>5791</v>
      </c>
      <c r="B1785" s="61">
        <v>99.0</v>
      </c>
      <c r="C1785" s="61">
        <v>100.0</v>
      </c>
      <c r="D1785" s="9">
        <f t="array" ref="D1785">xlookup(A1785,'données'!E$2:E$3608,'données'!K$2:K$3608)</f>
        <v>109.7</v>
      </c>
      <c r="E1785" s="5" t="b">
        <f t="shared" si="1"/>
        <v>0</v>
      </c>
    </row>
    <row r="1786">
      <c r="A1786" s="50" t="s">
        <v>543</v>
      </c>
      <c r="B1786" s="61">
        <v>97.0</v>
      </c>
      <c r="C1786" s="61">
        <v>97.0</v>
      </c>
      <c r="D1786" s="9">
        <f t="array" ref="D1786">xlookup(A1786,'données'!E$2:E$3608,'données'!K$2:K$3608)</f>
        <v>115.6</v>
      </c>
      <c r="E1786" s="5" t="b">
        <f t="shared" si="1"/>
        <v>0</v>
      </c>
    </row>
    <row r="1787">
      <c r="A1787" s="50" t="s">
        <v>7235</v>
      </c>
      <c r="B1787" s="61">
        <v>98.0</v>
      </c>
      <c r="C1787" s="61">
        <v>98.0</v>
      </c>
      <c r="D1787" s="9">
        <f t="array" ref="D1787">xlookup(A1787,'données'!E$2:E$3608,'données'!K$2:K$3608)</f>
        <v>113.8</v>
      </c>
      <c r="E1787" s="5" t="b">
        <f t="shared" si="1"/>
        <v>0</v>
      </c>
    </row>
    <row r="1788">
      <c r="A1788" s="50" t="s">
        <v>540</v>
      </c>
      <c r="B1788" s="61">
        <v>97.0</v>
      </c>
      <c r="C1788" s="61">
        <v>96.0</v>
      </c>
      <c r="D1788" s="9">
        <f t="array" ref="D1788">xlookup(A1788,'données'!E$2:E$3608,'données'!K$2:K$3608)</f>
        <v>111.4</v>
      </c>
      <c r="E1788" s="5" t="b">
        <f t="shared" si="1"/>
        <v>0</v>
      </c>
    </row>
    <row r="1789">
      <c r="A1789" s="50" t="s">
        <v>4273</v>
      </c>
      <c r="B1789" s="61">
        <v>98.0</v>
      </c>
      <c r="C1789" s="61">
        <v>99.0</v>
      </c>
      <c r="D1789" s="9">
        <f t="array" ref="D1789">xlookup(A1789,'données'!E$2:E$3608,'données'!K$2:K$3608)</f>
        <v>120.9</v>
      </c>
      <c r="E1789" s="5" t="b">
        <f t="shared" si="1"/>
        <v>0</v>
      </c>
    </row>
    <row r="1790">
      <c r="A1790" s="50" t="s">
        <v>2502</v>
      </c>
      <c r="B1790" s="61">
        <v>100.0</v>
      </c>
      <c r="C1790" s="61">
        <v>100.0</v>
      </c>
      <c r="D1790" s="9">
        <f t="array" ref="D1790">xlookup(A1790,'données'!E$2:E$3608,'données'!K$2:K$3608)</f>
        <v>130.7</v>
      </c>
      <c r="E1790" s="5" t="b">
        <f t="shared" si="1"/>
        <v>0</v>
      </c>
    </row>
    <row r="1791">
      <c r="A1791" s="50" t="s">
        <v>4268</v>
      </c>
      <c r="B1791" s="61">
        <v>98.0</v>
      </c>
      <c r="C1791" s="61">
        <v>99.0</v>
      </c>
      <c r="D1791" s="9">
        <f t="array" ref="D1791">xlookup(A1791,'données'!E$2:E$3608,'données'!K$2:K$3608)</f>
        <v>130.8</v>
      </c>
      <c r="E1791" s="5" t="b">
        <f t="shared" si="1"/>
        <v>0</v>
      </c>
    </row>
    <row r="1792">
      <c r="A1792" s="50" t="s">
        <v>4265</v>
      </c>
      <c r="B1792" s="61">
        <v>99.0</v>
      </c>
      <c r="C1792" s="61">
        <v>99.0</v>
      </c>
      <c r="D1792" s="9">
        <f t="array" ref="D1792">xlookup(A1792,'données'!E$2:E$3608,'données'!K$2:K$3608)</f>
        <v>122.8</v>
      </c>
      <c r="E1792" s="5" t="b">
        <f t="shared" si="1"/>
        <v>0</v>
      </c>
    </row>
    <row r="1793">
      <c r="A1793" s="50" t="s">
        <v>7232</v>
      </c>
      <c r="B1793" s="61">
        <v>96.0</v>
      </c>
      <c r="C1793" s="61">
        <v>99.0</v>
      </c>
      <c r="D1793" s="9">
        <f t="array" ref="D1793">xlookup(A1793,'données'!E$2:E$3608,'données'!K$2:K$3608)</f>
        <v>128.1</v>
      </c>
      <c r="E1793" s="5" t="b">
        <f t="shared" si="1"/>
        <v>0</v>
      </c>
    </row>
    <row r="1794">
      <c r="A1794" s="50" t="s">
        <v>536</v>
      </c>
      <c r="B1794" s="61">
        <v>100.0</v>
      </c>
      <c r="C1794" s="61">
        <v>100.0</v>
      </c>
      <c r="D1794" s="9">
        <f t="array" ref="D1794">xlookup(A1794,'données'!E$2:E$3608,'données'!K$2:K$3608)</f>
        <v>138.1</v>
      </c>
      <c r="E1794" s="5" t="b">
        <f t="shared" si="1"/>
        <v>0</v>
      </c>
    </row>
    <row r="1795">
      <c r="A1795" s="50" t="s">
        <v>2499</v>
      </c>
      <c r="B1795" s="61">
        <v>99.0</v>
      </c>
      <c r="C1795" s="61">
        <v>99.0</v>
      </c>
      <c r="D1795" s="9">
        <f t="array" ref="D1795">xlookup(A1795,'données'!E$2:E$3608,'données'!K$2:K$3608)</f>
        <v>129.2</v>
      </c>
      <c r="E1795" s="5" t="b">
        <f t="shared" si="1"/>
        <v>0</v>
      </c>
    </row>
    <row r="1796">
      <c r="A1796" s="50" t="s">
        <v>7229</v>
      </c>
      <c r="B1796" s="61">
        <v>98.0</v>
      </c>
      <c r="C1796" s="61">
        <v>98.0</v>
      </c>
      <c r="D1796" s="9">
        <f t="array" ref="D1796">xlookup(A1796,'données'!E$2:E$3608,'données'!K$2:K$3608)</f>
        <v>131.5</v>
      </c>
      <c r="E1796" s="5" t="b">
        <f t="shared" si="1"/>
        <v>0</v>
      </c>
    </row>
    <row r="1797">
      <c r="A1797" s="50" t="s">
        <v>4260</v>
      </c>
      <c r="B1797" s="61">
        <v>96.0</v>
      </c>
      <c r="C1797" s="61">
        <v>96.0</v>
      </c>
      <c r="D1797" s="9">
        <f t="array" ref="D1797">xlookup(A1797,'données'!E$2:E$3608,'données'!K$2:K$3608)</f>
        <v>127.9</v>
      </c>
      <c r="E1797" s="5" t="b">
        <f t="shared" si="1"/>
        <v>0</v>
      </c>
    </row>
    <row r="1798">
      <c r="A1798" s="50" t="s">
        <v>4258</v>
      </c>
      <c r="B1798" s="61">
        <v>100.0</v>
      </c>
      <c r="C1798" s="50"/>
      <c r="D1798" s="9">
        <f t="array" ref="D1798">xlookup(A1798,'données'!E$2:E$3608,'données'!K$2:K$3608)</f>
        <v>114.5</v>
      </c>
      <c r="E1798" s="5" t="b">
        <f t="shared" si="1"/>
        <v>0</v>
      </c>
    </row>
    <row r="1799">
      <c r="A1799" s="50" t="s">
        <v>5786</v>
      </c>
      <c r="B1799" s="61">
        <v>98.0</v>
      </c>
      <c r="C1799" s="61">
        <v>98.0</v>
      </c>
      <c r="D1799" s="9">
        <f t="array" ref="D1799">xlookup(A1799,'données'!E$2:E$3608,'données'!K$2:K$3608)</f>
        <v>122.6</v>
      </c>
      <c r="E1799" s="5" t="b">
        <f t="shared" si="1"/>
        <v>0</v>
      </c>
    </row>
    <row r="1800">
      <c r="A1800" s="50" t="s">
        <v>4255</v>
      </c>
      <c r="B1800" s="61">
        <v>99.0</v>
      </c>
      <c r="C1800" s="61">
        <v>100.0</v>
      </c>
      <c r="D1800" s="9">
        <f t="array" ref="D1800">xlookup(A1800,'données'!E$2:E$3608,'données'!K$2:K$3608)</f>
        <v>140.2</v>
      </c>
      <c r="E1800" s="5" t="b">
        <f t="shared" si="1"/>
        <v>0</v>
      </c>
    </row>
    <row r="1801">
      <c r="A1801" s="50" t="s">
        <v>4253</v>
      </c>
      <c r="B1801" s="61">
        <v>96.0</v>
      </c>
      <c r="C1801" s="61">
        <v>97.0</v>
      </c>
      <c r="D1801" s="9">
        <f t="array" ref="D1801">xlookup(A1801,'données'!E$2:E$3608,'données'!K$2:K$3608)</f>
        <v>112.8</v>
      </c>
      <c r="E1801" s="5" t="b">
        <f t="shared" si="1"/>
        <v>0</v>
      </c>
    </row>
    <row r="1802">
      <c r="A1802" s="50" t="s">
        <v>5784</v>
      </c>
      <c r="B1802" s="61">
        <v>98.0</v>
      </c>
      <c r="C1802" s="61">
        <v>100.0</v>
      </c>
      <c r="D1802" s="9">
        <f t="array" ref="D1802">xlookup(A1802,'données'!E$2:E$3608,'données'!K$2:K$3608)</f>
        <v>126.8</v>
      </c>
      <c r="E1802" s="5" t="b">
        <f t="shared" si="1"/>
        <v>0</v>
      </c>
    </row>
    <row r="1803">
      <c r="A1803" s="50" t="s">
        <v>4249</v>
      </c>
      <c r="B1803" s="61">
        <v>98.0</v>
      </c>
      <c r="C1803" s="61">
        <v>98.0</v>
      </c>
      <c r="D1803" s="9">
        <f t="array" ref="D1803">xlookup(A1803,'données'!E$2:E$3608,'données'!K$2:K$3608)</f>
        <v>119.3</v>
      </c>
      <c r="E1803" s="5" t="b">
        <f t="shared" si="1"/>
        <v>0</v>
      </c>
    </row>
    <row r="1804">
      <c r="A1804" s="50" t="s">
        <v>526</v>
      </c>
      <c r="B1804" s="61">
        <v>97.0</v>
      </c>
      <c r="C1804" s="61">
        <v>98.0</v>
      </c>
      <c r="D1804" s="9">
        <f t="array" ref="D1804">xlookup(A1804,'données'!E$2:E$3608,'données'!K$2:K$3608)</f>
        <v>111.1</v>
      </c>
      <c r="E1804" s="5" t="b">
        <f t="shared" si="1"/>
        <v>0</v>
      </c>
    </row>
    <row r="1805">
      <c r="A1805" s="50" t="s">
        <v>5779</v>
      </c>
      <c r="B1805" s="61">
        <v>100.0</v>
      </c>
      <c r="C1805" s="61">
        <v>100.0</v>
      </c>
      <c r="D1805" s="9">
        <f t="array" ref="D1805">xlookup(A1805,'données'!E$2:E$3608,'données'!K$2:K$3608)</f>
        <v>125.8</v>
      </c>
      <c r="E1805" s="5" t="b">
        <f t="shared" si="1"/>
        <v>0</v>
      </c>
    </row>
    <row r="1806">
      <c r="A1806" s="50" t="s">
        <v>524</v>
      </c>
      <c r="B1806" s="61">
        <v>97.0</v>
      </c>
      <c r="C1806" s="61">
        <v>97.0</v>
      </c>
      <c r="D1806" s="9">
        <f t="array" ref="D1806">xlookup(A1806,'données'!E$2:E$3608,'données'!K$2:K$3608)</f>
        <v>101.6</v>
      </c>
      <c r="E1806" s="5" t="b">
        <f t="shared" si="1"/>
        <v>0</v>
      </c>
    </row>
    <row r="1807">
      <c r="A1807" s="50" t="s">
        <v>5773</v>
      </c>
      <c r="B1807" s="61">
        <v>99.0</v>
      </c>
      <c r="C1807" s="61">
        <v>99.0</v>
      </c>
      <c r="D1807" s="9">
        <f t="array" ref="D1807">xlookup(A1807,'données'!E$2:E$3608,'données'!K$2:K$3608)</f>
        <v>125.4</v>
      </c>
      <c r="E1807" s="5" t="b">
        <f t="shared" si="1"/>
        <v>0</v>
      </c>
    </row>
    <row r="1808">
      <c r="A1808" s="50" t="s">
        <v>5771</v>
      </c>
      <c r="B1808" s="61">
        <v>100.0</v>
      </c>
      <c r="C1808" s="61">
        <v>100.0</v>
      </c>
      <c r="D1808" s="9">
        <f t="array" ref="D1808">xlookup(A1808,'données'!E$2:E$3608,'données'!K$2:K$3608)</f>
        <v>137.3</v>
      </c>
      <c r="E1808" s="5" t="b">
        <f t="shared" si="1"/>
        <v>0</v>
      </c>
    </row>
    <row r="1809">
      <c r="A1809" s="50" t="s">
        <v>4247</v>
      </c>
      <c r="B1809" s="61">
        <v>100.0</v>
      </c>
      <c r="C1809" s="61">
        <v>100.0</v>
      </c>
      <c r="D1809" s="9">
        <f t="array" ref="D1809">xlookup(A1809,'données'!E$2:E$3608,'données'!K$2:K$3608)</f>
        <v>143.1</v>
      </c>
      <c r="E1809" s="5" t="b">
        <f t="shared" si="1"/>
        <v>0</v>
      </c>
    </row>
    <row r="1810">
      <c r="A1810" s="50" t="s">
        <v>2495</v>
      </c>
      <c r="B1810" s="61">
        <v>100.0</v>
      </c>
      <c r="C1810" s="61">
        <v>100.0</v>
      </c>
      <c r="D1810" s="9">
        <f t="array" ref="D1810">xlookup(A1810,'données'!E$2:E$3608,'données'!K$2:K$3608)</f>
        <v>126.8</v>
      </c>
      <c r="E1810" s="5" t="b">
        <f t="shared" si="1"/>
        <v>0</v>
      </c>
    </row>
    <row r="1811">
      <c r="A1811" s="50" t="s">
        <v>4245</v>
      </c>
      <c r="B1811" s="61">
        <v>100.0</v>
      </c>
      <c r="C1811" s="61">
        <v>100.0</v>
      </c>
      <c r="D1811" s="9">
        <f t="array" ref="D1811">xlookup(A1811,'données'!E$2:E$3608,'données'!K$2:K$3608)</f>
        <v>138.3</v>
      </c>
      <c r="E1811" s="5" t="b">
        <f t="shared" si="1"/>
        <v>0</v>
      </c>
    </row>
    <row r="1812">
      <c r="A1812" s="50" t="s">
        <v>2493</v>
      </c>
      <c r="B1812" s="61">
        <v>100.0</v>
      </c>
      <c r="C1812" s="61">
        <v>100.0</v>
      </c>
      <c r="D1812" s="9">
        <f t="array" ref="D1812">xlookup(A1812,'données'!E$2:E$3608,'données'!K$2:K$3608)</f>
        <v>144.8</v>
      </c>
      <c r="E1812" s="5" t="b">
        <f t="shared" si="1"/>
        <v>0</v>
      </c>
    </row>
    <row r="1813">
      <c r="A1813" s="50" t="s">
        <v>2490</v>
      </c>
      <c r="B1813" s="61">
        <v>100.0</v>
      </c>
      <c r="C1813" s="61">
        <v>100.0</v>
      </c>
      <c r="D1813" s="9">
        <f t="array" ref="D1813">xlookup(A1813,'données'!E$2:E$3608,'données'!K$2:K$3608)</f>
        <v>138.6</v>
      </c>
      <c r="E1813" s="5" t="b">
        <f t="shared" si="1"/>
        <v>0</v>
      </c>
    </row>
    <row r="1814">
      <c r="A1814" s="50" t="s">
        <v>4243</v>
      </c>
      <c r="B1814" s="61">
        <v>100.0</v>
      </c>
      <c r="C1814" s="61">
        <v>100.0</v>
      </c>
      <c r="D1814" s="9">
        <f t="array" ref="D1814">xlookup(A1814,'données'!E$2:E$3608,'données'!K$2:K$3608)</f>
        <v>110.3</v>
      </c>
      <c r="E1814" s="5" t="b">
        <f t="shared" si="1"/>
        <v>0</v>
      </c>
    </row>
    <row r="1815">
      <c r="A1815" s="50" t="s">
        <v>7219</v>
      </c>
      <c r="B1815" s="61">
        <v>100.0</v>
      </c>
      <c r="C1815" s="61">
        <v>100.0</v>
      </c>
      <c r="D1815" s="9">
        <f t="array" ref="D1815">xlookup(A1815,'données'!E$2:E$3608,'données'!K$2:K$3608)</f>
        <v>145.2</v>
      </c>
      <c r="E1815" s="5" t="b">
        <f t="shared" si="1"/>
        <v>0</v>
      </c>
    </row>
    <row r="1816">
      <c r="A1816" s="50" t="s">
        <v>4239</v>
      </c>
      <c r="B1816" s="61">
        <v>97.0</v>
      </c>
      <c r="C1816" s="61">
        <v>97.0</v>
      </c>
      <c r="D1816" s="9">
        <f t="array" ref="D1816">xlookup(A1816,'données'!E$2:E$3608,'données'!K$2:K$3608)</f>
        <v>133.9</v>
      </c>
      <c r="E1816" s="5" t="b">
        <f t="shared" si="1"/>
        <v>0</v>
      </c>
    </row>
    <row r="1817">
      <c r="A1817" s="50" t="s">
        <v>7217</v>
      </c>
      <c r="B1817" s="61">
        <v>98.0</v>
      </c>
      <c r="C1817" s="50"/>
      <c r="D1817" s="9">
        <f t="array" ref="D1817">xlookup(A1817,'données'!E$2:E$3608,'données'!K$2:K$3608)</f>
        <v>124.4</v>
      </c>
      <c r="E1817" s="5" t="b">
        <f t="shared" si="1"/>
        <v>0</v>
      </c>
    </row>
    <row r="1818">
      <c r="A1818" s="50" t="s">
        <v>5765</v>
      </c>
      <c r="B1818" s="61">
        <v>95.0</v>
      </c>
      <c r="C1818" s="61">
        <v>95.0</v>
      </c>
      <c r="D1818" s="9">
        <f t="array" ref="D1818">xlookup(A1818,'données'!E$2:E$3608,'données'!K$2:K$3608)</f>
        <v>102.1</v>
      </c>
      <c r="E1818" s="5" t="b">
        <f t="shared" si="1"/>
        <v>0</v>
      </c>
    </row>
    <row r="1819">
      <c r="A1819" s="50" t="s">
        <v>5763</v>
      </c>
      <c r="B1819" s="61">
        <v>98.0</v>
      </c>
      <c r="C1819" s="61">
        <v>98.0</v>
      </c>
      <c r="D1819" s="9">
        <f t="array" ref="D1819">xlookup(A1819,'données'!E$2:E$3608,'données'!K$2:K$3608)</f>
        <v>138.8</v>
      </c>
      <c r="E1819" s="5" t="b">
        <f t="shared" si="1"/>
        <v>0</v>
      </c>
    </row>
    <row r="1820">
      <c r="A1820" s="50" t="s">
        <v>5761</v>
      </c>
      <c r="B1820" s="61">
        <v>96.0</v>
      </c>
      <c r="C1820" s="61">
        <v>98.0</v>
      </c>
      <c r="D1820" s="9">
        <f t="array" ref="D1820">xlookup(A1820,'données'!E$2:E$3608,'données'!K$2:K$3608)</f>
        <v>119.6</v>
      </c>
      <c r="E1820" s="5" t="b">
        <f t="shared" si="1"/>
        <v>0</v>
      </c>
    </row>
    <row r="1821">
      <c r="A1821" s="50" t="s">
        <v>2484</v>
      </c>
      <c r="B1821" s="61">
        <v>95.0</v>
      </c>
      <c r="C1821" s="61">
        <v>96.0</v>
      </c>
      <c r="D1821" s="9">
        <f t="array" ref="D1821">xlookup(A1821,'données'!E$2:E$3608,'données'!K$2:K$3608)</f>
        <v>118</v>
      </c>
      <c r="E1821" s="5" t="b">
        <f t="shared" si="1"/>
        <v>0</v>
      </c>
    </row>
    <row r="1822">
      <c r="A1822" s="50" t="s">
        <v>511</v>
      </c>
      <c r="B1822" s="61">
        <v>94.0</v>
      </c>
      <c r="C1822" s="61">
        <v>98.0</v>
      </c>
      <c r="D1822" s="9">
        <f t="array" ref="D1822">xlookup(A1822,'données'!E$2:E$3608,'données'!K$2:K$3608)</f>
        <v>130.6</v>
      </c>
      <c r="E1822" s="5" t="b">
        <f t="shared" si="1"/>
        <v>0</v>
      </c>
    </row>
    <row r="1823">
      <c r="A1823" s="50" t="s">
        <v>509</v>
      </c>
      <c r="B1823" s="61">
        <v>99.0</v>
      </c>
      <c r="C1823" s="61">
        <v>99.0</v>
      </c>
      <c r="D1823" s="9">
        <f t="array" ref="D1823">xlookup(A1823,'données'!E$2:E$3608,'données'!K$2:K$3608)</f>
        <v>139.4</v>
      </c>
      <c r="E1823" s="5" t="b">
        <f t="shared" si="1"/>
        <v>0</v>
      </c>
    </row>
    <row r="1824">
      <c r="A1824" s="50" t="s">
        <v>4236</v>
      </c>
      <c r="B1824" s="61">
        <v>97.0</v>
      </c>
      <c r="C1824" s="61">
        <v>97.0</v>
      </c>
      <c r="D1824" s="9">
        <f t="array" ref="D1824">xlookup(A1824,'données'!E$2:E$3608,'données'!K$2:K$3608)</f>
        <v>112.7</v>
      </c>
      <c r="E1824" s="5" t="b">
        <f t="shared" si="1"/>
        <v>0</v>
      </c>
    </row>
    <row r="1825">
      <c r="A1825" s="50" t="s">
        <v>4233</v>
      </c>
      <c r="B1825" s="61">
        <v>99.0</v>
      </c>
      <c r="C1825" s="61">
        <v>100.0</v>
      </c>
      <c r="D1825" s="9">
        <f t="array" ref="D1825">xlookup(A1825,'données'!E$2:E$3608,'données'!K$2:K$3608)</f>
        <v>119.5</v>
      </c>
      <c r="E1825" s="5" t="b">
        <f t="shared" si="1"/>
        <v>0</v>
      </c>
    </row>
    <row r="1826">
      <c r="A1826" s="50" t="s">
        <v>5759</v>
      </c>
      <c r="B1826" s="61">
        <v>95.0</v>
      </c>
      <c r="C1826" s="61">
        <v>98.0</v>
      </c>
      <c r="D1826" s="9">
        <f t="array" ref="D1826">xlookup(A1826,'données'!E$2:E$3608,'données'!K$2:K$3608)</f>
        <v>117.2</v>
      </c>
      <c r="E1826" s="5" t="b">
        <f t="shared" si="1"/>
        <v>0</v>
      </c>
    </row>
    <row r="1827">
      <c r="A1827" s="50" t="s">
        <v>4230</v>
      </c>
      <c r="B1827" s="61">
        <v>99.0</v>
      </c>
      <c r="C1827" s="61">
        <v>100.0</v>
      </c>
      <c r="D1827" s="9">
        <f t="array" ref="D1827">xlookup(A1827,'données'!E$2:E$3608,'données'!K$2:K$3608)</f>
        <v>111.6</v>
      </c>
      <c r="E1827" s="5" t="b">
        <f t="shared" si="1"/>
        <v>0</v>
      </c>
    </row>
    <row r="1828">
      <c r="A1828" s="50" t="s">
        <v>4227</v>
      </c>
      <c r="B1828" s="61">
        <v>96.0</v>
      </c>
      <c r="C1828" s="61">
        <v>97.0</v>
      </c>
      <c r="D1828" s="9">
        <f t="array" ref="D1828">xlookup(A1828,'données'!E$2:E$3608,'données'!K$2:K$3608)</f>
        <v>106.4</v>
      </c>
      <c r="E1828" s="5" t="b">
        <f t="shared" si="1"/>
        <v>0</v>
      </c>
    </row>
    <row r="1829">
      <c r="A1829" s="50" t="s">
        <v>4225</v>
      </c>
      <c r="B1829" s="61">
        <v>98.0</v>
      </c>
      <c r="C1829" s="61">
        <v>99.0</v>
      </c>
      <c r="D1829" s="9">
        <f t="array" ref="D1829">xlookup(A1829,'données'!E$2:E$3608,'données'!K$2:K$3608)</f>
        <v>125.4</v>
      </c>
      <c r="E1829" s="5" t="b">
        <f t="shared" si="1"/>
        <v>0</v>
      </c>
    </row>
    <row r="1830">
      <c r="A1830" s="50" t="s">
        <v>5756</v>
      </c>
      <c r="B1830" s="61">
        <v>98.0</v>
      </c>
      <c r="C1830" s="61">
        <v>99.0</v>
      </c>
      <c r="D1830" s="9">
        <f t="array" ref="D1830">xlookup(A1830,'données'!E$2:E$3608,'données'!K$2:K$3608)</f>
        <v>100.5</v>
      </c>
      <c r="E1830" s="5" t="b">
        <f t="shared" si="1"/>
        <v>0</v>
      </c>
    </row>
    <row r="1831">
      <c r="A1831" s="50" t="s">
        <v>7213</v>
      </c>
      <c r="B1831" s="61">
        <v>92.0</v>
      </c>
      <c r="C1831" s="61">
        <v>93.0</v>
      </c>
      <c r="D1831" s="9">
        <f t="array" ref="D1831">xlookup(A1831,'données'!E$2:E$3608,'données'!K$2:K$3608)</f>
        <v>101.7</v>
      </c>
      <c r="E1831" s="5" t="b">
        <f t="shared" si="1"/>
        <v>0</v>
      </c>
    </row>
    <row r="1832">
      <c r="A1832" s="50" t="s">
        <v>505</v>
      </c>
      <c r="B1832" s="61">
        <v>99.0</v>
      </c>
      <c r="C1832" s="61">
        <v>99.0</v>
      </c>
      <c r="D1832" s="9">
        <f t="array" ref="D1832">xlookup(A1832,'données'!E$2:E$3608,'données'!K$2:K$3608)</f>
        <v>111.6</v>
      </c>
      <c r="E1832" s="5" t="b">
        <f t="shared" si="1"/>
        <v>0</v>
      </c>
    </row>
    <row r="1833">
      <c r="A1833" s="50" t="s">
        <v>503</v>
      </c>
      <c r="B1833" s="61">
        <v>99.0</v>
      </c>
      <c r="C1833" s="61">
        <v>100.0</v>
      </c>
      <c r="D1833" s="9">
        <f t="array" ref="D1833">xlookup(A1833,'données'!E$2:E$3608,'données'!K$2:K$3608)</f>
        <v>101.4</v>
      </c>
      <c r="E1833" s="5" t="b">
        <f t="shared" si="1"/>
        <v>0</v>
      </c>
    </row>
    <row r="1834">
      <c r="A1834" s="50" t="s">
        <v>7209</v>
      </c>
      <c r="B1834" s="61">
        <v>99.0</v>
      </c>
      <c r="C1834" s="61">
        <v>98.0</v>
      </c>
      <c r="D1834" s="9">
        <f t="array" ref="D1834">xlookup(A1834,'données'!E$2:E$3608,'données'!K$2:K$3608)</f>
        <v>114.5</v>
      </c>
      <c r="E1834" s="5" t="b">
        <f t="shared" si="1"/>
        <v>0</v>
      </c>
    </row>
    <row r="1835">
      <c r="A1835" s="50" t="s">
        <v>501</v>
      </c>
      <c r="B1835" s="61">
        <v>100.0</v>
      </c>
      <c r="C1835" s="61">
        <v>100.0</v>
      </c>
      <c r="D1835" s="9">
        <f t="array" ref="D1835">xlookup(A1835,'données'!E$2:E$3608,'données'!K$2:K$3608)</f>
        <v>107.6</v>
      </c>
      <c r="E1835" s="5" t="b">
        <f t="shared" si="1"/>
        <v>0</v>
      </c>
    </row>
    <row r="1836">
      <c r="A1836" s="50" t="s">
        <v>499</v>
      </c>
      <c r="B1836" s="61">
        <v>99.0</v>
      </c>
      <c r="C1836" s="61">
        <v>99.0</v>
      </c>
      <c r="D1836" s="9">
        <f t="array" ref="D1836">xlookup(A1836,'données'!E$2:E$3608,'données'!K$2:K$3608)</f>
        <v>112.8</v>
      </c>
      <c r="E1836" s="5" t="b">
        <f t="shared" si="1"/>
        <v>0</v>
      </c>
    </row>
    <row r="1837">
      <c r="A1837" s="50" t="s">
        <v>2474</v>
      </c>
      <c r="B1837" s="61">
        <v>99.0</v>
      </c>
      <c r="C1837" s="61">
        <v>100.0</v>
      </c>
      <c r="D1837" s="9">
        <f t="array" ref="D1837">xlookup(A1837,'données'!E$2:E$3608,'données'!K$2:K$3608)</f>
        <v>118</v>
      </c>
      <c r="E1837" s="5" t="b">
        <f t="shared" si="1"/>
        <v>0</v>
      </c>
    </row>
    <row r="1838">
      <c r="A1838" s="50" t="s">
        <v>7206</v>
      </c>
      <c r="B1838" s="61">
        <v>98.0</v>
      </c>
      <c r="C1838" s="61">
        <v>99.0</v>
      </c>
      <c r="D1838" s="9">
        <f t="array" ref="D1838">xlookup(A1838,'données'!E$2:E$3608,'données'!K$2:K$3608)</f>
        <v>114</v>
      </c>
      <c r="E1838" s="5" t="b">
        <f t="shared" si="1"/>
        <v>0</v>
      </c>
    </row>
    <row r="1839">
      <c r="A1839" s="50" t="s">
        <v>494</v>
      </c>
      <c r="B1839" s="61">
        <v>98.0</v>
      </c>
      <c r="C1839" s="61">
        <v>98.0</v>
      </c>
      <c r="D1839" s="9">
        <f t="array" ref="D1839">xlookup(A1839,'données'!E$2:E$3608,'données'!K$2:K$3608)</f>
        <v>118.3</v>
      </c>
      <c r="E1839" s="5" t="b">
        <f t="shared" si="1"/>
        <v>0</v>
      </c>
    </row>
    <row r="1840">
      <c r="A1840" s="50" t="s">
        <v>5749</v>
      </c>
      <c r="B1840" s="61">
        <v>97.0</v>
      </c>
      <c r="C1840" s="61">
        <v>97.0</v>
      </c>
      <c r="D1840" s="9">
        <f t="array" ref="D1840">xlookup(A1840,'données'!E$2:E$3608,'données'!K$2:K$3608)</f>
        <v>107.2</v>
      </c>
      <c r="E1840" s="5" t="b">
        <f t="shared" si="1"/>
        <v>0</v>
      </c>
    </row>
    <row r="1841">
      <c r="A1841" s="50" t="s">
        <v>5747</v>
      </c>
      <c r="B1841" s="61">
        <v>95.0</v>
      </c>
      <c r="C1841" s="61">
        <v>99.0</v>
      </c>
      <c r="D1841" s="9">
        <f t="array" ref="D1841">xlookup(A1841,'données'!E$2:E$3608,'données'!K$2:K$3608)</f>
        <v>108.5</v>
      </c>
      <c r="E1841" s="5" t="b">
        <f t="shared" si="1"/>
        <v>0</v>
      </c>
    </row>
    <row r="1842">
      <c r="A1842" s="50" t="s">
        <v>488</v>
      </c>
      <c r="B1842" s="61">
        <v>96.0</v>
      </c>
      <c r="C1842" s="61">
        <v>96.0</v>
      </c>
      <c r="D1842" s="9">
        <f t="array" ref="D1842">xlookup(A1842,'données'!E$2:E$3608,'données'!K$2:K$3608)</f>
        <v>110.1</v>
      </c>
      <c r="E1842" s="5" t="b">
        <f t="shared" si="1"/>
        <v>0</v>
      </c>
    </row>
    <row r="1843">
      <c r="A1843" s="50" t="s">
        <v>5746</v>
      </c>
      <c r="B1843" s="61">
        <v>96.0</v>
      </c>
      <c r="C1843" s="61">
        <v>97.0</v>
      </c>
      <c r="D1843" s="9">
        <f t="array" ref="D1843">xlookup(A1843,'données'!E$2:E$3608,'données'!K$2:K$3608)</f>
        <v>116.1</v>
      </c>
      <c r="E1843" s="5" t="b">
        <f t="shared" si="1"/>
        <v>0</v>
      </c>
    </row>
    <row r="1844">
      <c r="A1844" s="50" t="s">
        <v>5744</v>
      </c>
      <c r="B1844" s="61">
        <v>94.0</v>
      </c>
      <c r="C1844" s="61">
        <v>97.0</v>
      </c>
      <c r="D1844" s="9">
        <f t="array" ref="D1844">xlookup(A1844,'données'!E$2:E$3608,'données'!K$2:K$3608)</f>
        <v>101.2</v>
      </c>
      <c r="E1844" s="5" t="b">
        <f t="shared" si="1"/>
        <v>0</v>
      </c>
    </row>
    <row r="1845">
      <c r="A1845" s="50" t="s">
        <v>481</v>
      </c>
      <c r="B1845" s="61">
        <v>100.0</v>
      </c>
      <c r="C1845" s="61">
        <v>100.0</v>
      </c>
      <c r="D1845" s="9">
        <f t="array" ref="D1845">xlookup(A1845,'données'!E$2:E$3608,'données'!K$2:K$3608)</f>
        <v>133.3</v>
      </c>
      <c r="E1845" s="5" t="b">
        <f t="shared" si="1"/>
        <v>0</v>
      </c>
    </row>
    <row r="1846">
      <c r="A1846" s="50" t="s">
        <v>7203</v>
      </c>
      <c r="B1846" s="61">
        <v>100.0</v>
      </c>
      <c r="C1846" s="61">
        <v>100.0</v>
      </c>
      <c r="D1846" s="9">
        <f t="array" ref="D1846">xlookup(A1846,'données'!E$2:E$3608,'données'!K$2:K$3608)</f>
        <v>110.4</v>
      </c>
      <c r="E1846" s="5" t="b">
        <f t="shared" si="1"/>
        <v>0</v>
      </c>
    </row>
    <row r="1847">
      <c r="A1847" s="50" t="s">
        <v>7202</v>
      </c>
      <c r="B1847" s="61">
        <v>100.0</v>
      </c>
      <c r="C1847" s="61">
        <v>100.0</v>
      </c>
      <c r="D1847" s="9">
        <f t="array" ref="D1847">xlookup(A1847,'données'!E$2:E$3608,'données'!K$2:K$3608)</f>
        <v>115.9</v>
      </c>
      <c r="E1847" s="5" t="b">
        <f t="shared" si="1"/>
        <v>0</v>
      </c>
    </row>
    <row r="1848">
      <c r="A1848" s="50" t="s">
        <v>4217</v>
      </c>
      <c r="B1848" s="61">
        <v>100.0</v>
      </c>
      <c r="C1848" s="50"/>
      <c r="D1848" s="9">
        <f t="array" ref="D1848">xlookup(A1848,'données'!E$2:E$3608,'données'!K$2:K$3608)</f>
        <v>113</v>
      </c>
      <c r="E1848" s="5" t="b">
        <f t="shared" si="1"/>
        <v>0</v>
      </c>
    </row>
    <row r="1849">
      <c r="A1849" s="50" t="s">
        <v>4215</v>
      </c>
      <c r="B1849" s="61">
        <v>99.0</v>
      </c>
      <c r="C1849" s="61">
        <v>99.0</v>
      </c>
      <c r="D1849" s="9">
        <f t="array" ref="D1849">xlookup(A1849,'données'!E$2:E$3608,'données'!K$2:K$3608)</f>
        <v>142.9</v>
      </c>
      <c r="E1849" s="5" t="b">
        <f t="shared" si="1"/>
        <v>0</v>
      </c>
    </row>
    <row r="1850">
      <c r="A1850" s="50" t="s">
        <v>5736</v>
      </c>
      <c r="B1850" s="61">
        <v>100.0</v>
      </c>
      <c r="C1850" s="61">
        <v>100.0</v>
      </c>
      <c r="D1850" s="9">
        <f t="array" ref="D1850">xlookup(A1850,'données'!E$2:E$3608,'données'!K$2:K$3608)</f>
        <v>129</v>
      </c>
      <c r="E1850" s="5" t="b">
        <f t="shared" si="1"/>
        <v>0</v>
      </c>
    </row>
    <row r="1851">
      <c r="A1851" s="50" t="s">
        <v>4213</v>
      </c>
      <c r="B1851" s="61">
        <v>100.0</v>
      </c>
      <c r="C1851" s="61">
        <v>100.0</v>
      </c>
      <c r="D1851" s="9">
        <f t="array" ref="D1851">xlookup(A1851,'données'!E$2:E$3608,'données'!K$2:K$3608)</f>
        <v>119.7</v>
      </c>
      <c r="E1851" s="5" t="b">
        <f t="shared" si="1"/>
        <v>0</v>
      </c>
    </row>
    <row r="1852">
      <c r="A1852" s="50" t="s">
        <v>5729</v>
      </c>
      <c r="B1852" s="61">
        <v>98.0</v>
      </c>
      <c r="C1852" s="61">
        <v>98.0</v>
      </c>
      <c r="D1852" s="9">
        <f t="array" ref="D1852">xlookup(A1852,'données'!E$2:E$3608,'données'!K$2:K$3608)</f>
        <v>106.9</v>
      </c>
      <c r="E1852" s="5" t="b">
        <f t="shared" si="1"/>
        <v>0</v>
      </c>
    </row>
    <row r="1853">
      <c r="A1853" s="50" t="s">
        <v>478</v>
      </c>
      <c r="B1853" s="61">
        <v>100.0</v>
      </c>
      <c r="C1853" s="61">
        <v>100.0</v>
      </c>
      <c r="D1853" s="9">
        <f t="array" ref="D1853">xlookup(A1853,'données'!E$2:E$3608,'données'!K$2:K$3608)</f>
        <v>101.2</v>
      </c>
      <c r="E1853" s="5" t="b">
        <f t="shared" si="1"/>
        <v>0</v>
      </c>
    </row>
    <row r="1854">
      <c r="A1854" s="50" t="s">
        <v>476</v>
      </c>
      <c r="B1854" s="61">
        <v>98.0</v>
      </c>
      <c r="C1854" s="50"/>
      <c r="D1854" s="9">
        <f t="array" ref="D1854">xlookup(A1854,'données'!E$2:E$3608,'données'!K$2:K$3608)</f>
        <v>109.9</v>
      </c>
      <c r="E1854" s="5" t="b">
        <f t="shared" si="1"/>
        <v>0</v>
      </c>
    </row>
    <row r="1855">
      <c r="A1855" s="50" t="s">
        <v>7200</v>
      </c>
      <c r="B1855" s="61">
        <v>98.0</v>
      </c>
      <c r="C1855" s="61">
        <v>98.0</v>
      </c>
      <c r="D1855" s="9">
        <f t="array" ref="D1855">xlookup(A1855,'données'!E$2:E$3608,'données'!K$2:K$3608)</f>
        <v>116</v>
      </c>
      <c r="E1855" s="5" t="b">
        <f t="shared" si="1"/>
        <v>0</v>
      </c>
    </row>
    <row r="1856">
      <c r="A1856" s="50" t="s">
        <v>5726</v>
      </c>
      <c r="B1856" s="61">
        <v>99.0</v>
      </c>
      <c r="C1856" s="61">
        <v>99.0</v>
      </c>
      <c r="D1856" s="9">
        <f t="array" ref="D1856">xlookup(A1856,'données'!E$2:E$3608,'données'!K$2:K$3608)</f>
        <v>110.2</v>
      </c>
      <c r="E1856" s="5" t="b">
        <f t="shared" si="1"/>
        <v>0</v>
      </c>
    </row>
    <row r="1857">
      <c r="A1857" s="50" t="s">
        <v>7198</v>
      </c>
      <c r="B1857" s="61">
        <v>99.0</v>
      </c>
      <c r="C1857" s="61">
        <v>98.0</v>
      </c>
      <c r="D1857" s="9">
        <f t="array" ref="D1857">xlookup(A1857,'données'!E$2:E$3608,'données'!K$2:K$3608)</f>
        <v>113.8</v>
      </c>
      <c r="E1857" s="5" t="b">
        <f t="shared" si="1"/>
        <v>0</v>
      </c>
    </row>
    <row r="1858">
      <c r="A1858" s="50" t="s">
        <v>472</v>
      </c>
      <c r="B1858" s="61">
        <v>99.0</v>
      </c>
      <c r="C1858" s="61">
        <v>99.0</v>
      </c>
      <c r="D1858" s="9">
        <f t="array" ref="D1858">xlookup(A1858,'données'!E$2:E$3608,'données'!K$2:K$3608)</f>
        <v>120.7</v>
      </c>
      <c r="E1858" s="5" t="b">
        <f t="shared" si="1"/>
        <v>0</v>
      </c>
    </row>
    <row r="1859">
      <c r="A1859" s="50" t="s">
        <v>5724</v>
      </c>
      <c r="B1859" s="61">
        <v>100.0</v>
      </c>
      <c r="C1859" s="61">
        <v>100.0</v>
      </c>
      <c r="D1859" s="9">
        <f t="array" ref="D1859">xlookup(A1859,'données'!E$2:E$3608,'données'!K$2:K$3608)</f>
        <v>127.1</v>
      </c>
      <c r="E1859" s="5" t="b">
        <f t="shared" si="1"/>
        <v>0</v>
      </c>
    </row>
    <row r="1860">
      <c r="A1860" s="50" t="s">
        <v>7197</v>
      </c>
      <c r="B1860" s="61">
        <v>100.0</v>
      </c>
      <c r="C1860" s="61">
        <v>100.0</v>
      </c>
      <c r="D1860" s="9">
        <f t="array" ref="D1860">xlookup(A1860,'données'!E$2:E$3608,'données'!K$2:K$3608)</f>
        <v>113.2</v>
      </c>
      <c r="E1860" s="5" t="b">
        <f t="shared" si="1"/>
        <v>0</v>
      </c>
    </row>
    <row r="1861">
      <c r="A1861" s="50" t="s">
        <v>469</v>
      </c>
      <c r="B1861" s="61">
        <v>99.0</v>
      </c>
      <c r="C1861" s="61">
        <v>99.0</v>
      </c>
      <c r="D1861" s="9">
        <f t="array" ref="D1861">xlookup(A1861,'données'!E$2:E$3608,'données'!K$2:K$3608)</f>
        <v>111.8</v>
      </c>
      <c r="E1861" s="5" t="b">
        <f t="shared" si="1"/>
        <v>0</v>
      </c>
    </row>
    <row r="1862">
      <c r="A1862" s="50" t="s">
        <v>2469</v>
      </c>
      <c r="B1862" s="61">
        <v>100.0</v>
      </c>
      <c r="C1862" s="61">
        <v>100.0</v>
      </c>
      <c r="D1862" s="9">
        <f t="array" ref="D1862">xlookup(A1862,'données'!E$2:E$3608,'données'!K$2:K$3608)</f>
        <v>115.6</v>
      </c>
      <c r="E1862" s="5" t="b">
        <f t="shared" si="1"/>
        <v>0</v>
      </c>
    </row>
    <row r="1863">
      <c r="A1863" s="50" t="s">
        <v>7195</v>
      </c>
      <c r="B1863" s="61">
        <v>99.0</v>
      </c>
      <c r="C1863" s="61">
        <v>100.0</v>
      </c>
      <c r="D1863" s="9">
        <f t="array" ref="D1863">xlookup(A1863,'données'!E$2:E$3608,'données'!K$2:K$3608)</f>
        <v>120.7</v>
      </c>
      <c r="E1863" s="5" t="b">
        <f t="shared" si="1"/>
        <v>0</v>
      </c>
    </row>
    <row r="1864">
      <c r="A1864" s="50" t="s">
        <v>4210</v>
      </c>
      <c r="B1864" s="61">
        <v>100.0</v>
      </c>
      <c r="C1864" s="61">
        <v>100.0</v>
      </c>
      <c r="D1864" s="9">
        <f t="array" ref="D1864">xlookup(A1864,'données'!E$2:E$3608,'données'!K$2:K$3608)</f>
        <v>110.3</v>
      </c>
      <c r="E1864" s="5" t="b">
        <f t="shared" si="1"/>
        <v>0</v>
      </c>
    </row>
    <row r="1865">
      <c r="A1865" s="50" t="s">
        <v>2464</v>
      </c>
      <c r="B1865" s="61">
        <v>91.0</v>
      </c>
      <c r="C1865" s="50"/>
      <c r="D1865" s="9">
        <f t="array" ref="D1865">xlookup(A1865,'données'!E$2:E$3608,'données'!K$2:K$3608)</f>
        <v>97.4</v>
      </c>
      <c r="E1865" s="5" t="b">
        <f t="shared" si="1"/>
        <v>0</v>
      </c>
    </row>
    <row r="1866">
      <c r="A1866" s="50" t="s">
        <v>7193</v>
      </c>
      <c r="B1866" s="61">
        <v>97.0</v>
      </c>
      <c r="C1866" s="61">
        <v>96.0</v>
      </c>
      <c r="D1866" s="9">
        <f t="array" ref="D1866">xlookup(A1866,'données'!E$2:E$3608,'données'!K$2:K$3608)</f>
        <v>111.5</v>
      </c>
      <c r="E1866" s="5" t="b">
        <f t="shared" si="1"/>
        <v>0</v>
      </c>
    </row>
    <row r="1867">
      <c r="A1867" s="50" t="s">
        <v>4205</v>
      </c>
      <c r="B1867" s="61">
        <v>99.0</v>
      </c>
      <c r="C1867" s="61">
        <v>98.0</v>
      </c>
      <c r="D1867" s="9">
        <f t="array" ref="D1867">xlookup(A1867,'données'!E$2:E$3608,'données'!K$2:K$3608)</f>
        <v>115.5</v>
      </c>
      <c r="E1867" s="5" t="b">
        <f t="shared" si="1"/>
        <v>0</v>
      </c>
    </row>
    <row r="1868">
      <c r="A1868" s="50" t="s">
        <v>7188</v>
      </c>
      <c r="B1868" s="61">
        <v>100.0</v>
      </c>
      <c r="C1868" s="61">
        <v>100.0</v>
      </c>
      <c r="D1868" s="9">
        <f t="array" ref="D1868">xlookup(A1868,'données'!E$2:E$3608,'données'!K$2:K$3608)</f>
        <v>113.3</v>
      </c>
      <c r="E1868" s="5" t="b">
        <f t="shared" si="1"/>
        <v>0</v>
      </c>
    </row>
    <row r="1869">
      <c r="A1869" s="50" t="s">
        <v>464</v>
      </c>
      <c r="B1869" s="61">
        <v>97.0</v>
      </c>
      <c r="C1869" s="50"/>
      <c r="D1869" s="9">
        <f t="array" ref="D1869">xlookup(A1869,'données'!E$2:E$3608,'données'!K$2:K$3608)</f>
        <v>101.6</v>
      </c>
      <c r="E1869" s="5" t="b">
        <f t="shared" si="1"/>
        <v>0</v>
      </c>
    </row>
    <row r="1870">
      <c r="A1870" s="50" t="s">
        <v>5720</v>
      </c>
      <c r="B1870" s="61">
        <v>100.0</v>
      </c>
      <c r="C1870" s="61">
        <v>100.0</v>
      </c>
      <c r="D1870" s="9">
        <f t="array" ref="D1870">xlookup(A1870,'données'!E$2:E$3608,'données'!K$2:K$3608)</f>
        <v>124.6</v>
      </c>
      <c r="E1870" s="5" t="b">
        <f t="shared" si="1"/>
        <v>0</v>
      </c>
    </row>
    <row r="1871">
      <c r="A1871" s="50" t="s">
        <v>461</v>
      </c>
      <c r="B1871" s="61">
        <v>100.0</v>
      </c>
      <c r="C1871" s="61">
        <v>100.0</v>
      </c>
      <c r="D1871" s="9">
        <f t="array" ref="D1871">xlookup(A1871,'données'!E$2:E$3608,'données'!K$2:K$3608)</f>
        <v>119.3</v>
      </c>
      <c r="E1871" s="5" t="b">
        <f t="shared" si="1"/>
        <v>0</v>
      </c>
    </row>
    <row r="1872">
      <c r="A1872" s="50" t="s">
        <v>2461</v>
      </c>
      <c r="B1872" s="61">
        <v>98.0</v>
      </c>
      <c r="C1872" s="61">
        <v>98.0</v>
      </c>
      <c r="D1872" s="9">
        <f t="array" ref="D1872">xlookup(A1872,'données'!E$2:E$3608,'données'!K$2:K$3608)</f>
        <v>114.4</v>
      </c>
      <c r="E1872" s="5" t="b">
        <f t="shared" si="1"/>
        <v>0</v>
      </c>
    </row>
    <row r="1873">
      <c r="A1873" s="50" t="s">
        <v>458</v>
      </c>
      <c r="B1873" s="61">
        <v>98.0</v>
      </c>
      <c r="C1873" s="61">
        <v>100.0</v>
      </c>
      <c r="D1873" s="9">
        <f t="array" ref="D1873">xlookup(A1873,'données'!E$2:E$3608,'données'!K$2:K$3608)</f>
        <v>121.2</v>
      </c>
      <c r="E1873" s="5" t="b">
        <f t="shared" si="1"/>
        <v>0</v>
      </c>
    </row>
    <row r="1874">
      <c r="A1874" s="50" t="s">
        <v>4203</v>
      </c>
      <c r="B1874" s="61">
        <v>97.0</v>
      </c>
      <c r="C1874" s="61">
        <v>98.0</v>
      </c>
      <c r="D1874" s="9">
        <f t="array" ref="D1874">xlookup(A1874,'données'!E$2:E$3608,'données'!K$2:K$3608)</f>
        <v>115.1</v>
      </c>
      <c r="E1874" s="5" t="b">
        <f t="shared" si="1"/>
        <v>0</v>
      </c>
    </row>
    <row r="1875">
      <c r="A1875" s="50" t="s">
        <v>4200</v>
      </c>
      <c r="B1875" s="61">
        <v>99.0</v>
      </c>
      <c r="C1875" s="61">
        <v>100.0</v>
      </c>
      <c r="D1875" s="9">
        <f t="array" ref="D1875">xlookup(A1875,'données'!E$2:E$3608,'données'!K$2:K$3608)</f>
        <v>117</v>
      </c>
      <c r="E1875" s="5" t="b">
        <f t="shared" si="1"/>
        <v>0</v>
      </c>
    </row>
    <row r="1876">
      <c r="A1876" s="50" t="s">
        <v>455</v>
      </c>
      <c r="B1876" s="61">
        <v>99.0</v>
      </c>
      <c r="C1876" s="61">
        <v>99.0</v>
      </c>
      <c r="D1876" s="9">
        <f t="array" ref="D1876">xlookup(A1876,'données'!E$2:E$3608,'données'!K$2:K$3608)</f>
        <v>110.8</v>
      </c>
      <c r="E1876" s="5" t="b">
        <f t="shared" si="1"/>
        <v>0</v>
      </c>
    </row>
    <row r="1877">
      <c r="A1877" s="50" t="s">
        <v>452</v>
      </c>
      <c r="B1877" s="61">
        <v>99.0</v>
      </c>
      <c r="C1877" s="61">
        <v>100.0</v>
      </c>
      <c r="D1877" s="9">
        <f t="array" ref="D1877">xlookup(A1877,'données'!E$2:E$3608,'données'!K$2:K$3608)</f>
        <v>107.8</v>
      </c>
      <c r="E1877" s="5" t="b">
        <f t="shared" si="1"/>
        <v>0</v>
      </c>
    </row>
    <row r="1878">
      <c r="A1878" s="50" t="s">
        <v>5718</v>
      </c>
      <c r="B1878" s="61">
        <v>97.0</v>
      </c>
      <c r="C1878" s="61">
        <v>97.0</v>
      </c>
      <c r="D1878" s="9">
        <f t="array" ref="D1878">xlookup(A1878,'données'!E$2:E$3608,'données'!K$2:K$3608)</f>
        <v>107.7</v>
      </c>
      <c r="E1878" s="5" t="b">
        <f t="shared" si="1"/>
        <v>0</v>
      </c>
    </row>
    <row r="1879">
      <c r="A1879" s="50" t="s">
        <v>4199</v>
      </c>
      <c r="B1879" s="61">
        <v>99.0</v>
      </c>
      <c r="C1879" s="61">
        <v>100.0</v>
      </c>
      <c r="D1879" s="9">
        <f t="array" ref="D1879">xlookup(A1879,'données'!E$2:E$3608,'données'!K$2:K$3608)</f>
        <v>119.8</v>
      </c>
      <c r="E1879" s="5" t="b">
        <f t="shared" si="1"/>
        <v>0</v>
      </c>
    </row>
    <row r="1880">
      <c r="A1880" s="50" t="s">
        <v>2459</v>
      </c>
      <c r="B1880" s="61">
        <v>97.0</v>
      </c>
      <c r="C1880" s="61">
        <v>97.0</v>
      </c>
      <c r="D1880" s="9">
        <f t="array" ref="D1880">xlookup(A1880,'données'!E$2:E$3608,'données'!K$2:K$3608)</f>
        <v>118.9</v>
      </c>
      <c r="E1880" s="5" t="b">
        <f t="shared" si="1"/>
        <v>0</v>
      </c>
    </row>
    <row r="1881">
      <c r="A1881" s="50" t="s">
        <v>450</v>
      </c>
      <c r="B1881" s="61">
        <v>100.0</v>
      </c>
      <c r="C1881" s="61">
        <v>100.0</v>
      </c>
      <c r="D1881" s="9">
        <f t="array" ref="D1881">xlookup(A1881,'données'!E$2:E$3608,'données'!K$2:K$3608)</f>
        <v>126.3</v>
      </c>
      <c r="E1881" s="5" t="b">
        <f t="shared" si="1"/>
        <v>0</v>
      </c>
    </row>
    <row r="1882">
      <c r="A1882" s="50" t="s">
        <v>447</v>
      </c>
      <c r="B1882" s="61">
        <v>98.0</v>
      </c>
      <c r="C1882" s="61">
        <v>99.0</v>
      </c>
      <c r="D1882" s="9">
        <f t="array" ref="D1882">xlookup(A1882,'données'!E$2:E$3608,'données'!K$2:K$3608)</f>
        <v>123.7</v>
      </c>
      <c r="E1882" s="5" t="b">
        <f t="shared" si="1"/>
        <v>0</v>
      </c>
    </row>
    <row r="1883">
      <c r="A1883" s="50" t="s">
        <v>2457</v>
      </c>
      <c r="B1883" s="61">
        <v>99.0</v>
      </c>
      <c r="C1883" s="61">
        <v>99.0</v>
      </c>
      <c r="D1883" s="9">
        <f t="array" ref="D1883">xlookup(A1883,'données'!E$2:E$3608,'données'!K$2:K$3608)</f>
        <v>123.4</v>
      </c>
      <c r="E1883" s="5" t="b">
        <f t="shared" si="1"/>
        <v>0</v>
      </c>
    </row>
    <row r="1884">
      <c r="A1884" s="50" t="s">
        <v>2454</v>
      </c>
      <c r="B1884" s="61">
        <v>97.0</v>
      </c>
      <c r="C1884" s="61">
        <v>97.0</v>
      </c>
      <c r="D1884" s="9">
        <f t="array" ref="D1884">xlookup(A1884,'données'!E$2:E$3608,'données'!K$2:K$3608)</f>
        <v>108.4</v>
      </c>
      <c r="E1884" s="5" t="b">
        <f t="shared" si="1"/>
        <v>0</v>
      </c>
    </row>
    <row r="1885">
      <c r="A1885" s="50" t="s">
        <v>5716</v>
      </c>
      <c r="B1885" s="61">
        <v>99.0</v>
      </c>
      <c r="C1885" s="61">
        <v>99.0</v>
      </c>
      <c r="D1885" s="9">
        <f t="array" ref="D1885">xlookup(A1885,'données'!E$2:E$3608,'données'!K$2:K$3608)</f>
        <v>111.1</v>
      </c>
      <c r="E1885" s="5" t="b">
        <f t="shared" si="1"/>
        <v>0</v>
      </c>
    </row>
    <row r="1886">
      <c r="A1886" s="50" t="s">
        <v>444</v>
      </c>
      <c r="B1886" s="61">
        <v>98.0</v>
      </c>
      <c r="C1886" s="61">
        <v>98.0</v>
      </c>
      <c r="D1886" s="9">
        <f t="array" ref="D1886">xlookup(A1886,'données'!E$2:E$3608,'données'!K$2:K$3608)</f>
        <v>133.3</v>
      </c>
      <c r="E1886" s="5" t="b">
        <f t="shared" si="1"/>
        <v>0</v>
      </c>
    </row>
    <row r="1887">
      <c r="A1887" s="50" t="s">
        <v>5713</v>
      </c>
      <c r="B1887" s="61">
        <v>100.0</v>
      </c>
      <c r="C1887" s="61">
        <v>100.0</v>
      </c>
      <c r="D1887" s="9">
        <f t="array" ref="D1887">xlookup(A1887,'données'!E$2:E$3608,'données'!K$2:K$3608)</f>
        <v>134.4</v>
      </c>
      <c r="E1887" s="5" t="b">
        <f t="shared" si="1"/>
        <v>0</v>
      </c>
    </row>
    <row r="1888">
      <c r="A1888" s="50" t="s">
        <v>4189</v>
      </c>
      <c r="B1888" s="61">
        <v>96.0</v>
      </c>
      <c r="C1888" s="61">
        <v>97.0</v>
      </c>
      <c r="D1888" s="9">
        <f t="array" ref="D1888">xlookup(A1888,'données'!E$2:E$3608,'données'!K$2:K$3608)</f>
        <v>113.7</v>
      </c>
      <c r="E1888" s="5" t="b">
        <f t="shared" si="1"/>
        <v>0</v>
      </c>
    </row>
    <row r="1889">
      <c r="A1889" s="50" t="s">
        <v>441</v>
      </c>
      <c r="B1889" s="61">
        <v>99.0</v>
      </c>
      <c r="C1889" s="61">
        <v>99.0</v>
      </c>
      <c r="D1889" s="9">
        <f t="array" ref="D1889">xlookup(A1889,'données'!E$2:E$3608,'données'!K$2:K$3608)</f>
        <v>113.2</v>
      </c>
      <c r="E1889" s="5" t="b">
        <f t="shared" si="1"/>
        <v>0</v>
      </c>
    </row>
    <row r="1890">
      <c r="A1890" s="50" t="s">
        <v>7184</v>
      </c>
      <c r="B1890" s="61">
        <v>98.0</v>
      </c>
      <c r="C1890" s="61">
        <v>99.0</v>
      </c>
      <c r="D1890" s="9">
        <f t="array" ref="D1890">xlookup(A1890,'données'!E$2:E$3608,'données'!K$2:K$3608)</f>
        <v>107.5</v>
      </c>
      <c r="E1890" s="5" t="b">
        <f t="shared" si="1"/>
        <v>0</v>
      </c>
    </row>
    <row r="1891">
      <c r="A1891" s="50" t="s">
        <v>7182</v>
      </c>
      <c r="B1891" s="61">
        <v>97.0</v>
      </c>
      <c r="C1891" s="61">
        <v>99.0</v>
      </c>
      <c r="D1891" s="9">
        <f t="array" ref="D1891">xlookup(A1891,'données'!E$2:E$3608,'données'!K$2:K$3608)</f>
        <v>103.9</v>
      </c>
      <c r="E1891" s="5" t="b">
        <f t="shared" si="1"/>
        <v>0</v>
      </c>
    </row>
    <row r="1892">
      <c r="A1892" s="50" t="s">
        <v>2448</v>
      </c>
      <c r="B1892" s="61">
        <v>97.0</v>
      </c>
      <c r="C1892" s="61">
        <v>99.0</v>
      </c>
      <c r="D1892" s="9">
        <f t="array" ref="D1892">xlookup(A1892,'données'!E$2:E$3608,'données'!K$2:K$3608)</f>
        <v>105.5</v>
      </c>
      <c r="E1892" s="5" t="b">
        <f t="shared" si="1"/>
        <v>0</v>
      </c>
    </row>
    <row r="1893">
      <c r="A1893" s="50" t="s">
        <v>435</v>
      </c>
      <c r="B1893" s="61">
        <v>98.0</v>
      </c>
      <c r="C1893" s="61">
        <v>98.0</v>
      </c>
      <c r="D1893" s="9">
        <f t="array" ref="D1893">xlookup(A1893,'données'!E$2:E$3608,'données'!K$2:K$3608)</f>
        <v>128</v>
      </c>
      <c r="E1893" s="5" t="b">
        <f t="shared" si="1"/>
        <v>0</v>
      </c>
    </row>
    <row r="1894">
      <c r="A1894" s="50" t="s">
        <v>432</v>
      </c>
      <c r="B1894" s="61">
        <v>100.0</v>
      </c>
      <c r="C1894" s="50"/>
      <c r="D1894" s="9">
        <f t="array" ref="D1894">xlookup(A1894,'données'!E$2:E$3608,'données'!K$2:K$3608)</f>
        <v>99.3</v>
      </c>
      <c r="E1894" s="5" t="b">
        <f t="shared" si="1"/>
        <v>0</v>
      </c>
    </row>
    <row r="1895">
      <c r="A1895" s="50" t="s">
        <v>2445</v>
      </c>
      <c r="B1895" s="61">
        <v>99.0</v>
      </c>
      <c r="C1895" s="61">
        <v>100.0</v>
      </c>
      <c r="D1895" s="9">
        <f t="array" ref="D1895">xlookup(A1895,'données'!E$2:E$3608,'données'!K$2:K$3608)</f>
        <v>105.8</v>
      </c>
      <c r="E1895" s="5" t="b">
        <f t="shared" si="1"/>
        <v>0</v>
      </c>
    </row>
    <row r="1896">
      <c r="A1896" s="50" t="s">
        <v>7176</v>
      </c>
      <c r="B1896" s="61">
        <v>87.0</v>
      </c>
      <c r="C1896" s="61">
        <v>89.0</v>
      </c>
      <c r="D1896" s="9">
        <f t="array" ref="D1896">xlookup(A1896,'données'!E$2:E$3608,'données'!K$2:K$3608)</f>
        <v>105</v>
      </c>
      <c r="E1896" s="5" t="b">
        <f t="shared" si="1"/>
        <v>0</v>
      </c>
    </row>
    <row r="1897">
      <c r="A1897" s="50" t="s">
        <v>2442</v>
      </c>
      <c r="B1897" s="61">
        <v>95.0</v>
      </c>
      <c r="C1897" s="61">
        <v>96.0</v>
      </c>
      <c r="D1897" s="9">
        <f t="array" ref="D1897">xlookup(A1897,'données'!E$2:E$3608,'données'!K$2:K$3608)</f>
        <v>108.7</v>
      </c>
      <c r="E1897" s="5" t="b">
        <f t="shared" si="1"/>
        <v>0</v>
      </c>
    </row>
    <row r="1898">
      <c r="A1898" s="50" t="s">
        <v>2440</v>
      </c>
      <c r="B1898" s="61">
        <v>95.0</v>
      </c>
      <c r="C1898" s="61">
        <v>97.0</v>
      </c>
      <c r="D1898" s="9">
        <f t="array" ref="D1898">xlookup(A1898,'données'!E$2:E$3608,'données'!K$2:K$3608)</f>
        <v>116.1</v>
      </c>
      <c r="E1898" s="5" t="b">
        <f t="shared" si="1"/>
        <v>0</v>
      </c>
    </row>
    <row r="1899">
      <c r="A1899" s="50" t="s">
        <v>4184</v>
      </c>
      <c r="B1899" s="61">
        <v>97.0</v>
      </c>
      <c r="C1899" s="61">
        <v>97.0</v>
      </c>
      <c r="D1899" s="9">
        <f t="array" ref="D1899">xlookup(A1899,'données'!E$2:E$3608,'données'!K$2:K$3608)</f>
        <v>113.7</v>
      </c>
      <c r="E1899" s="5" t="b">
        <f t="shared" si="1"/>
        <v>0</v>
      </c>
    </row>
    <row r="1900">
      <c r="A1900" s="50" t="s">
        <v>7174</v>
      </c>
      <c r="B1900" s="61">
        <v>99.0</v>
      </c>
      <c r="C1900" s="61">
        <v>100.0</v>
      </c>
      <c r="D1900" s="9">
        <f t="array" ref="D1900">xlookup(A1900,'données'!E$2:E$3608,'données'!K$2:K$3608)</f>
        <v>110.4</v>
      </c>
      <c r="E1900" s="5" t="b">
        <f t="shared" si="1"/>
        <v>0</v>
      </c>
    </row>
    <row r="1901">
      <c r="A1901" s="50" t="s">
        <v>4182</v>
      </c>
      <c r="B1901" s="61">
        <v>96.0</v>
      </c>
      <c r="C1901" s="61">
        <v>100.0</v>
      </c>
      <c r="D1901" s="9">
        <f t="array" ref="D1901">xlookup(A1901,'données'!E$2:E$3608,'données'!K$2:K$3608)</f>
        <v>116.3</v>
      </c>
      <c r="E1901" s="5" t="b">
        <f t="shared" si="1"/>
        <v>0</v>
      </c>
    </row>
    <row r="1902">
      <c r="A1902" s="50" t="s">
        <v>2434</v>
      </c>
      <c r="B1902" s="61">
        <v>99.0</v>
      </c>
      <c r="C1902" s="61">
        <v>99.0</v>
      </c>
      <c r="D1902" s="9">
        <f t="array" ref="D1902">xlookup(A1902,'données'!E$2:E$3608,'données'!K$2:K$3608)</f>
        <v>128.4</v>
      </c>
      <c r="E1902" s="5" t="b">
        <f t="shared" si="1"/>
        <v>0</v>
      </c>
    </row>
    <row r="1903">
      <c r="A1903" s="50" t="s">
        <v>427</v>
      </c>
      <c r="B1903" s="61">
        <v>98.0</v>
      </c>
      <c r="C1903" s="61">
        <v>98.0</v>
      </c>
      <c r="D1903" s="9">
        <f t="array" ref="D1903">xlookup(A1903,'données'!E$2:E$3608,'données'!K$2:K$3608)</f>
        <v>132.7</v>
      </c>
      <c r="E1903" s="5" t="b">
        <f t="shared" si="1"/>
        <v>0</v>
      </c>
    </row>
    <row r="1904">
      <c r="A1904" s="50" t="s">
        <v>424</v>
      </c>
      <c r="B1904" s="61">
        <v>98.0</v>
      </c>
      <c r="C1904" s="61">
        <v>100.0</v>
      </c>
      <c r="D1904" s="9">
        <f t="array" ref="D1904">xlookup(A1904,'données'!E$2:E$3608,'données'!K$2:K$3608)</f>
        <v>120.7</v>
      </c>
      <c r="E1904" s="5" t="b">
        <f t="shared" si="1"/>
        <v>0</v>
      </c>
    </row>
    <row r="1905">
      <c r="A1905" s="50" t="s">
        <v>5706</v>
      </c>
      <c r="B1905" s="61">
        <v>97.0</v>
      </c>
      <c r="C1905" s="61">
        <v>97.0</v>
      </c>
      <c r="D1905" s="9">
        <f t="array" ref="D1905">xlookup(A1905,'données'!E$2:E$3608,'données'!K$2:K$3608)</f>
        <v>114.9</v>
      </c>
      <c r="E1905" s="5" t="b">
        <f t="shared" si="1"/>
        <v>0</v>
      </c>
    </row>
    <row r="1906">
      <c r="A1906" s="50" t="s">
        <v>5704</v>
      </c>
      <c r="B1906" s="61">
        <v>98.0</v>
      </c>
      <c r="C1906" s="61">
        <v>97.0</v>
      </c>
      <c r="D1906" s="9">
        <f t="array" ref="D1906">xlookup(A1906,'données'!E$2:E$3608,'données'!K$2:K$3608)</f>
        <v>110.3</v>
      </c>
      <c r="E1906" s="5" t="b">
        <f t="shared" si="1"/>
        <v>0</v>
      </c>
    </row>
    <row r="1907">
      <c r="A1907" s="50" t="s">
        <v>421</v>
      </c>
      <c r="B1907" s="61">
        <v>95.0</v>
      </c>
      <c r="C1907" s="61">
        <v>98.0</v>
      </c>
      <c r="D1907" s="9">
        <f t="array" ref="D1907">xlookup(A1907,'données'!E$2:E$3608,'données'!K$2:K$3608)</f>
        <v>111.1</v>
      </c>
      <c r="E1907" s="5" t="b">
        <f t="shared" si="1"/>
        <v>0</v>
      </c>
    </row>
    <row r="1908">
      <c r="A1908" s="50" t="s">
        <v>2428</v>
      </c>
      <c r="B1908" s="61">
        <v>97.0</v>
      </c>
      <c r="C1908" s="61">
        <v>97.0</v>
      </c>
      <c r="D1908" s="9">
        <f t="array" ref="D1908">xlookup(A1908,'données'!E$2:E$3608,'données'!K$2:K$3608)</f>
        <v>104.2</v>
      </c>
      <c r="E1908" s="5" t="b">
        <f t="shared" si="1"/>
        <v>0</v>
      </c>
    </row>
    <row r="1909">
      <c r="A1909" s="50" t="s">
        <v>4180</v>
      </c>
      <c r="B1909" s="61">
        <v>96.0</v>
      </c>
      <c r="C1909" s="61">
        <v>98.0</v>
      </c>
      <c r="D1909" s="9">
        <f t="array" ref="D1909">xlookup(A1909,'données'!E$2:E$3608,'données'!K$2:K$3608)</f>
        <v>119.8</v>
      </c>
      <c r="E1909" s="5" t="b">
        <f t="shared" si="1"/>
        <v>0</v>
      </c>
    </row>
    <row r="1910">
      <c r="A1910" s="50" t="s">
        <v>418</v>
      </c>
      <c r="B1910" s="61">
        <v>95.0</v>
      </c>
      <c r="C1910" s="61">
        <v>97.0</v>
      </c>
      <c r="D1910" s="9">
        <f t="array" ref="D1910">xlookup(A1910,'données'!E$2:E$3608,'données'!K$2:K$3608)</f>
        <v>104.8</v>
      </c>
      <c r="E1910" s="5" t="b">
        <f t="shared" si="1"/>
        <v>0</v>
      </c>
    </row>
    <row r="1911">
      <c r="A1911" s="50" t="s">
        <v>2425</v>
      </c>
      <c r="B1911" s="61">
        <v>97.0</v>
      </c>
      <c r="C1911" s="61">
        <v>98.0</v>
      </c>
      <c r="D1911" s="9">
        <f t="array" ref="D1911">xlookup(A1911,'données'!E$2:E$3608,'données'!K$2:K$3608)</f>
        <v>106.4</v>
      </c>
      <c r="E1911" s="5" t="b">
        <f t="shared" si="1"/>
        <v>0</v>
      </c>
    </row>
    <row r="1912">
      <c r="A1912" s="50" t="s">
        <v>4178</v>
      </c>
      <c r="B1912" s="61">
        <v>93.0</v>
      </c>
      <c r="C1912" s="61">
        <v>97.0</v>
      </c>
      <c r="D1912" s="9">
        <f t="array" ref="D1912">xlookup(A1912,'données'!E$2:E$3608,'données'!K$2:K$3608)</f>
        <v>113.9</v>
      </c>
      <c r="E1912" s="5" t="b">
        <f t="shared" si="1"/>
        <v>0</v>
      </c>
    </row>
    <row r="1913">
      <c r="A1913" s="50" t="s">
        <v>414</v>
      </c>
      <c r="B1913" s="61">
        <v>96.0</v>
      </c>
      <c r="C1913" s="61">
        <v>96.0</v>
      </c>
      <c r="D1913" s="9">
        <f t="array" ref="D1913">xlookup(A1913,'données'!E$2:E$3608,'données'!K$2:K$3608)</f>
        <v>100.5</v>
      </c>
      <c r="E1913" s="5" t="b">
        <f t="shared" si="1"/>
        <v>0</v>
      </c>
    </row>
    <row r="1914">
      <c r="A1914" s="50" t="s">
        <v>5699</v>
      </c>
      <c r="B1914" s="61">
        <v>95.0</v>
      </c>
      <c r="C1914" s="61">
        <v>98.0</v>
      </c>
      <c r="D1914" s="9">
        <f t="array" ref="D1914">xlookup(A1914,'données'!E$2:E$3608,'données'!K$2:K$3608)</f>
        <v>99.3</v>
      </c>
      <c r="E1914" s="5" t="b">
        <f t="shared" si="1"/>
        <v>0</v>
      </c>
    </row>
    <row r="1915">
      <c r="A1915" s="50" t="s">
        <v>5697</v>
      </c>
      <c r="B1915" s="61">
        <v>96.0</v>
      </c>
      <c r="C1915" s="61">
        <v>100.0</v>
      </c>
      <c r="D1915" s="9">
        <f t="array" ref="D1915">xlookup(A1915,'données'!E$2:E$3608,'données'!K$2:K$3608)</f>
        <v>110.1</v>
      </c>
      <c r="E1915" s="5" t="b">
        <f t="shared" si="1"/>
        <v>0</v>
      </c>
    </row>
    <row r="1916">
      <c r="A1916" s="50" t="s">
        <v>4171</v>
      </c>
      <c r="B1916" s="61">
        <v>97.0</v>
      </c>
      <c r="C1916" s="50"/>
      <c r="D1916" s="9">
        <f t="array" ref="D1916">xlookup(A1916,'données'!E$2:E$3608,'données'!K$2:K$3608)</f>
        <v>115.4</v>
      </c>
      <c r="E1916" s="5" t="b">
        <f t="shared" si="1"/>
        <v>0</v>
      </c>
    </row>
    <row r="1917">
      <c r="A1917" s="50" t="s">
        <v>4170</v>
      </c>
      <c r="B1917" s="61">
        <v>100.0</v>
      </c>
      <c r="C1917" s="61">
        <v>100.0</v>
      </c>
      <c r="D1917" s="9">
        <f t="array" ref="D1917">xlookup(A1917,'données'!E$2:E$3608,'données'!K$2:K$3608)</f>
        <v>120.8</v>
      </c>
      <c r="E1917" s="5" t="b">
        <f t="shared" si="1"/>
        <v>0</v>
      </c>
    </row>
    <row r="1918">
      <c r="A1918" s="50" t="s">
        <v>412</v>
      </c>
      <c r="B1918" s="61">
        <v>100.0</v>
      </c>
      <c r="C1918" s="61">
        <v>100.0</v>
      </c>
      <c r="D1918" s="9">
        <f t="array" ref="D1918">xlookup(A1918,'données'!E$2:E$3608,'données'!K$2:K$3608)</f>
        <v>125.9</v>
      </c>
      <c r="E1918" s="5" t="b">
        <f t="shared" si="1"/>
        <v>0</v>
      </c>
    </row>
    <row r="1919">
      <c r="A1919" s="50" t="s">
        <v>5694</v>
      </c>
      <c r="B1919" s="61">
        <v>100.0</v>
      </c>
      <c r="C1919" s="61">
        <v>100.0</v>
      </c>
      <c r="D1919" s="9">
        <f t="array" ref="D1919">xlookup(A1919,'données'!E$2:E$3608,'données'!K$2:K$3608)</f>
        <v>124.1</v>
      </c>
      <c r="E1919" s="5" t="b">
        <f t="shared" si="1"/>
        <v>0</v>
      </c>
    </row>
    <row r="1920">
      <c r="A1920" s="50" t="s">
        <v>5692</v>
      </c>
      <c r="B1920" s="61">
        <v>100.0</v>
      </c>
      <c r="C1920" s="61">
        <v>100.0</v>
      </c>
      <c r="D1920" s="9">
        <f t="array" ref="D1920">xlookup(A1920,'données'!E$2:E$3608,'données'!K$2:K$3608)</f>
        <v>111.8</v>
      </c>
      <c r="E1920" s="5" t="b">
        <f t="shared" si="1"/>
        <v>0</v>
      </c>
    </row>
    <row r="1921">
      <c r="A1921" s="50" t="s">
        <v>2417</v>
      </c>
      <c r="B1921" s="61">
        <v>100.0</v>
      </c>
      <c r="C1921" s="61">
        <v>100.0</v>
      </c>
      <c r="D1921" s="9">
        <f t="array" ref="D1921">xlookup(A1921,'données'!E$2:E$3608,'données'!K$2:K$3608)</f>
        <v>129.9</v>
      </c>
      <c r="E1921" s="5" t="b">
        <f t="shared" si="1"/>
        <v>0</v>
      </c>
    </row>
    <row r="1922">
      <c r="A1922" s="50" t="s">
        <v>4167</v>
      </c>
      <c r="B1922" s="61">
        <v>99.0</v>
      </c>
      <c r="C1922" s="61">
        <v>99.0</v>
      </c>
      <c r="D1922" s="9">
        <f t="array" ref="D1922">xlookup(A1922,'données'!E$2:E$3608,'données'!K$2:K$3608)</f>
        <v>138.2</v>
      </c>
      <c r="E1922" s="5" t="b">
        <f t="shared" si="1"/>
        <v>0</v>
      </c>
    </row>
    <row r="1923">
      <c r="A1923" s="50" t="s">
        <v>2415</v>
      </c>
      <c r="B1923" s="61">
        <v>96.0</v>
      </c>
      <c r="C1923" s="61">
        <v>96.0</v>
      </c>
      <c r="D1923" s="9">
        <f t="array" ref="D1923">xlookup(A1923,'données'!E$2:E$3608,'données'!K$2:K$3608)</f>
        <v>122.8</v>
      </c>
      <c r="E1923" s="5" t="b">
        <f t="shared" si="1"/>
        <v>0</v>
      </c>
    </row>
    <row r="1924">
      <c r="A1924" s="50" t="s">
        <v>409</v>
      </c>
      <c r="B1924" s="61">
        <v>97.0</v>
      </c>
      <c r="C1924" s="61">
        <v>97.0</v>
      </c>
      <c r="D1924" s="9">
        <f t="array" ref="D1924">xlookup(A1924,'données'!E$2:E$3608,'données'!K$2:K$3608)</f>
        <v>118.5</v>
      </c>
      <c r="E1924" s="5" t="b">
        <f t="shared" si="1"/>
        <v>0</v>
      </c>
    </row>
    <row r="1925">
      <c r="A1925" s="50" t="s">
        <v>2412</v>
      </c>
      <c r="B1925" s="61">
        <v>93.0</v>
      </c>
      <c r="C1925" s="61">
        <v>96.0</v>
      </c>
      <c r="D1925" s="9">
        <f t="array" ref="D1925">xlookup(A1925,'données'!E$2:E$3608,'données'!K$2:K$3608)</f>
        <v>108.6</v>
      </c>
      <c r="E1925" s="5" t="b">
        <f t="shared" si="1"/>
        <v>0</v>
      </c>
    </row>
    <row r="1926">
      <c r="A1926" s="50" t="s">
        <v>7166</v>
      </c>
      <c r="B1926" s="61">
        <v>98.0</v>
      </c>
      <c r="C1926" s="61">
        <v>98.0</v>
      </c>
      <c r="D1926" s="9">
        <f t="array" ref="D1926">xlookup(A1926,'données'!E$2:E$3608,'données'!K$2:K$3608)</f>
        <v>117.7</v>
      </c>
      <c r="E1926" s="5" t="b">
        <f t="shared" si="1"/>
        <v>0</v>
      </c>
    </row>
    <row r="1927">
      <c r="A1927" s="50" t="s">
        <v>406</v>
      </c>
      <c r="B1927" s="61">
        <v>96.0</v>
      </c>
      <c r="C1927" s="61">
        <v>97.0</v>
      </c>
      <c r="D1927" s="9">
        <f t="array" ref="D1927">xlookup(A1927,'données'!E$2:E$3608,'données'!K$2:K$3608)</f>
        <v>106.3</v>
      </c>
      <c r="E1927" s="5" t="b">
        <f t="shared" si="1"/>
        <v>0</v>
      </c>
    </row>
    <row r="1928">
      <c r="A1928" s="50" t="s">
        <v>2409</v>
      </c>
      <c r="B1928" s="61">
        <v>97.0</v>
      </c>
      <c r="C1928" s="61">
        <v>99.0</v>
      </c>
      <c r="D1928" s="9">
        <f t="array" ref="D1928">xlookup(A1928,'données'!E$2:E$3608,'données'!K$2:K$3608)</f>
        <v>107.8</v>
      </c>
      <c r="E1928" s="5" t="b">
        <f t="shared" si="1"/>
        <v>0</v>
      </c>
    </row>
    <row r="1929">
      <c r="A1929" s="50" t="s">
        <v>5688</v>
      </c>
      <c r="B1929" s="61">
        <v>99.0</v>
      </c>
      <c r="C1929" s="61">
        <v>99.0</v>
      </c>
      <c r="D1929" s="9">
        <f t="array" ref="D1929">xlookup(A1929,'données'!E$2:E$3608,'données'!K$2:K$3608)</f>
        <v>115.6</v>
      </c>
      <c r="E1929" s="5" t="b">
        <f t="shared" si="1"/>
        <v>0</v>
      </c>
    </row>
    <row r="1930">
      <c r="A1930" s="50" t="s">
        <v>2406</v>
      </c>
      <c r="B1930" s="61">
        <v>96.0</v>
      </c>
      <c r="C1930" s="61">
        <v>96.0</v>
      </c>
      <c r="D1930" s="9">
        <f t="array" ref="D1930">xlookup(A1930,'données'!E$2:E$3608,'données'!K$2:K$3608)</f>
        <v>128.7</v>
      </c>
      <c r="E1930" s="5" t="b">
        <f t="shared" si="1"/>
        <v>0</v>
      </c>
    </row>
    <row r="1931">
      <c r="A1931" s="50" t="s">
        <v>403</v>
      </c>
      <c r="B1931" s="61">
        <v>96.0</v>
      </c>
      <c r="C1931" s="61">
        <v>96.0</v>
      </c>
      <c r="D1931" s="9">
        <f t="array" ref="D1931">xlookup(A1931,'données'!E$2:E$3608,'données'!K$2:K$3608)</f>
        <v>124.5</v>
      </c>
      <c r="E1931" s="5" t="b">
        <f t="shared" si="1"/>
        <v>0</v>
      </c>
    </row>
    <row r="1932">
      <c r="A1932" s="50" t="s">
        <v>2404</v>
      </c>
      <c r="B1932" s="61">
        <v>96.0</v>
      </c>
      <c r="C1932" s="61">
        <v>97.0</v>
      </c>
      <c r="D1932" s="9">
        <f t="array" ref="D1932">xlookup(A1932,'données'!E$2:E$3608,'données'!K$2:K$3608)</f>
        <v>100.9</v>
      </c>
      <c r="E1932" s="5" t="b">
        <f t="shared" si="1"/>
        <v>0</v>
      </c>
    </row>
    <row r="1933">
      <c r="A1933" s="50" t="s">
        <v>7164</v>
      </c>
      <c r="B1933" s="61">
        <v>93.0</v>
      </c>
      <c r="C1933" s="61">
        <v>94.0</v>
      </c>
      <c r="D1933" s="9">
        <f t="array" ref="D1933">xlookup(A1933,'données'!E$2:E$3608,'données'!K$2:K$3608)</f>
        <v>120.4</v>
      </c>
      <c r="E1933" s="5" t="b">
        <f t="shared" si="1"/>
        <v>0</v>
      </c>
    </row>
    <row r="1934">
      <c r="A1934" s="50" t="s">
        <v>5685</v>
      </c>
      <c r="B1934" s="61">
        <v>99.0</v>
      </c>
      <c r="C1934" s="61">
        <v>99.0</v>
      </c>
      <c r="D1934" s="9">
        <f t="array" ref="D1934">xlookup(A1934,'données'!E$2:E$3608,'données'!K$2:K$3608)</f>
        <v>111</v>
      </c>
      <c r="E1934" s="5" t="b">
        <f t="shared" si="1"/>
        <v>0</v>
      </c>
    </row>
    <row r="1935">
      <c r="A1935" s="50" t="s">
        <v>5681</v>
      </c>
      <c r="B1935" s="61">
        <v>99.0</v>
      </c>
      <c r="C1935" s="61">
        <v>99.0</v>
      </c>
      <c r="D1935" s="9">
        <f t="array" ref="D1935">xlookup(A1935,'données'!E$2:E$3608,'données'!K$2:K$3608)</f>
        <v>125.6</v>
      </c>
      <c r="E1935" s="5" t="b">
        <f t="shared" si="1"/>
        <v>0</v>
      </c>
    </row>
    <row r="1936">
      <c r="A1936" s="50" t="s">
        <v>4163</v>
      </c>
      <c r="B1936" s="61">
        <v>100.0</v>
      </c>
      <c r="C1936" s="61">
        <v>100.0</v>
      </c>
      <c r="D1936" s="9">
        <f t="array" ref="D1936">xlookup(A1936,'données'!E$2:E$3608,'données'!K$2:K$3608)</f>
        <v>112.6</v>
      </c>
      <c r="E1936" s="5" t="b">
        <f t="shared" si="1"/>
        <v>0</v>
      </c>
    </row>
    <row r="1937">
      <c r="A1937" s="50" t="s">
        <v>4161</v>
      </c>
      <c r="B1937" s="61">
        <v>97.0</v>
      </c>
      <c r="C1937" s="61">
        <v>97.0</v>
      </c>
      <c r="D1937" s="9">
        <f t="array" ref="D1937">xlookup(A1937,'données'!E$2:E$3608,'données'!K$2:K$3608)</f>
        <v>124.8</v>
      </c>
      <c r="E1937" s="5" t="b">
        <f t="shared" si="1"/>
        <v>0</v>
      </c>
    </row>
    <row r="1938">
      <c r="A1938" s="50" t="s">
        <v>2398</v>
      </c>
      <c r="B1938" s="61">
        <v>98.0</v>
      </c>
      <c r="C1938" s="61">
        <v>98.0</v>
      </c>
      <c r="D1938" s="9">
        <f t="array" ref="D1938">xlookup(A1938,'données'!E$2:E$3608,'données'!K$2:K$3608)</f>
        <v>102.4</v>
      </c>
      <c r="E1938" s="5" t="b">
        <f t="shared" si="1"/>
        <v>0</v>
      </c>
    </row>
    <row r="1939">
      <c r="A1939" s="50" t="s">
        <v>397</v>
      </c>
      <c r="B1939" s="61">
        <v>97.0</v>
      </c>
      <c r="C1939" s="61">
        <v>98.0</v>
      </c>
      <c r="D1939" s="9">
        <f t="array" ref="D1939">xlookup(A1939,'données'!E$2:E$3608,'données'!K$2:K$3608)</f>
        <v>111.6</v>
      </c>
      <c r="E1939" s="5" t="b">
        <f t="shared" si="1"/>
        <v>0</v>
      </c>
    </row>
    <row r="1940">
      <c r="A1940" s="50" t="s">
        <v>7154</v>
      </c>
      <c r="B1940" s="61">
        <v>97.0</v>
      </c>
      <c r="C1940" s="61">
        <v>97.0</v>
      </c>
      <c r="D1940" s="9">
        <f t="array" ref="D1940">xlookup(A1940,'données'!E$2:E$3608,'données'!K$2:K$3608)</f>
        <v>109.8</v>
      </c>
      <c r="E1940" s="5" t="b">
        <f t="shared" si="1"/>
        <v>0</v>
      </c>
    </row>
    <row r="1941">
      <c r="A1941" s="50" t="s">
        <v>2394</v>
      </c>
      <c r="B1941" s="61">
        <v>97.0</v>
      </c>
      <c r="C1941" s="61">
        <v>98.0</v>
      </c>
      <c r="D1941" s="9">
        <f t="array" ref="D1941">xlookup(A1941,'données'!E$2:E$3608,'données'!K$2:K$3608)</f>
        <v>123.1</v>
      </c>
      <c r="E1941" s="5" t="b">
        <f t="shared" si="1"/>
        <v>0</v>
      </c>
    </row>
    <row r="1942">
      <c r="A1942" s="50" t="s">
        <v>7152</v>
      </c>
      <c r="B1942" s="61">
        <v>95.0</v>
      </c>
      <c r="C1942" s="61">
        <v>96.0</v>
      </c>
      <c r="D1942" s="9">
        <f t="array" ref="D1942">xlookup(A1942,'données'!E$2:E$3608,'données'!K$2:K$3608)</f>
        <v>112.5</v>
      </c>
      <c r="E1942" s="5" t="b">
        <f t="shared" si="1"/>
        <v>0</v>
      </c>
    </row>
    <row r="1943">
      <c r="A1943" s="50" t="s">
        <v>7151</v>
      </c>
      <c r="B1943" s="61">
        <v>93.0</v>
      </c>
      <c r="C1943" s="61">
        <v>93.0</v>
      </c>
      <c r="D1943" s="9">
        <f t="array" ref="D1943">xlookup(A1943,'données'!E$2:E$3608,'données'!K$2:K$3608)</f>
        <v>122.7</v>
      </c>
      <c r="E1943" s="5" t="b">
        <f t="shared" si="1"/>
        <v>0</v>
      </c>
    </row>
    <row r="1944">
      <c r="A1944" s="50" t="s">
        <v>2393</v>
      </c>
      <c r="B1944" s="61">
        <v>95.0</v>
      </c>
      <c r="C1944" s="61">
        <v>95.0</v>
      </c>
      <c r="D1944" s="9">
        <f t="array" ref="D1944">xlookup(A1944,'données'!E$2:E$3608,'données'!K$2:K$3608)</f>
        <v>110.6</v>
      </c>
      <c r="E1944" s="5" t="b">
        <f t="shared" si="1"/>
        <v>0</v>
      </c>
    </row>
    <row r="1945">
      <c r="A1945" s="50" t="s">
        <v>5676</v>
      </c>
      <c r="B1945" s="61">
        <v>98.0</v>
      </c>
      <c r="C1945" s="61">
        <v>98.0</v>
      </c>
      <c r="D1945" s="9">
        <f t="array" ref="D1945">xlookup(A1945,'données'!E$2:E$3608,'données'!K$2:K$3608)</f>
        <v>113.1</v>
      </c>
      <c r="E1945" s="5" t="b">
        <f t="shared" si="1"/>
        <v>0</v>
      </c>
    </row>
    <row r="1946">
      <c r="A1946" s="50" t="s">
        <v>390</v>
      </c>
      <c r="B1946" s="61">
        <v>99.0</v>
      </c>
      <c r="C1946" s="61">
        <v>99.0</v>
      </c>
      <c r="D1946" s="9">
        <f t="array" ref="D1946">xlookup(A1946,'données'!E$2:E$3608,'données'!K$2:K$3608)</f>
        <v>108.9</v>
      </c>
      <c r="E1946" s="5" t="b">
        <f t="shared" si="1"/>
        <v>0</v>
      </c>
    </row>
    <row r="1947">
      <c r="A1947" s="50" t="s">
        <v>2392</v>
      </c>
      <c r="B1947" s="61">
        <v>100.0</v>
      </c>
      <c r="C1947" s="61">
        <v>100.0</v>
      </c>
      <c r="D1947" s="9">
        <f t="array" ref="D1947">xlookup(A1947,'données'!E$2:E$3608,'données'!K$2:K$3608)</f>
        <v>124</v>
      </c>
      <c r="E1947" s="5" t="b">
        <f t="shared" si="1"/>
        <v>0</v>
      </c>
    </row>
    <row r="1948">
      <c r="A1948" s="50" t="s">
        <v>4155</v>
      </c>
      <c r="B1948" s="61">
        <v>98.0</v>
      </c>
      <c r="C1948" s="61">
        <v>97.0</v>
      </c>
      <c r="D1948" s="9">
        <f t="array" ref="D1948">xlookup(A1948,'données'!E$2:E$3608,'données'!K$2:K$3608)</f>
        <v>111.3</v>
      </c>
      <c r="E1948" s="5" t="b">
        <f t="shared" si="1"/>
        <v>0</v>
      </c>
    </row>
    <row r="1949">
      <c r="A1949" s="50" t="s">
        <v>7142</v>
      </c>
      <c r="B1949" s="61">
        <v>98.0</v>
      </c>
      <c r="C1949" s="61">
        <v>99.0</v>
      </c>
      <c r="D1949" s="9">
        <f t="array" ref="D1949">xlookup(A1949,'données'!E$2:E$3608,'données'!K$2:K$3608)</f>
        <v>112.1</v>
      </c>
      <c r="E1949" s="5" t="b">
        <f t="shared" si="1"/>
        <v>0</v>
      </c>
    </row>
    <row r="1950">
      <c r="A1950" s="50" t="s">
        <v>5674</v>
      </c>
      <c r="B1950" s="61">
        <v>95.0</v>
      </c>
      <c r="C1950" s="61">
        <v>95.0</v>
      </c>
      <c r="D1950" s="9">
        <f t="array" ref="D1950">xlookup(A1950,'données'!E$2:E$3608,'données'!K$2:K$3608)</f>
        <v>103.8</v>
      </c>
      <c r="E1950" s="5" t="b">
        <f t="shared" si="1"/>
        <v>0</v>
      </c>
    </row>
    <row r="1951">
      <c r="A1951" s="50" t="s">
        <v>2385</v>
      </c>
      <c r="B1951" s="61">
        <v>99.0</v>
      </c>
      <c r="C1951" s="61">
        <v>100.0</v>
      </c>
      <c r="D1951" s="9">
        <f t="array" ref="D1951">xlookup(A1951,'données'!E$2:E$3608,'données'!K$2:K$3608)</f>
        <v>118.3</v>
      </c>
      <c r="E1951" s="5" t="b">
        <f t="shared" si="1"/>
        <v>0</v>
      </c>
    </row>
    <row r="1952">
      <c r="A1952" s="50" t="s">
        <v>2382</v>
      </c>
      <c r="B1952" s="61">
        <v>97.0</v>
      </c>
      <c r="C1952" s="61">
        <v>97.0</v>
      </c>
      <c r="D1952" s="9">
        <f t="array" ref="D1952">xlookup(A1952,'données'!E$2:E$3608,'données'!K$2:K$3608)</f>
        <v>111.7</v>
      </c>
      <c r="E1952" s="5" t="b">
        <f t="shared" si="1"/>
        <v>0</v>
      </c>
    </row>
    <row r="1953">
      <c r="A1953" s="50" t="s">
        <v>4151</v>
      </c>
      <c r="B1953" s="61">
        <v>97.0</v>
      </c>
      <c r="C1953" s="61">
        <v>99.0</v>
      </c>
      <c r="D1953" s="9">
        <f t="array" ref="D1953">xlookup(A1953,'données'!E$2:E$3608,'données'!K$2:K$3608)</f>
        <v>117.4</v>
      </c>
      <c r="E1953" s="5" t="b">
        <f t="shared" si="1"/>
        <v>0</v>
      </c>
    </row>
    <row r="1954">
      <c r="A1954" s="50" t="s">
        <v>382</v>
      </c>
      <c r="B1954" s="61">
        <v>97.0</v>
      </c>
      <c r="C1954" s="61">
        <v>97.0</v>
      </c>
      <c r="D1954" s="9">
        <f t="array" ref="D1954">xlookup(A1954,'données'!E$2:E$3608,'données'!K$2:K$3608)</f>
        <v>109.1</v>
      </c>
      <c r="E1954" s="5" t="b">
        <f t="shared" si="1"/>
        <v>0</v>
      </c>
    </row>
    <row r="1955">
      <c r="A1955" s="50" t="s">
        <v>379</v>
      </c>
      <c r="B1955" s="61">
        <v>100.0</v>
      </c>
      <c r="C1955" s="61">
        <v>100.0</v>
      </c>
      <c r="D1955" s="9">
        <f t="array" ref="D1955">xlookup(A1955,'données'!E$2:E$3608,'données'!K$2:K$3608)</f>
        <v>107.9</v>
      </c>
      <c r="E1955" s="5" t="b">
        <f t="shared" si="1"/>
        <v>0</v>
      </c>
    </row>
    <row r="1956">
      <c r="A1956" s="50" t="s">
        <v>2374</v>
      </c>
      <c r="B1956" s="61">
        <v>97.0</v>
      </c>
      <c r="C1956" s="61">
        <v>98.0</v>
      </c>
      <c r="D1956" s="9">
        <f t="array" ref="D1956">xlookup(A1956,'données'!E$2:E$3608,'données'!K$2:K$3608)</f>
        <v>110.9</v>
      </c>
      <c r="E1956" s="5" t="b">
        <f t="shared" si="1"/>
        <v>0</v>
      </c>
    </row>
    <row r="1957">
      <c r="A1957" s="50" t="s">
        <v>4149</v>
      </c>
      <c r="B1957" s="61">
        <v>93.0</v>
      </c>
      <c r="C1957" s="61">
        <v>91.0</v>
      </c>
      <c r="D1957" s="9">
        <f t="array" ref="D1957">xlookup(A1957,'données'!E$2:E$3608,'données'!K$2:K$3608)</f>
        <v>115.4</v>
      </c>
      <c r="E1957" s="5" t="b">
        <f t="shared" si="1"/>
        <v>0</v>
      </c>
    </row>
    <row r="1958">
      <c r="A1958" s="50" t="s">
        <v>374</v>
      </c>
      <c r="B1958" s="61">
        <v>97.0</v>
      </c>
      <c r="C1958" s="61">
        <v>96.0</v>
      </c>
      <c r="D1958" s="9">
        <f t="array" ref="D1958">xlookup(A1958,'données'!E$2:E$3608,'données'!K$2:K$3608)</f>
        <v>114.2</v>
      </c>
      <c r="E1958" s="5" t="b">
        <f t="shared" si="1"/>
        <v>0</v>
      </c>
    </row>
    <row r="1959">
      <c r="A1959" s="50" t="s">
        <v>4146</v>
      </c>
      <c r="B1959" s="61">
        <v>97.0</v>
      </c>
      <c r="C1959" s="61">
        <v>99.0</v>
      </c>
      <c r="D1959" s="9">
        <f t="array" ref="D1959">xlookup(A1959,'données'!E$2:E$3608,'données'!K$2:K$3608)</f>
        <v>116.8</v>
      </c>
      <c r="E1959" s="5" t="b">
        <f t="shared" si="1"/>
        <v>0</v>
      </c>
    </row>
    <row r="1960">
      <c r="A1960" s="50" t="s">
        <v>2368</v>
      </c>
      <c r="B1960" s="61">
        <v>98.0</v>
      </c>
      <c r="C1960" s="61">
        <v>97.0</v>
      </c>
      <c r="D1960" s="9">
        <f t="array" ref="D1960">xlookup(A1960,'données'!E$2:E$3608,'données'!K$2:K$3608)</f>
        <v>110.4</v>
      </c>
      <c r="E1960" s="5" t="b">
        <f t="shared" si="1"/>
        <v>0</v>
      </c>
    </row>
    <row r="1961">
      <c r="A1961" s="50" t="s">
        <v>366</v>
      </c>
      <c r="B1961" s="61">
        <v>100.0</v>
      </c>
      <c r="C1961" s="61">
        <v>100.0</v>
      </c>
      <c r="D1961" s="9">
        <f t="array" ref="D1961">xlookup(A1961,'données'!E$2:E$3608,'données'!K$2:K$3608)</f>
        <v>97.1</v>
      </c>
      <c r="E1961" s="5" t="b">
        <f t="shared" si="1"/>
        <v>0</v>
      </c>
    </row>
    <row r="1962">
      <c r="A1962" s="50" t="s">
        <v>5661</v>
      </c>
      <c r="B1962" s="61">
        <v>100.0</v>
      </c>
      <c r="C1962" s="61">
        <v>100.0</v>
      </c>
      <c r="D1962" s="9">
        <f t="array" ref="D1962">xlookup(A1962,'données'!E$2:E$3608,'données'!K$2:K$3608)</f>
        <v>117</v>
      </c>
      <c r="E1962" s="5" t="b">
        <f t="shared" si="1"/>
        <v>0</v>
      </c>
    </row>
    <row r="1963">
      <c r="A1963" s="50" t="s">
        <v>5659</v>
      </c>
      <c r="B1963" s="61">
        <v>100.0</v>
      </c>
      <c r="C1963" s="61">
        <v>100.0</v>
      </c>
      <c r="D1963" s="9">
        <f t="array" ref="D1963">xlookup(A1963,'données'!E$2:E$3608,'données'!K$2:K$3608)</f>
        <v>115.3</v>
      </c>
      <c r="E1963" s="5" t="b">
        <f t="shared" si="1"/>
        <v>0</v>
      </c>
    </row>
    <row r="1964">
      <c r="A1964" s="50" t="s">
        <v>364</v>
      </c>
      <c r="B1964" s="61">
        <v>99.0</v>
      </c>
      <c r="C1964" s="61">
        <v>100.0</v>
      </c>
      <c r="D1964" s="9">
        <f t="array" ref="D1964">xlookup(A1964,'données'!E$2:E$3608,'données'!K$2:K$3608)</f>
        <v>109.7</v>
      </c>
      <c r="E1964" s="5" t="b">
        <f t="shared" si="1"/>
        <v>0</v>
      </c>
    </row>
    <row r="1965">
      <c r="A1965" s="50" t="s">
        <v>362</v>
      </c>
      <c r="B1965" s="61">
        <v>100.0</v>
      </c>
      <c r="C1965" s="61">
        <v>100.0</v>
      </c>
      <c r="D1965" s="9">
        <f t="array" ref="D1965">xlookup(A1965,'données'!E$2:E$3608,'données'!K$2:K$3608)</f>
        <v>125.6</v>
      </c>
      <c r="E1965" s="5" t="b">
        <f t="shared" si="1"/>
        <v>0</v>
      </c>
    </row>
    <row r="1966">
      <c r="A1966" s="50" t="s">
        <v>359</v>
      </c>
      <c r="B1966" s="61">
        <v>100.0</v>
      </c>
      <c r="C1966" s="61">
        <v>100.0</v>
      </c>
      <c r="D1966" s="9">
        <f t="array" ref="D1966">xlookup(A1966,'données'!E$2:E$3608,'données'!K$2:K$3608)</f>
        <v>136.5</v>
      </c>
      <c r="E1966" s="5" t="b">
        <f t="shared" si="1"/>
        <v>0</v>
      </c>
    </row>
    <row r="1967">
      <c r="A1967" s="50" t="s">
        <v>4143</v>
      </c>
      <c r="B1967" s="61">
        <v>98.0</v>
      </c>
      <c r="C1967" s="61">
        <v>98.0</v>
      </c>
      <c r="D1967" s="9">
        <f t="array" ref="D1967">xlookup(A1967,'données'!E$2:E$3608,'données'!K$2:K$3608)</f>
        <v>99.6</v>
      </c>
      <c r="E1967" s="5" t="b">
        <f t="shared" si="1"/>
        <v>0</v>
      </c>
    </row>
    <row r="1968">
      <c r="A1968" s="50" t="s">
        <v>2361</v>
      </c>
      <c r="B1968" s="61">
        <v>99.0</v>
      </c>
      <c r="C1968" s="61">
        <v>100.0</v>
      </c>
      <c r="D1968" s="9">
        <f t="array" ref="D1968">xlookup(A1968,'données'!E$2:E$3608,'données'!K$2:K$3608)</f>
        <v>104.8</v>
      </c>
      <c r="E1968" s="5" t="b">
        <f t="shared" si="1"/>
        <v>0</v>
      </c>
    </row>
    <row r="1969">
      <c r="A1969" s="50" t="s">
        <v>4141</v>
      </c>
      <c r="B1969" s="61">
        <v>99.0</v>
      </c>
      <c r="C1969" s="61">
        <v>99.0</v>
      </c>
      <c r="D1969" s="9">
        <f t="array" ref="D1969">xlookup(A1969,'données'!E$2:E$3608,'données'!K$2:K$3608)</f>
        <v>124</v>
      </c>
      <c r="E1969" s="5" t="b">
        <f t="shared" si="1"/>
        <v>0</v>
      </c>
    </row>
    <row r="1970">
      <c r="A1970" s="50" t="s">
        <v>4138</v>
      </c>
      <c r="B1970" s="61">
        <v>100.0</v>
      </c>
      <c r="C1970" s="61">
        <v>99.0</v>
      </c>
      <c r="D1970" s="9">
        <f t="array" ref="D1970">xlookup(A1970,'données'!E$2:E$3608,'données'!K$2:K$3608)</f>
        <v>109.3</v>
      </c>
      <c r="E1970" s="5" t="b">
        <f t="shared" si="1"/>
        <v>0</v>
      </c>
    </row>
    <row r="1971">
      <c r="A1971" s="50" t="s">
        <v>4137</v>
      </c>
      <c r="B1971" s="61">
        <v>100.0</v>
      </c>
      <c r="C1971" s="61">
        <v>100.0</v>
      </c>
      <c r="D1971" s="9">
        <f t="array" ref="D1971">xlookup(A1971,'données'!E$2:E$3608,'données'!K$2:K$3608)</f>
        <v>115.9</v>
      </c>
      <c r="E1971" s="5" t="b">
        <f t="shared" si="1"/>
        <v>0</v>
      </c>
    </row>
    <row r="1972">
      <c r="A1972" s="50" t="s">
        <v>4135</v>
      </c>
      <c r="B1972" s="61">
        <v>97.0</v>
      </c>
      <c r="C1972" s="61">
        <v>98.0</v>
      </c>
      <c r="D1972" s="9">
        <f t="array" ref="D1972">xlookup(A1972,'données'!E$2:E$3608,'données'!K$2:K$3608)</f>
        <v>120.8</v>
      </c>
      <c r="E1972" s="5" t="b">
        <f t="shared" si="1"/>
        <v>0</v>
      </c>
    </row>
    <row r="1973">
      <c r="A1973" s="50" t="s">
        <v>2356</v>
      </c>
      <c r="B1973" s="61">
        <v>99.0</v>
      </c>
      <c r="C1973" s="61">
        <v>98.0</v>
      </c>
      <c r="D1973" s="9">
        <f t="array" ref="D1973">xlookup(A1973,'données'!E$2:E$3608,'données'!K$2:K$3608)</f>
        <v>119</v>
      </c>
      <c r="E1973" s="5" t="b">
        <f t="shared" si="1"/>
        <v>0</v>
      </c>
    </row>
    <row r="1974">
      <c r="A1974" s="50" t="s">
        <v>5650</v>
      </c>
      <c r="B1974" s="61">
        <v>99.0</v>
      </c>
      <c r="C1974" s="61">
        <v>98.0</v>
      </c>
      <c r="D1974" s="9">
        <f t="array" ref="D1974">xlookup(A1974,'données'!E$2:E$3608,'données'!K$2:K$3608)</f>
        <v>119.9</v>
      </c>
      <c r="E1974" s="5" t="b">
        <f t="shared" si="1"/>
        <v>0</v>
      </c>
    </row>
    <row r="1975">
      <c r="A1975" s="50" t="s">
        <v>4131</v>
      </c>
      <c r="B1975" s="61">
        <v>100.0</v>
      </c>
      <c r="C1975" s="61">
        <v>100.0</v>
      </c>
      <c r="D1975" s="9">
        <f t="array" ref="D1975">xlookup(A1975,'données'!E$2:E$3608,'données'!K$2:K$3608)</f>
        <v>117.6</v>
      </c>
      <c r="E1975" s="5" t="b">
        <f t="shared" si="1"/>
        <v>0</v>
      </c>
    </row>
    <row r="1976">
      <c r="A1976" s="50" t="s">
        <v>5648</v>
      </c>
      <c r="B1976" s="61">
        <v>97.0</v>
      </c>
      <c r="C1976" s="61">
        <v>99.0</v>
      </c>
      <c r="D1976" s="9">
        <f t="array" ref="D1976">xlookup(A1976,'données'!E$2:E$3608,'données'!K$2:K$3608)</f>
        <v>119.3</v>
      </c>
      <c r="E1976" s="5" t="b">
        <f t="shared" si="1"/>
        <v>0</v>
      </c>
    </row>
    <row r="1977">
      <c r="A1977" s="50" t="s">
        <v>5646</v>
      </c>
      <c r="B1977" s="61">
        <v>99.0</v>
      </c>
      <c r="C1977" s="61">
        <v>100.0</v>
      </c>
      <c r="D1977" s="9">
        <f t="array" ref="D1977">xlookup(A1977,'données'!E$2:E$3608,'données'!K$2:K$3608)</f>
        <v>112.1</v>
      </c>
      <c r="E1977" s="5" t="b">
        <f t="shared" si="1"/>
        <v>0</v>
      </c>
    </row>
    <row r="1978">
      <c r="A1978" s="50" t="s">
        <v>7138</v>
      </c>
      <c r="B1978" s="61">
        <v>99.0</v>
      </c>
      <c r="C1978" s="61">
        <v>99.0</v>
      </c>
      <c r="D1978" s="9">
        <f t="array" ref="D1978">xlookup(A1978,'données'!E$2:E$3608,'données'!K$2:K$3608)</f>
        <v>105.2</v>
      </c>
      <c r="E1978" s="5" t="b">
        <f t="shared" si="1"/>
        <v>0</v>
      </c>
    </row>
    <row r="1979">
      <c r="A1979" s="50" t="s">
        <v>7136</v>
      </c>
      <c r="B1979" s="61">
        <v>98.0</v>
      </c>
      <c r="C1979" s="61">
        <v>98.0</v>
      </c>
      <c r="D1979" s="9">
        <f t="array" ref="D1979">xlookup(A1979,'données'!E$2:E$3608,'données'!K$2:K$3608)</f>
        <v>128</v>
      </c>
      <c r="E1979" s="5" t="b">
        <f t="shared" si="1"/>
        <v>0</v>
      </c>
    </row>
    <row r="1980">
      <c r="A1980" s="50" t="s">
        <v>2349</v>
      </c>
      <c r="B1980" s="61">
        <v>99.0</v>
      </c>
      <c r="C1980" s="61">
        <v>99.0</v>
      </c>
      <c r="D1980" s="9">
        <f t="array" ref="D1980">xlookup(A1980,'données'!E$2:E$3608,'données'!K$2:K$3608)</f>
        <v>109.6</v>
      </c>
      <c r="E1980" s="5" t="b">
        <f t="shared" si="1"/>
        <v>0</v>
      </c>
    </row>
    <row r="1981">
      <c r="A1981" s="50" t="s">
        <v>2346</v>
      </c>
      <c r="B1981" s="61">
        <v>97.0</v>
      </c>
      <c r="C1981" s="61">
        <v>99.0</v>
      </c>
      <c r="D1981" s="9">
        <f t="array" ref="D1981">xlookup(A1981,'données'!E$2:E$3608,'données'!K$2:K$3608)</f>
        <v>116.9</v>
      </c>
      <c r="E1981" s="5" t="b">
        <f t="shared" si="1"/>
        <v>0</v>
      </c>
    </row>
    <row r="1982">
      <c r="A1982" s="50" t="s">
        <v>4129</v>
      </c>
      <c r="B1982" s="61">
        <v>95.0</v>
      </c>
      <c r="C1982" s="61">
        <v>96.0</v>
      </c>
      <c r="D1982" s="9">
        <f t="array" ref="D1982">xlookup(A1982,'données'!E$2:E$3608,'données'!K$2:K$3608)</f>
        <v>112.9</v>
      </c>
      <c r="E1982" s="5" t="b">
        <f t="shared" si="1"/>
        <v>0</v>
      </c>
    </row>
    <row r="1983">
      <c r="A1983" s="50" t="s">
        <v>5643</v>
      </c>
      <c r="B1983" s="61">
        <v>92.0</v>
      </c>
      <c r="C1983" s="50"/>
      <c r="D1983" s="9">
        <f t="array" ref="D1983">xlookup(A1983,'données'!E$2:E$3608,'données'!K$2:K$3608)</f>
        <v>100.5</v>
      </c>
      <c r="E1983" s="5" t="b">
        <f t="shared" si="1"/>
        <v>0</v>
      </c>
    </row>
    <row r="1984">
      <c r="A1984" s="50" t="s">
        <v>5639</v>
      </c>
      <c r="B1984" s="61">
        <v>99.0</v>
      </c>
      <c r="C1984" s="61">
        <v>99.0</v>
      </c>
      <c r="D1984" s="9">
        <f t="array" ref="D1984">xlookup(A1984,'données'!E$2:E$3608,'données'!K$2:K$3608)</f>
        <v>132.4</v>
      </c>
      <c r="E1984" s="5" t="b">
        <f t="shared" si="1"/>
        <v>0</v>
      </c>
    </row>
    <row r="1985">
      <c r="A1985" s="50" t="s">
        <v>351</v>
      </c>
      <c r="B1985" s="61">
        <v>99.0</v>
      </c>
      <c r="C1985" s="61">
        <v>99.0</v>
      </c>
      <c r="D1985" s="9">
        <f t="array" ref="D1985">xlookup(A1985,'données'!E$2:E$3608,'données'!K$2:K$3608)</f>
        <v>119.7</v>
      </c>
      <c r="E1985" s="5" t="b">
        <f t="shared" si="1"/>
        <v>0</v>
      </c>
    </row>
    <row r="1986">
      <c r="A1986" s="50" t="s">
        <v>7131</v>
      </c>
      <c r="B1986" s="61">
        <v>99.0</v>
      </c>
      <c r="C1986" s="61">
        <v>97.0</v>
      </c>
      <c r="D1986" s="9">
        <f t="array" ref="D1986">xlookup(A1986,'données'!E$2:E$3608,'données'!K$2:K$3608)</f>
        <v>108.3</v>
      </c>
      <c r="E1986" s="5" t="b">
        <f t="shared" si="1"/>
        <v>0</v>
      </c>
    </row>
    <row r="1987">
      <c r="A1987" s="50" t="s">
        <v>7129</v>
      </c>
      <c r="B1987" s="61">
        <v>98.0</v>
      </c>
      <c r="C1987" s="61">
        <v>97.0</v>
      </c>
      <c r="D1987" s="9">
        <f t="array" ref="D1987">xlookup(A1987,'données'!E$2:E$3608,'données'!K$2:K$3608)</f>
        <v>107.7</v>
      </c>
      <c r="E1987" s="5" t="b">
        <f t="shared" si="1"/>
        <v>0</v>
      </c>
    </row>
    <row r="1988">
      <c r="A1988" s="50" t="s">
        <v>349</v>
      </c>
      <c r="B1988" s="61">
        <v>100.0</v>
      </c>
      <c r="C1988" s="61">
        <v>100.0</v>
      </c>
      <c r="D1988" s="9">
        <f t="array" ref="D1988">xlookup(A1988,'données'!E$2:E$3608,'données'!K$2:K$3608)</f>
        <v>129.9</v>
      </c>
      <c r="E1988" s="5" t="b">
        <f t="shared" si="1"/>
        <v>0</v>
      </c>
    </row>
    <row r="1989">
      <c r="A1989" s="50" t="s">
        <v>2345</v>
      </c>
      <c r="B1989" s="61">
        <v>100.0</v>
      </c>
      <c r="C1989" s="61">
        <v>100.0</v>
      </c>
      <c r="D1989" s="9">
        <f t="array" ref="D1989">xlookup(A1989,'données'!E$2:E$3608,'données'!K$2:K$3608)</f>
        <v>134.6</v>
      </c>
      <c r="E1989" s="5" t="b">
        <f t="shared" si="1"/>
        <v>0</v>
      </c>
    </row>
    <row r="1990">
      <c r="A1990" s="50" t="s">
        <v>4127</v>
      </c>
      <c r="B1990" s="61">
        <v>100.0</v>
      </c>
      <c r="C1990" s="61">
        <v>100.0</v>
      </c>
      <c r="D1990" s="9">
        <f t="array" ref="D1990">xlookup(A1990,'données'!E$2:E$3608,'données'!K$2:K$3608)</f>
        <v>126.2</v>
      </c>
      <c r="E1990" s="5" t="b">
        <f t="shared" si="1"/>
        <v>0</v>
      </c>
    </row>
    <row r="1991">
      <c r="A1991" s="50" t="s">
        <v>5637</v>
      </c>
      <c r="B1991" s="61">
        <v>99.0</v>
      </c>
      <c r="C1991" s="61">
        <v>100.0</v>
      </c>
      <c r="D1991" s="9">
        <f t="array" ref="D1991">xlookup(A1991,'données'!E$2:E$3608,'données'!K$2:K$3608)</f>
        <v>122.7</v>
      </c>
      <c r="E1991" s="5" t="b">
        <f t="shared" si="1"/>
        <v>0</v>
      </c>
    </row>
    <row r="1992">
      <c r="A1992" s="50" t="s">
        <v>346</v>
      </c>
      <c r="B1992" s="61">
        <v>92.0</v>
      </c>
      <c r="C1992" s="61">
        <v>98.0</v>
      </c>
      <c r="D1992" s="9">
        <f t="array" ref="D1992">xlookup(A1992,'données'!E$2:E$3608,'données'!K$2:K$3608)</f>
        <v>111.6</v>
      </c>
      <c r="E1992" s="5" t="b">
        <f t="shared" si="1"/>
        <v>0</v>
      </c>
    </row>
    <row r="1993">
      <c r="A1993" s="50" t="s">
        <v>343</v>
      </c>
      <c r="B1993" s="61">
        <v>100.0</v>
      </c>
      <c r="C1993" s="50"/>
      <c r="D1993" s="9">
        <f t="array" ref="D1993">xlookup(A1993,'données'!E$2:E$3608,'données'!K$2:K$3608)</f>
        <v>114</v>
      </c>
      <c r="E1993" s="5" t="b">
        <f t="shared" si="1"/>
        <v>0</v>
      </c>
    </row>
    <row r="1994">
      <c r="A1994" s="50" t="s">
        <v>7127</v>
      </c>
      <c r="B1994" s="61">
        <v>93.0</v>
      </c>
      <c r="C1994" s="61">
        <v>94.0</v>
      </c>
      <c r="D1994" s="9">
        <f t="array" ref="D1994">xlookup(A1994,'données'!E$2:E$3608,'données'!K$2:K$3608)</f>
        <v>98.9</v>
      </c>
      <c r="E1994" s="5" t="b">
        <f t="shared" si="1"/>
        <v>0</v>
      </c>
    </row>
    <row r="1995">
      <c r="A1995" s="50" t="s">
        <v>341</v>
      </c>
      <c r="B1995" s="61">
        <v>93.0</v>
      </c>
      <c r="C1995" s="61">
        <v>95.0</v>
      </c>
      <c r="D1995" s="9">
        <f t="array" ref="D1995">xlookup(A1995,'données'!E$2:E$3608,'données'!K$2:K$3608)</f>
        <v>115.6</v>
      </c>
      <c r="E1995" s="5" t="b">
        <f t="shared" si="1"/>
        <v>0</v>
      </c>
    </row>
    <row r="1996">
      <c r="A1996" s="50" t="s">
        <v>2343</v>
      </c>
      <c r="B1996" s="61">
        <v>94.0</v>
      </c>
      <c r="C1996" s="61">
        <v>96.0</v>
      </c>
      <c r="D1996" s="9">
        <f t="array" ref="D1996">xlookup(A1996,'données'!E$2:E$3608,'données'!K$2:K$3608)</f>
        <v>119</v>
      </c>
      <c r="E1996" s="5" t="b">
        <f t="shared" si="1"/>
        <v>0</v>
      </c>
    </row>
    <row r="1997">
      <c r="A1997" s="50" t="s">
        <v>7126</v>
      </c>
      <c r="B1997" s="61">
        <v>99.0</v>
      </c>
      <c r="C1997" s="61">
        <v>99.0</v>
      </c>
      <c r="D1997" s="9">
        <f t="array" ref="D1997">xlookup(A1997,'données'!E$2:E$3608,'données'!K$2:K$3608)</f>
        <v>125.4</v>
      </c>
      <c r="E1997" s="5" t="b">
        <f t="shared" si="1"/>
        <v>0</v>
      </c>
    </row>
    <row r="1998">
      <c r="A1998" s="50" t="s">
        <v>338</v>
      </c>
      <c r="B1998" s="61">
        <v>95.0</v>
      </c>
      <c r="C1998" s="61">
        <v>95.0</v>
      </c>
      <c r="D1998" s="9">
        <f t="array" ref="D1998">xlookup(A1998,'données'!E$2:E$3608,'données'!K$2:K$3608)</f>
        <v>108.3</v>
      </c>
      <c r="E1998" s="5" t="b">
        <f t="shared" si="1"/>
        <v>0</v>
      </c>
    </row>
    <row r="1999">
      <c r="A1999" s="50" t="s">
        <v>5631</v>
      </c>
      <c r="B1999" s="61">
        <v>99.0</v>
      </c>
      <c r="C1999" s="61">
        <v>99.0</v>
      </c>
      <c r="D1999" s="9">
        <f t="array" ref="D1999">xlookup(A1999,'données'!E$2:E$3608,'données'!K$2:K$3608)</f>
        <v>118.4</v>
      </c>
      <c r="E1999" s="5" t="b">
        <f t="shared" si="1"/>
        <v>0</v>
      </c>
    </row>
    <row r="2000">
      <c r="A2000" s="50" t="s">
        <v>335</v>
      </c>
      <c r="B2000" s="61">
        <v>99.0</v>
      </c>
      <c r="C2000" s="61">
        <v>99.0</v>
      </c>
      <c r="D2000" s="9">
        <f t="array" ref="D2000">xlookup(A2000,'données'!E$2:E$3608,'données'!K$2:K$3608)</f>
        <v>119.3</v>
      </c>
      <c r="E2000" s="5" t="b">
        <f t="shared" si="1"/>
        <v>0</v>
      </c>
    </row>
    <row r="2001">
      <c r="A2001" s="50" t="s">
        <v>4124</v>
      </c>
      <c r="B2001" s="61">
        <v>95.0</v>
      </c>
      <c r="C2001" s="61">
        <v>97.0</v>
      </c>
      <c r="D2001" s="9">
        <f t="array" ref="D2001">xlookup(A2001,'données'!E$2:E$3608,'données'!K$2:K$3608)</f>
        <v>108.8</v>
      </c>
      <c r="E2001" s="5" t="b">
        <f t="shared" si="1"/>
        <v>0</v>
      </c>
    </row>
    <row r="2002">
      <c r="A2002" s="50" t="s">
        <v>7124</v>
      </c>
      <c r="B2002" s="61">
        <v>100.0</v>
      </c>
      <c r="C2002" s="50"/>
      <c r="D2002" s="9">
        <f t="array" ref="D2002">xlookup(A2002,'données'!E$2:E$3608,'données'!K$2:K$3608)</f>
        <v>107.2</v>
      </c>
      <c r="E2002" s="5" t="b">
        <f t="shared" si="1"/>
        <v>0</v>
      </c>
    </row>
    <row r="2003">
      <c r="A2003" s="50" t="s">
        <v>330</v>
      </c>
      <c r="B2003" s="61">
        <v>99.0</v>
      </c>
      <c r="C2003" s="61">
        <v>99.0</v>
      </c>
      <c r="D2003" s="9">
        <f t="array" ref="D2003">xlookup(A2003,'données'!E$2:E$3608,'données'!K$2:K$3608)</f>
        <v>121.4</v>
      </c>
      <c r="E2003" s="5" t="b">
        <f t="shared" si="1"/>
        <v>0</v>
      </c>
    </row>
    <row r="2004">
      <c r="A2004" s="50" t="s">
        <v>5627</v>
      </c>
      <c r="B2004" s="61">
        <v>100.0</v>
      </c>
      <c r="C2004" s="61">
        <v>100.0</v>
      </c>
      <c r="D2004" s="9">
        <f t="array" ref="D2004">xlookup(A2004,'données'!E$2:E$3608,'données'!K$2:K$3608)</f>
        <v>91.7</v>
      </c>
      <c r="E2004" s="5" t="b">
        <f t="shared" si="1"/>
        <v>0</v>
      </c>
    </row>
    <row r="2005">
      <c r="A2005" s="50" t="s">
        <v>327</v>
      </c>
      <c r="B2005" s="61">
        <v>98.0</v>
      </c>
      <c r="C2005" s="61">
        <v>99.0</v>
      </c>
      <c r="D2005" s="9">
        <f t="array" ref="D2005">xlookup(A2005,'données'!E$2:E$3608,'données'!K$2:K$3608)</f>
        <v>106.8</v>
      </c>
      <c r="E2005" s="5" t="b">
        <f t="shared" si="1"/>
        <v>0</v>
      </c>
    </row>
    <row r="2006">
      <c r="A2006" s="50" t="s">
        <v>5625</v>
      </c>
      <c r="B2006" s="61">
        <v>98.0</v>
      </c>
      <c r="C2006" s="61">
        <v>98.0</v>
      </c>
      <c r="D2006" s="9">
        <f t="array" ref="D2006">xlookup(A2006,'données'!E$2:E$3608,'données'!K$2:K$3608)</f>
        <v>117.6</v>
      </c>
      <c r="E2006" s="5" t="b">
        <f t="shared" si="1"/>
        <v>0</v>
      </c>
    </row>
    <row r="2007">
      <c r="A2007" s="50" t="s">
        <v>2339</v>
      </c>
      <c r="B2007" s="61">
        <v>99.0</v>
      </c>
      <c r="C2007" s="61">
        <v>100.0</v>
      </c>
      <c r="D2007" s="9">
        <f t="array" ref="D2007">xlookup(A2007,'données'!E$2:E$3608,'données'!K$2:K$3608)</f>
        <v>111.5</v>
      </c>
      <c r="E2007" s="5" t="b">
        <f t="shared" si="1"/>
        <v>0</v>
      </c>
    </row>
    <row r="2008">
      <c r="A2008" s="50" t="s">
        <v>5621</v>
      </c>
      <c r="B2008" s="61">
        <v>95.0</v>
      </c>
      <c r="C2008" s="50"/>
      <c r="D2008" s="9">
        <f t="array" ref="D2008">xlookup(A2008,'données'!E$2:E$3608,'données'!K$2:K$3608)</f>
        <v>91.8</v>
      </c>
      <c r="E2008" s="5" t="b">
        <f t="shared" si="1"/>
        <v>0</v>
      </c>
    </row>
    <row r="2009">
      <c r="A2009" s="50" t="s">
        <v>4113</v>
      </c>
      <c r="B2009" s="61">
        <v>98.0</v>
      </c>
      <c r="C2009" s="61">
        <v>98.0</v>
      </c>
      <c r="D2009" s="9">
        <f t="array" ref="D2009">xlookup(A2009,'données'!E$2:E$3608,'données'!K$2:K$3608)</f>
        <v>114.6</v>
      </c>
      <c r="E2009" s="5" t="b">
        <f t="shared" si="1"/>
        <v>0</v>
      </c>
    </row>
    <row r="2010">
      <c r="A2010" s="50" t="s">
        <v>7122</v>
      </c>
      <c r="B2010" s="61">
        <v>99.0</v>
      </c>
      <c r="C2010" s="61">
        <v>99.0</v>
      </c>
      <c r="D2010" s="9">
        <f t="array" ref="D2010">xlookup(A2010,'données'!E$2:E$3608,'données'!K$2:K$3608)</f>
        <v>117.3</v>
      </c>
      <c r="E2010" s="5" t="b">
        <f t="shared" si="1"/>
        <v>0</v>
      </c>
    </row>
    <row r="2011">
      <c r="A2011" s="50" t="s">
        <v>4109</v>
      </c>
      <c r="B2011" s="61">
        <v>100.0</v>
      </c>
      <c r="C2011" s="61">
        <v>100.0</v>
      </c>
      <c r="D2011" s="9">
        <f t="array" ref="D2011">xlookup(A2011,'données'!E$2:E$3608,'données'!K$2:K$3608)</f>
        <v>124.9</v>
      </c>
      <c r="E2011" s="5" t="b">
        <f t="shared" si="1"/>
        <v>0</v>
      </c>
    </row>
    <row r="2012">
      <c r="A2012" s="50" t="s">
        <v>318</v>
      </c>
      <c r="B2012" s="61">
        <v>99.0</v>
      </c>
      <c r="C2012" s="61">
        <v>94.0</v>
      </c>
      <c r="D2012" s="9">
        <f t="array" ref="D2012">xlookup(A2012,'données'!E$2:E$3608,'données'!K$2:K$3608)</f>
        <v>102.8</v>
      </c>
      <c r="E2012" s="5" t="b">
        <f t="shared" si="1"/>
        <v>0</v>
      </c>
    </row>
    <row r="2013">
      <c r="A2013" s="50" t="s">
        <v>7116</v>
      </c>
      <c r="B2013" s="61">
        <v>94.0</v>
      </c>
      <c r="C2013" s="61">
        <v>94.0</v>
      </c>
      <c r="D2013" s="9">
        <f t="array" ref="D2013">xlookup(A2013,'données'!E$2:E$3608,'données'!K$2:K$3608)</f>
        <v>100.9</v>
      </c>
      <c r="E2013" s="5" t="b">
        <f t="shared" si="1"/>
        <v>0</v>
      </c>
    </row>
    <row r="2014">
      <c r="A2014" s="50" t="s">
        <v>2338</v>
      </c>
      <c r="B2014" s="61">
        <v>96.0</v>
      </c>
      <c r="C2014" s="61">
        <v>96.0</v>
      </c>
      <c r="D2014" s="9">
        <f t="array" ref="D2014">xlookup(A2014,'données'!E$2:E$3608,'données'!K$2:K$3608)</f>
        <v>105.2</v>
      </c>
      <c r="E2014" s="5" t="b">
        <f t="shared" si="1"/>
        <v>0</v>
      </c>
    </row>
    <row r="2015">
      <c r="A2015" s="50" t="s">
        <v>7112</v>
      </c>
      <c r="B2015" s="61">
        <v>98.0</v>
      </c>
      <c r="C2015" s="61">
        <v>100.0</v>
      </c>
      <c r="D2015" s="9">
        <f t="array" ref="D2015">xlookup(A2015,'données'!E$2:E$3608,'données'!K$2:K$3608)</f>
        <v>115.9</v>
      </c>
      <c r="E2015" s="5" t="b">
        <f t="shared" si="1"/>
        <v>0</v>
      </c>
    </row>
    <row r="2016">
      <c r="A2016" s="50" t="s">
        <v>5619</v>
      </c>
      <c r="B2016" s="61">
        <v>98.0</v>
      </c>
      <c r="C2016" s="61">
        <v>99.0</v>
      </c>
      <c r="D2016" s="9">
        <f t="array" ref="D2016">xlookup(A2016,'données'!E$2:E$3608,'données'!K$2:K$3608)</f>
        <v>113.1</v>
      </c>
      <c r="E2016" s="5" t="b">
        <f t="shared" si="1"/>
        <v>0</v>
      </c>
    </row>
    <row r="2017">
      <c r="A2017" s="50" t="s">
        <v>7110</v>
      </c>
      <c r="B2017" s="61">
        <v>98.0</v>
      </c>
      <c r="C2017" s="61">
        <v>99.0</v>
      </c>
      <c r="D2017" s="9">
        <f t="array" ref="D2017">xlookup(A2017,'données'!E$2:E$3608,'données'!K$2:K$3608)</f>
        <v>116.3</v>
      </c>
      <c r="E2017" s="5" t="b">
        <f t="shared" si="1"/>
        <v>0</v>
      </c>
    </row>
    <row r="2018">
      <c r="A2018" s="50" t="s">
        <v>4103</v>
      </c>
      <c r="B2018" s="61">
        <v>98.0</v>
      </c>
      <c r="C2018" s="61">
        <v>98.0</v>
      </c>
      <c r="D2018" s="9">
        <f t="array" ref="D2018">xlookup(A2018,'données'!E$2:E$3608,'données'!K$2:K$3608)</f>
        <v>111.7</v>
      </c>
      <c r="E2018" s="5" t="b">
        <f t="shared" si="1"/>
        <v>0</v>
      </c>
    </row>
    <row r="2019">
      <c r="A2019" s="50" t="s">
        <v>2334</v>
      </c>
      <c r="B2019" s="61">
        <v>98.0</v>
      </c>
      <c r="C2019" s="61">
        <v>100.0</v>
      </c>
      <c r="D2019" s="9">
        <f t="array" ref="D2019">xlookup(A2019,'données'!E$2:E$3608,'données'!K$2:K$3608)</f>
        <v>117.1</v>
      </c>
      <c r="E2019" s="5" t="b">
        <f t="shared" si="1"/>
        <v>0</v>
      </c>
    </row>
    <row r="2020">
      <c r="A2020" s="50" t="s">
        <v>4100</v>
      </c>
      <c r="B2020" s="61">
        <v>99.0</v>
      </c>
      <c r="C2020" s="61">
        <v>98.0</v>
      </c>
      <c r="D2020" s="9">
        <f t="array" ref="D2020">xlookup(A2020,'données'!E$2:E$3608,'données'!K$2:K$3608)</f>
        <v>109</v>
      </c>
      <c r="E2020" s="5" t="b">
        <f t="shared" si="1"/>
        <v>0</v>
      </c>
    </row>
    <row r="2021">
      <c r="A2021" s="50" t="s">
        <v>2332</v>
      </c>
      <c r="B2021" s="61">
        <v>94.0</v>
      </c>
      <c r="C2021" s="61">
        <v>95.0</v>
      </c>
      <c r="D2021" s="9">
        <f t="array" ref="D2021">xlookup(A2021,'données'!E$2:E$3608,'données'!K$2:K$3608)</f>
        <v>111.6</v>
      </c>
      <c r="E2021" s="5" t="b">
        <f t="shared" si="1"/>
        <v>0</v>
      </c>
    </row>
    <row r="2022">
      <c r="A2022" s="50" t="s">
        <v>311</v>
      </c>
      <c r="B2022" s="61">
        <v>96.0</v>
      </c>
      <c r="C2022" s="50"/>
      <c r="D2022" s="9">
        <f t="array" ref="D2022">xlookup(A2022,'données'!E$2:E$3608,'données'!K$2:K$3608)</f>
        <v>125.1</v>
      </c>
      <c r="E2022" s="5" t="b">
        <f t="shared" si="1"/>
        <v>0</v>
      </c>
    </row>
    <row r="2023">
      <c r="A2023" s="50" t="s">
        <v>4095</v>
      </c>
      <c r="B2023" s="61">
        <v>94.0</v>
      </c>
      <c r="C2023" s="61">
        <v>95.0</v>
      </c>
      <c r="D2023" s="9">
        <f t="array" ref="D2023">xlookup(A2023,'données'!E$2:E$3608,'données'!K$2:K$3608)</f>
        <v>103.1</v>
      </c>
      <c r="E2023" s="5" t="b">
        <f t="shared" si="1"/>
        <v>0</v>
      </c>
    </row>
    <row r="2024">
      <c r="A2024" s="50" t="s">
        <v>2330</v>
      </c>
      <c r="B2024" s="61">
        <v>100.0</v>
      </c>
      <c r="C2024" s="61">
        <v>100.0</v>
      </c>
      <c r="D2024" s="9">
        <f t="array" ref="D2024">xlookup(A2024,'données'!E$2:E$3608,'données'!K$2:K$3608)</f>
        <v>117</v>
      </c>
      <c r="E2024" s="5" t="b">
        <f t="shared" si="1"/>
        <v>0</v>
      </c>
    </row>
    <row r="2025">
      <c r="A2025" s="50" t="s">
        <v>309</v>
      </c>
      <c r="B2025" s="61">
        <v>99.0</v>
      </c>
      <c r="C2025" s="61">
        <v>99.0</v>
      </c>
      <c r="D2025" s="9">
        <f t="array" ref="D2025">xlookup(A2025,'données'!E$2:E$3608,'données'!K$2:K$3608)</f>
        <v>122.7</v>
      </c>
      <c r="E2025" s="5" t="b">
        <f t="shared" si="1"/>
        <v>0</v>
      </c>
    </row>
    <row r="2026">
      <c r="A2026" s="50" t="s">
        <v>306</v>
      </c>
      <c r="B2026" s="61">
        <v>100.0</v>
      </c>
      <c r="C2026" s="61">
        <v>100.0</v>
      </c>
      <c r="D2026" s="9">
        <f t="array" ref="D2026">xlookup(A2026,'données'!E$2:E$3608,'données'!K$2:K$3608)</f>
        <v>121.2</v>
      </c>
      <c r="E2026" s="5" t="b">
        <f t="shared" si="1"/>
        <v>0</v>
      </c>
    </row>
    <row r="2027">
      <c r="A2027" s="50" t="s">
        <v>303</v>
      </c>
      <c r="B2027" s="61">
        <v>98.0</v>
      </c>
      <c r="C2027" s="61">
        <v>98.0</v>
      </c>
      <c r="D2027" s="9">
        <f t="array" ref="D2027">xlookup(A2027,'données'!E$2:E$3608,'données'!K$2:K$3608)</f>
        <v>109.7</v>
      </c>
      <c r="E2027" s="5" t="b">
        <f t="shared" si="1"/>
        <v>0</v>
      </c>
    </row>
    <row r="2028">
      <c r="A2028" s="50" t="s">
        <v>7109</v>
      </c>
      <c r="B2028" s="61">
        <v>98.0</v>
      </c>
      <c r="C2028" s="61">
        <v>99.0</v>
      </c>
      <c r="D2028" s="9">
        <f t="array" ref="D2028">xlookup(A2028,'données'!E$2:E$3608,'données'!K$2:K$3608)</f>
        <v>114.5</v>
      </c>
      <c r="E2028" s="5" t="b">
        <f t="shared" si="1"/>
        <v>0</v>
      </c>
    </row>
    <row r="2029">
      <c r="A2029" s="50" t="s">
        <v>7107</v>
      </c>
      <c r="B2029" s="61">
        <v>97.0</v>
      </c>
      <c r="C2029" s="61">
        <v>97.0</v>
      </c>
      <c r="D2029" s="9">
        <f t="array" ref="D2029">xlookup(A2029,'données'!E$2:E$3608,'données'!K$2:K$3608)</f>
        <v>119.3</v>
      </c>
      <c r="E2029" s="5" t="b">
        <f t="shared" si="1"/>
        <v>0</v>
      </c>
    </row>
    <row r="2030">
      <c r="A2030" s="50" t="s">
        <v>4090</v>
      </c>
      <c r="B2030" s="61">
        <v>96.0</v>
      </c>
      <c r="C2030" s="61">
        <v>97.0</v>
      </c>
      <c r="D2030" s="9">
        <f t="array" ref="D2030">xlookup(A2030,'données'!E$2:E$3608,'données'!K$2:K$3608)</f>
        <v>106.4</v>
      </c>
      <c r="E2030" s="5" t="b">
        <f t="shared" si="1"/>
        <v>0</v>
      </c>
    </row>
    <row r="2031">
      <c r="A2031" s="50" t="s">
        <v>300</v>
      </c>
      <c r="B2031" s="61">
        <v>98.0</v>
      </c>
      <c r="C2031" s="61">
        <v>99.0</v>
      </c>
      <c r="D2031" s="9">
        <f t="array" ref="D2031">xlookup(A2031,'données'!E$2:E$3608,'données'!K$2:K$3608)</f>
        <v>116.1</v>
      </c>
      <c r="E2031" s="5" t="b">
        <f t="shared" si="1"/>
        <v>0</v>
      </c>
    </row>
    <row r="2032">
      <c r="A2032" s="50" t="s">
        <v>7105</v>
      </c>
      <c r="B2032" s="61">
        <v>97.0</v>
      </c>
      <c r="C2032" s="61">
        <v>98.0</v>
      </c>
      <c r="D2032" s="9">
        <f t="array" ref="D2032">xlookup(A2032,'données'!E$2:E$3608,'données'!K$2:K$3608)</f>
        <v>122.1</v>
      </c>
      <c r="E2032" s="5" t="b">
        <f t="shared" si="1"/>
        <v>0</v>
      </c>
    </row>
    <row r="2033">
      <c r="A2033" s="50" t="s">
        <v>295</v>
      </c>
      <c r="B2033" s="61">
        <v>98.0</v>
      </c>
      <c r="C2033" s="61">
        <v>98.0</v>
      </c>
      <c r="D2033" s="9">
        <f t="array" ref="D2033">xlookup(A2033,'données'!E$2:E$3608,'données'!K$2:K$3608)</f>
        <v>128.9</v>
      </c>
      <c r="E2033" s="5" t="b">
        <f t="shared" si="1"/>
        <v>0</v>
      </c>
    </row>
    <row r="2034">
      <c r="A2034" s="50" t="s">
        <v>2323</v>
      </c>
      <c r="B2034" s="61">
        <v>96.0</v>
      </c>
      <c r="C2034" s="61">
        <v>96.0</v>
      </c>
      <c r="D2034" s="9">
        <f t="array" ref="D2034">xlookup(A2034,'données'!E$2:E$3608,'données'!K$2:K$3608)</f>
        <v>118.1</v>
      </c>
      <c r="E2034" s="5" t="b">
        <f t="shared" si="1"/>
        <v>0</v>
      </c>
    </row>
    <row r="2035">
      <c r="A2035" s="50" t="s">
        <v>4088</v>
      </c>
      <c r="B2035" s="61">
        <v>97.0</v>
      </c>
      <c r="C2035" s="61">
        <v>97.0</v>
      </c>
      <c r="D2035" s="9">
        <f t="array" ref="D2035">xlookup(A2035,'données'!E$2:E$3608,'données'!K$2:K$3608)</f>
        <v>116.8</v>
      </c>
      <c r="E2035" s="5" t="b">
        <f t="shared" si="1"/>
        <v>0</v>
      </c>
    </row>
    <row r="2036">
      <c r="A2036" s="50" t="s">
        <v>292</v>
      </c>
      <c r="B2036" s="61">
        <v>98.0</v>
      </c>
      <c r="C2036" s="61">
        <v>99.0</v>
      </c>
      <c r="D2036" s="9">
        <f t="array" ref="D2036">xlookup(A2036,'données'!E$2:E$3608,'données'!K$2:K$3608)</f>
        <v>107.9</v>
      </c>
      <c r="E2036" s="5" t="b">
        <f t="shared" si="1"/>
        <v>0</v>
      </c>
    </row>
    <row r="2037">
      <c r="A2037" s="50" t="s">
        <v>289</v>
      </c>
      <c r="B2037" s="61">
        <v>97.0</v>
      </c>
      <c r="C2037" s="61">
        <v>97.0</v>
      </c>
      <c r="D2037" s="9">
        <f t="array" ref="D2037">xlookup(A2037,'données'!E$2:E$3608,'données'!K$2:K$3608)</f>
        <v>115.6</v>
      </c>
      <c r="E2037" s="5" t="b">
        <f t="shared" si="1"/>
        <v>0</v>
      </c>
    </row>
    <row r="2038">
      <c r="A2038" s="50" t="s">
        <v>5617</v>
      </c>
      <c r="B2038" s="61">
        <v>100.0</v>
      </c>
      <c r="C2038" s="61">
        <v>100.0</v>
      </c>
      <c r="D2038" s="9">
        <f t="array" ref="D2038">xlookup(A2038,'données'!E$2:E$3608,'données'!K$2:K$3608)</f>
        <v>120</v>
      </c>
      <c r="E2038" s="5" t="b">
        <f t="shared" si="1"/>
        <v>0</v>
      </c>
    </row>
    <row r="2039">
      <c r="A2039" s="50" t="s">
        <v>5615</v>
      </c>
      <c r="B2039" s="61">
        <v>100.0</v>
      </c>
      <c r="C2039" s="61">
        <v>100.0</v>
      </c>
      <c r="D2039" s="9">
        <f t="array" ref="D2039">xlookup(A2039,'données'!E$2:E$3608,'données'!K$2:K$3608)</f>
        <v>117.5</v>
      </c>
      <c r="E2039" s="5" t="b">
        <f t="shared" si="1"/>
        <v>0</v>
      </c>
    </row>
    <row r="2040">
      <c r="A2040" s="50" t="s">
        <v>4080</v>
      </c>
      <c r="B2040" s="61">
        <v>100.0</v>
      </c>
      <c r="C2040" s="61">
        <v>100.0</v>
      </c>
      <c r="D2040" s="9">
        <f t="array" ref="D2040">xlookup(A2040,'données'!E$2:E$3608,'données'!K$2:K$3608)</f>
        <v>125.2</v>
      </c>
      <c r="E2040" s="5" t="b">
        <f t="shared" si="1"/>
        <v>0</v>
      </c>
    </row>
    <row r="2041">
      <c r="A2041" s="50" t="s">
        <v>4072</v>
      </c>
      <c r="B2041" s="61">
        <v>97.0</v>
      </c>
      <c r="C2041" s="61">
        <v>97.0</v>
      </c>
      <c r="D2041" s="9">
        <f t="array" ref="D2041">xlookup(A2041,'données'!E$2:E$3608,'données'!K$2:K$3608)</f>
        <v>101.6</v>
      </c>
      <c r="E2041" s="5" t="b">
        <f t="shared" si="1"/>
        <v>0</v>
      </c>
    </row>
    <row r="2042">
      <c r="A2042" s="50" t="s">
        <v>2315</v>
      </c>
      <c r="B2042" s="61">
        <v>97.0</v>
      </c>
      <c r="C2042" s="61">
        <v>99.0</v>
      </c>
      <c r="D2042" s="9">
        <f t="array" ref="D2042">xlookup(A2042,'données'!E$2:E$3608,'données'!K$2:K$3608)</f>
        <v>113.7</v>
      </c>
      <c r="E2042" s="5" t="b">
        <f t="shared" si="1"/>
        <v>0</v>
      </c>
    </row>
    <row r="2043">
      <c r="A2043" s="50" t="s">
        <v>5612</v>
      </c>
      <c r="B2043" s="61">
        <v>95.0</v>
      </c>
      <c r="C2043" s="61">
        <v>95.0</v>
      </c>
      <c r="D2043" s="9">
        <f t="array" ref="D2043">xlookup(A2043,'données'!E$2:E$3608,'données'!K$2:K$3608)</f>
        <v>113.5</v>
      </c>
      <c r="E2043" s="5" t="b">
        <f t="shared" si="1"/>
        <v>0</v>
      </c>
    </row>
    <row r="2044">
      <c r="A2044" s="50" t="s">
        <v>2313</v>
      </c>
      <c r="B2044" s="61">
        <v>98.0</v>
      </c>
      <c r="C2044" s="61">
        <v>98.0</v>
      </c>
      <c r="D2044" s="9">
        <f t="array" ref="D2044">xlookup(A2044,'données'!E$2:E$3608,'données'!K$2:K$3608)</f>
        <v>116.7</v>
      </c>
      <c r="E2044" s="5" t="b">
        <f t="shared" si="1"/>
        <v>0</v>
      </c>
    </row>
    <row r="2045">
      <c r="A2045" s="50" t="s">
        <v>286</v>
      </c>
      <c r="B2045" s="61">
        <v>97.0</v>
      </c>
      <c r="C2045" s="61">
        <v>96.0</v>
      </c>
      <c r="D2045" s="9">
        <f t="array" ref="D2045">xlookup(A2045,'données'!E$2:E$3608,'données'!K$2:K$3608)</f>
        <v>105.4</v>
      </c>
      <c r="E2045" s="5" t="b">
        <f t="shared" si="1"/>
        <v>0</v>
      </c>
    </row>
    <row r="2046">
      <c r="A2046" s="50" t="s">
        <v>7091</v>
      </c>
      <c r="B2046" s="61">
        <v>98.0</v>
      </c>
      <c r="C2046" s="61">
        <v>99.0</v>
      </c>
      <c r="D2046" s="9">
        <f t="array" ref="D2046">xlookup(A2046,'données'!E$2:E$3608,'données'!K$2:K$3608)</f>
        <v>115</v>
      </c>
      <c r="E2046" s="5" t="b">
        <f t="shared" si="1"/>
        <v>0</v>
      </c>
    </row>
    <row r="2047">
      <c r="A2047" s="50" t="s">
        <v>5610</v>
      </c>
      <c r="B2047" s="61">
        <v>96.0</v>
      </c>
      <c r="C2047" s="61">
        <v>96.0</v>
      </c>
      <c r="D2047" s="9">
        <f t="array" ref="D2047">xlookup(A2047,'données'!E$2:E$3608,'données'!K$2:K$3608)</f>
        <v>108.9</v>
      </c>
      <c r="E2047" s="5" t="b">
        <f t="shared" si="1"/>
        <v>0</v>
      </c>
    </row>
    <row r="2048">
      <c r="A2048" s="50" t="s">
        <v>4069</v>
      </c>
      <c r="B2048" s="61">
        <v>91.0</v>
      </c>
      <c r="C2048" s="61">
        <v>91.0</v>
      </c>
      <c r="D2048" s="9">
        <f t="array" ref="D2048">xlookup(A2048,'données'!E$2:E$3608,'données'!K$2:K$3608)</f>
        <v>113.5</v>
      </c>
      <c r="E2048" s="5" t="b">
        <f t="shared" si="1"/>
        <v>0</v>
      </c>
    </row>
    <row r="2049">
      <c r="A2049" s="50" t="s">
        <v>2311</v>
      </c>
      <c r="B2049" s="61">
        <v>100.0</v>
      </c>
      <c r="C2049" s="61">
        <v>100.0</v>
      </c>
      <c r="D2049" s="9">
        <f t="array" ref="D2049">xlookup(A2049,'données'!E$2:E$3608,'données'!K$2:K$3608)</f>
        <v>126.8</v>
      </c>
      <c r="E2049" s="5" t="b">
        <f t="shared" si="1"/>
        <v>0</v>
      </c>
    </row>
    <row r="2050">
      <c r="A2050" s="50" t="s">
        <v>7089</v>
      </c>
      <c r="B2050" s="61">
        <v>91.0</v>
      </c>
      <c r="C2050" s="61">
        <v>91.0</v>
      </c>
      <c r="D2050" s="9">
        <f t="array" ref="D2050">xlookup(A2050,'données'!E$2:E$3608,'données'!K$2:K$3608)</f>
        <v>104.4</v>
      </c>
      <c r="E2050" s="5" t="b">
        <f t="shared" si="1"/>
        <v>0</v>
      </c>
    </row>
    <row r="2051">
      <c r="A2051" s="50" t="s">
        <v>5608</v>
      </c>
      <c r="B2051" s="61">
        <v>100.0</v>
      </c>
      <c r="C2051" s="50"/>
      <c r="D2051" s="9">
        <f t="array" ref="D2051">xlookup(A2051,'données'!E$2:E$3608,'données'!K$2:K$3608)</f>
        <v>112</v>
      </c>
      <c r="E2051" s="5" t="b">
        <f t="shared" si="1"/>
        <v>0</v>
      </c>
    </row>
    <row r="2052">
      <c r="A2052" s="50" t="s">
        <v>2308</v>
      </c>
      <c r="B2052" s="61">
        <v>99.0</v>
      </c>
      <c r="C2052" s="61">
        <v>99.0</v>
      </c>
      <c r="D2052" s="9">
        <f t="array" ref="D2052">xlookup(A2052,'données'!E$2:E$3608,'données'!K$2:K$3608)</f>
        <v>115.4</v>
      </c>
      <c r="E2052" s="5" t="b">
        <f t="shared" si="1"/>
        <v>0</v>
      </c>
    </row>
    <row r="2053">
      <c r="A2053" s="50" t="s">
        <v>7087</v>
      </c>
      <c r="B2053" s="61">
        <v>97.0</v>
      </c>
      <c r="C2053" s="61">
        <v>99.0</v>
      </c>
      <c r="D2053" s="9">
        <f t="array" ref="D2053">xlookup(A2053,'données'!E$2:E$3608,'données'!K$2:K$3608)</f>
        <v>111.5</v>
      </c>
      <c r="E2053" s="5" t="b">
        <f t="shared" si="1"/>
        <v>0</v>
      </c>
    </row>
    <row r="2054">
      <c r="A2054" s="50" t="s">
        <v>2302</v>
      </c>
      <c r="B2054" s="61">
        <v>100.0</v>
      </c>
      <c r="C2054" s="61">
        <v>100.0</v>
      </c>
      <c r="D2054" s="9">
        <f t="array" ref="D2054">xlookup(A2054,'données'!E$2:E$3608,'données'!K$2:K$3608)</f>
        <v>116.5</v>
      </c>
      <c r="E2054" s="5" t="b">
        <f t="shared" si="1"/>
        <v>0</v>
      </c>
    </row>
    <row r="2055">
      <c r="A2055" s="50" t="s">
        <v>7084</v>
      </c>
      <c r="B2055" s="61">
        <v>100.0</v>
      </c>
      <c r="C2055" s="50"/>
      <c r="D2055" s="9">
        <f t="array" ref="D2055">xlookup(A2055,'données'!E$2:E$3608,'données'!K$2:K$3608)</f>
        <v>122.1</v>
      </c>
      <c r="E2055" s="5" t="b">
        <f t="shared" si="1"/>
        <v>0</v>
      </c>
    </row>
    <row r="2056">
      <c r="A2056" s="50" t="s">
        <v>4064</v>
      </c>
      <c r="B2056" s="61">
        <v>94.0</v>
      </c>
      <c r="C2056" s="61">
        <v>95.0</v>
      </c>
      <c r="D2056" s="9">
        <f t="array" ref="D2056">xlookup(A2056,'données'!E$2:E$3608,'données'!K$2:K$3608)</f>
        <v>121.2</v>
      </c>
      <c r="E2056" s="5" t="b">
        <f t="shared" si="1"/>
        <v>0</v>
      </c>
    </row>
    <row r="2057">
      <c r="A2057" s="50" t="s">
        <v>4061</v>
      </c>
      <c r="B2057" s="61">
        <v>95.0</v>
      </c>
      <c r="C2057" s="61">
        <v>94.0</v>
      </c>
      <c r="D2057" s="9">
        <f t="array" ref="D2057">xlookup(A2057,'données'!E$2:E$3608,'données'!K$2:K$3608)</f>
        <v>109</v>
      </c>
      <c r="E2057" s="5" t="b">
        <f t="shared" si="1"/>
        <v>0</v>
      </c>
    </row>
    <row r="2058">
      <c r="A2058" s="50" t="s">
        <v>4056</v>
      </c>
      <c r="B2058" s="61">
        <v>95.0</v>
      </c>
      <c r="C2058" s="61">
        <v>95.0</v>
      </c>
      <c r="D2058" s="9">
        <f t="array" ref="D2058">xlookup(A2058,'données'!E$2:E$3608,'données'!K$2:K$3608)</f>
        <v>124.2</v>
      </c>
      <c r="E2058" s="5" t="b">
        <f t="shared" si="1"/>
        <v>0</v>
      </c>
    </row>
    <row r="2059">
      <c r="A2059" s="50" t="s">
        <v>4054</v>
      </c>
      <c r="B2059" s="61">
        <v>100.0</v>
      </c>
      <c r="C2059" s="50"/>
      <c r="D2059" s="9">
        <f t="array" ref="D2059">xlookup(A2059,'données'!E$2:E$3608,'données'!K$2:K$3608)</f>
        <v>99.4</v>
      </c>
      <c r="E2059" s="5" t="b">
        <f t="shared" si="1"/>
        <v>0</v>
      </c>
    </row>
    <row r="2060">
      <c r="A2060" s="50" t="s">
        <v>7083</v>
      </c>
      <c r="B2060" s="61">
        <v>97.0</v>
      </c>
      <c r="C2060" s="61">
        <v>97.0</v>
      </c>
      <c r="D2060" s="9">
        <f t="array" ref="D2060">xlookup(A2060,'données'!E$2:E$3608,'données'!K$2:K$3608)</f>
        <v>130.4</v>
      </c>
      <c r="E2060" s="5" t="b">
        <f t="shared" si="1"/>
        <v>0</v>
      </c>
    </row>
    <row r="2061">
      <c r="A2061" s="50" t="s">
        <v>4051</v>
      </c>
      <c r="B2061" s="61">
        <v>94.0</v>
      </c>
      <c r="C2061" s="61">
        <v>96.0</v>
      </c>
      <c r="D2061" s="9">
        <f t="array" ref="D2061">xlookup(A2061,'données'!E$2:E$3608,'données'!K$2:K$3608)</f>
        <v>115.1</v>
      </c>
      <c r="E2061" s="5" t="b">
        <f t="shared" si="1"/>
        <v>0</v>
      </c>
    </row>
    <row r="2062">
      <c r="A2062" s="50" t="s">
        <v>276</v>
      </c>
      <c r="B2062" s="61">
        <v>100.0</v>
      </c>
      <c r="C2062" s="50"/>
      <c r="D2062" s="9">
        <f t="array" ref="D2062">xlookup(A2062,'données'!E$2:E$3608,'données'!K$2:K$3608)</f>
        <v>98.9</v>
      </c>
      <c r="E2062" s="5" t="b">
        <f t="shared" si="1"/>
        <v>0</v>
      </c>
    </row>
    <row r="2063">
      <c r="A2063" s="50" t="s">
        <v>2296</v>
      </c>
      <c r="B2063" s="61">
        <v>97.0</v>
      </c>
      <c r="C2063" s="61">
        <v>98.0</v>
      </c>
      <c r="D2063" s="9">
        <f t="array" ref="D2063">xlookup(A2063,'données'!E$2:E$3608,'données'!K$2:K$3608)</f>
        <v>108.8</v>
      </c>
      <c r="E2063" s="5" t="b">
        <f t="shared" si="1"/>
        <v>0</v>
      </c>
    </row>
    <row r="2064">
      <c r="A2064" s="50" t="s">
        <v>4049</v>
      </c>
      <c r="B2064" s="61">
        <v>100.0</v>
      </c>
      <c r="C2064" s="50"/>
      <c r="D2064" s="9">
        <f t="array" ref="D2064">xlookup(A2064,'données'!E$2:E$3608,'données'!K$2:K$3608)</f>
        <v>95.5</v>
      </c>
      <c r="E2064" s="5" t="b">
        <f t="shared" si="1"/>
        <v>0</v>
      </c>
    </row>
    <row r="2065">
      <c r="A2065" s="50" t="s">
        <v>5606</v>
      </c>
      <c r="B2065" s="61">
        <v>96.0</v>
      </c>
      <c r="C2065" s="61">
        <v>98.0</v>
      </c>
      <c r="D2065" s="9">
        <f t="array" ref="D2065">xlookup(A2065,'données'!E$2:E$3608,'données'!K$2:K$3608)</f>
        <v>98.1</v>
      </c>
      <c r="E2065" s="5" t="b">
        <f t="shared" si="1"/>
        <v>0</v>
      </c>
    </row>
    <row r="2066">
      <c r="A2066" s="50" t="s">
        <v>2294</v>
      </c>
      <c r="B2066" s="61">
        <v>95.0</v>
      </c>
      <c r="C2066" s="61">
        <v>99.0</v>
      </c>
      <c r="D2066" s="9">
        <f t="array" ref="D2066">xlookup(A2066,'données'!E$2:E$3608,'données'!K$2:K$3608)</f>
        <v>106.5</v>
      </c>
      <c r="E2066" s="5" t="b">
        <f t="shared" si="1"/>
        <v>0</v>
      </c>
    </row>
    <row r="2067">
      <c r="A2067" s="50" t="s">
        <v>2290</v>
      </c>
      <c r="B2067" s="61">
        <v>100.0</v>
      </c>
      <c r="C2067" s="50"/>
      <c r="D2067" s="9">
        <f t="array" ref="D2067">xlookup(A2067,'données'!E$2:E$3608,'données'!K$2:K$3608)</f>
        <v>106.5</v>
      </c>
      <c r="E2067" s="5" t="b">
        <f t="shared" si="1"/>
        <v>0</v>
      </c>
    </row>
    <row r="2068">
      <c r="A2068" s="50" t="s">
        <v>7073</v>
      </c>
      <c r="B2068" s="61">
        <v>100.0</v>
      </c>
      <c r="C2068" s="61">
        <v>100.0</v>
      </c>
      <c r="D2068" s="9">
        <f t="array" ref="D2068">xlookup(A2068,'données'!E$2:E$3608,'données'!K$2:K$3608)</f>
        <v>113.3</v>
      </c>
      <c r="E2068" s="5" t="b">
        <f t="shared" si="1"/>
        <v>0</v>
      </c>
    </row>
    <row r="2069">
      <c r="A2069" s="50" t="s">
        <v>5603</v>
      </c>
      <c r="B2069" s="61">
        <v>99.0</v>
      </c>
      <c r="C2069" s="61">
        <v>99.0</v>
      </c>
      <c r="D2069" s="9">
        <f t="array" ref="D2069">xlookup(A2069,'données'!E$2:E$3608,'données'!K$2:K$3608)</f>
        <v>126.3</v>
      </c>
      <c r="E2069" s="5" t="b">
        <f t="shared" si="1"/>
        <v>0</v>
      </c>
    </row>
    <row r="2070">
      <c r="A2070" s="50" t="s">
        <v>4047</v>
      </c>
      <c r="B2070" s="61">
        <v>97.0</v>
      </c>
      <c r="C2070" s="61">
        <v>97.0</v>
      </c>
      <c r="D2070" s="9">
        <f t="array" ref="D2070">xlookup(A2070,'données'!E$2:E$3608,'données'!K$2:K$3608)</f>
        <v>117</v>
      </c>
      <c r="E2070" s="5" t="b">
        <f t="shared" si="1"/>
        <v>0</v>
      </c>
    </row>
    <row r="2071">
      <c r="A2071" s="50" t="s">
        <v>7071</v>
      </c>
      <c r="B2071" s="61">
        <v>100.0</v>
      </c>
      <c r="C2071" s="61">
        <v>100.0</v>
      </c>
      <c r="D2071" s="9">
        <f t="array" ref="D2071">xlookup(A2071,'données'!E$2:E$3608,'données'!K$2:K$3608)</f>
        <v>119.6</v>
      </c>
      <c r="E2071" s="5" t="b">
        <f t="shared" si="1"/>
        <v>0</v>
      </c>
    </row>
    <row r="2072">
      <c r="A2072" s="50" t="s">
        <v>4045</v>
      </c>
      <c r="B2072" s="61">
        <v>100.0</v>
      </c>
      <c r="C2072" s="61">
        <v>100.0</v>
      </c>
      <c r="D2072" s="9">
        <f t="array" ref="D2072">xlookup(A2072,'données'!E$2:E$3608,'données'!K$2:K$3608)</f>
        <v>127</v>
      </c>
      <c r="E2072" s="5" t="b">
        <f t="shared" si="1"/>
        <v>0</v>
      </c>
    </row>
    <row r="2073">
      <c r="A2073" s="50" t="s">
        <v>271</v>
      </c>
      <c r="B2073" s="61">
        <v>100.0</v>
      </c>
      <c r="C2073" s="61">
        <v>100.0</v>
      </c>
      <c r="D2073" s="9">
        <f t="array" ref="D2073">xlookup(A2073,'données'!E$2:E$3608,'données'!K$2:K$3608)</f>
        <v>131.7</v>
      </c>
      <c r="E2073" s="5" t="b">
        <f t="shared" si="1"/>
        <v>0</v>
      </c>
    </row>
    <row r="2074">
      <c r="A2074" s="50" t="s">
        <v>2287</v>
      </c>
      <c r="B2074" s="61">
        <v>100.0</v>
      </c>
      <c r="C2074" s="61">
        <v>100.0</v>
      </c>
      <c r="D2074" s="9">
        <f t="array" ref="D2074">xlookup(A2074,'données'!E$2:E$3608,'données'!K$2:K$3608)</f>
        <v>108.8</v>
      </c>
      <c r="E2074" s="5" t="b">
        <f t="shared" si="1"/>
        <v>0</v>
      </c>
    </row>
    <row r="2075">
      <c r="A2075" s="50" t="s">
        <v>4043</v>
      </c>
      <c r="B2075" s="61">
        <v>97.0</v>
      </c>
      <c r="C2075" s="61">
        <v>97.0</v>
      </c>
      <c r="D2075" s="9">
        <f t="array" ref="D2075">xlookup(A2075,'données'!E$2:E$3608,'données'!K$2:K$3608)</f>
        <v>111.1</v>
      </c>
      <c r="E2075" s="5" t="b">
        <f t="shared" si="1"/>
        <v>0</v>
      </c>
    </row>
    <row r="2076">
      <c r="A2076" s="50" t="s">
        <v>5600</v>
      </c>
      <c r="B2076" s="61">
        <v>98.0</v>
      </c>
      <c r="C2076" s="61">
        <v>98.0</v>
      </c>
      <c r="D2076" s="9">
        <f t="array" ref="D2076">xlookup(A2076,'données'!E$2:E$3608,'données'!K$2:K$3608)</f>
        <v>117.5</v>
      </c>
      <c r="E2076" s="5" t="b">
        <f t="shared" si="1"/>
        <v>0</v>
      </c>
    </row>
    <row r="2077">
      <c r="A2077" s="50" t="s">
        <v>5597</v>
      </c>
      <c r="B2077" s="61">
        <v>95.0</v>
      </c>
      <c r="C2077" s="61">
        <v>97.0</v>
      </c>
      <c r="D2077" s="9">
        <f t="array" ref="D2077">xlookup(A2077,'données'!E$2:E$3608,'données'!K$2:K$3608)</f>
        <v>115.9</v>
      </c>
      <c r="E2077" s="5" t="b">
        <f t="shared" si="1"/>
        <v>0</v>
      </c>
    </row>
    <row r="2078">
      <c r="A2078" s="50" t="s">
        <v>4040</v>
      </c>
      <c r="B2078" s="61">
        <v>98.0</v>
      </c>
      <c r="C2078" s="61">
        <v>98.0</v>
      </c>
      <c r="D2078" s="9">
        <f t="array" ref="D2078">xlookup(A2078,'données'!E$2:E$3608,'données'!K$2:K$3608)</f>
        <v>107.7</v>
      </c>
      <c r="E2078" s="5" t="b">
        <f t="shared" si="1"/>
        <v>0</v>
      </c>
    </row>
    <row r="2079">
      <c r="A2079" s="50" t="s">
        <v>4039</v>
      </c>
      <c r="B2079" s="61">
        <v>94.0</v>
      </c>
      <c r="C2079" s="61">
        <v>95.0</v>
      </c>
      <c r="D2079" s="9">
        <f t="array" ref="D2079">xlookup(A2079,'données'!E$2:E$3608,'données'!K$2:K$3608)</f>
        <v>104.7</v>
      </c>
      <c r="E2079" s="5" t="b">
        <f t="shared" si="1"/>
        <v>0</v>
      </c>
    </row>
    <row r="2080">
      <c r="A2080" s="50" t="s">
        <v>5596</v>
      </c>
      <c r="B2080" s="61">
        <v>97.0</v>
      </c>
      <c r="C2080" s="61">
        <v>98.0</v>
      </c>
      <c r="D2080" s="9">
        <f t="array" ref="D2080">xlookup(A2080,'données'!E$2:E$3608,'données'!K$2:K$3608)</f>
        <v>114.4</v>
      </c>
      <c r="E2080" s="5" t="b">
        <f t="shared" si="1"/>
        <v>0</v>
      </c>
    </row>
    <row r="2081">
      <c r="A2081" s="50" t="s">
        <v>5594</v>
      </c>
      <c r="B2081" s="61">
        <v>98.0</v>
      </c>
      <c r="C2081" s="61">
        <v>98.0</v>
      </c>
      <c r="D2081" s="9">
        <f t="array" ref="D2081">xlookup(A2081,'données'!E$2:E$3608,'données'!K$2:K$3608)</f>
        <v>127</v>
      </c>
      <c r="E2081" s="5" t="b">
        <f t="shared" si="1"/>
        <v>0</v>
      </c>
    </row>
    <row r="2082">
      <c r="A2082" s="50" t="s">
        <v>5592</v>
      </c>
      <c r="B2082" s="61">
        <v>98.0</v>
      </c>
      <c r="C2082" s="61">
        <v>98.0</v>
      </c>
      <c r="D2082" s="9">
        <f t="array" ref="D2082">xlookup(A2082,'données'!E$2:E$3608,'données'!K$2:K$3608)</f>
        <v>122.7</v>
      </c>
      <c r="E2082" s="5" t="b">
        <f t="shared" si="1"/>
        <v>0</v>
      </c>
    </row>
    <row r="2083">
      <c r="A2083" s="50" t="s">
        <v>2279</v>
      </c>
      <c r="B2083" s="61">
        <v>100.0</v>
      </c>
      <c r="C2083" s="61">
        <v>100.0</v>
      </c>
      <c r="D2083" s="9">
        <f t="array" ref="D2083">xlookup(A2083,'données'!E$2:E$3608,'données'!K$2:K$3608)</f>
        <v>111.1</v>
      </c>
      <c r="E2083" s="5" t="b">
        <f t="shared" si="1"/>
        <v>0</v>
      </c>
    </row>
    <row r="2084">
      <c r="A2084" s="50" t="s">
        <v>5590</v>
      </c>
      <c r="B2084" s="61">
        <v>99.0</v>
      </c>
      <c r="C2084" s="61">
        <v>99.0</v>
      </c>
      <c r="D2084" s="9">
        <f t="array" ref="D2084">xlookup(A2084,'données'!E$2:E$3608,'données'!K$2:K$3608)</f>
        <v>92.7</v>
      </c>
      <c r="E2084" s="5" t="b">
        <f t="shared" si="1"/>
        <v>0</v>
      </c>
    </row>
    <row r="2085">
      <c r="A2085" s="50" t="s">
        <v>4036</v>
      </c>
      <c r="B2085" s="61">
        <v>100.0</v>
      </c>
      <c r="C2085" s="61">
        <v>100.0</v>
      </c>
      <c r="D2085" s="9">
        <f t="array" ref="D2085">xlookup(A2085,'données'!E$2:E$3608,'données'!K$2:K$3608)</f>
        <v>117.2</v>
      </c>
      <c r="E2085" s="5" t="b">
        <f t="shared" si="1"/>
        <v>0</v>
      </c>
    </row>
    <row r="2086">
      <c r="A2086" s="50" t="s">
        <v>2273</v>
      </c>
      <c r="B2086" s="61">
        <v>97.0</v>
      </c>
      <c r="C2086" s="61">
        <v>97.0</v>
      </c>
      <c r="D2086" s="9">
        <f t="array" ref="D2086">xlookup(A2086,'données'!E$2:E$3608,'données'!K$2:K$3608)</f>
        <v>100.4</v>
      </c>
      <c r="E2086" s="5" t="b">
        <f t="shared" si="1"/>
        <v>0</v>
      </c>
    </row>
    <row r="2087">
      <c r="A2087" s="50" t="s">
        <v>2270</v>
      </c>
      <c r="B2087" s="61">
        <v>100.0</v>
      </c>
      <c r="C2087" s="61">
        <v>100.0</v>
      </c>
      <c r="D2087" s="9">
        <f t="array" ref="D2087">xlookup(A2087,'données'!E$2:E$3608,'données'!K$2:K$3608)</f>
        <v>93.1</v>
      </c>
      <c r="E2087" s="5" t="b">
        <f t="shared" si="1"/>
        <v>0</v>
      </c>
    </row>
    <row r="2088">
      <c r="A2088" s="50" t="s">
        <v>5587</v>
      </c>
      <c r="B2088" s="61">
        <v>100.0</v>
      </c>
      <c r="C2088" s="61">
        <v>100.0</v>
      </c>
      <c r="D2088" s="9">
        <f t="array" ref="D2088">xlookup(A2088,'données'!E$2:E$3608,'données'!K$2:K$3608)</f>
        <v>135</v>
      </c>
      <c r="E2088" s="5" t="b">
        <f t="shared" si="1"/>
        <v>0</v>
      </c>
    </row>
    <row r="2089">
      <c r="A2089" s="50" t="s">
        <v>7065</v>
      </c>
      <c r="B2089" s="61">
        <v>100.0</v>
      </c>
      <c r="C2089" s="61">
        <v>100.0</v>
      </c>
      <c r="D2089" s="9">
        <f t="array" ref="D2089">xlookup(A2089,'données'!E$2:E$3608,'données'!K$2:K$3608)</f>
        <v>124.3</v>
      </c>
      <c r="E2089" s="5" t="b">
        <f t="shared" si="1"/>
        <v>0</v>
      </c>
    </row>
    <row r="2090">
      <c r="A2090" s="50" t="s">
        <v>5585</v>
      </c>
      <c r="B2090" s="61">
        <v>99.0</v>
      </c>
      <c r="C2090" s="61">
        <v>99.0</v>
      </c>
      <c r="D2090" s="9">
        <f t="array" ref="D2090">xlookup(A2090,'données'!E$2:E$3608,'données'!K$2:K$3608)</f>
        <v>138.8</v>
      </c>
      <c r="E2090" s="5" t="b">
        <f t="shared" si="1"/>
        <v>0</v>
      </c>
    </row>
    <row r="2091">
      <c r="A2091" s="50" t="s">
        <v>7063</v>
      </c>
      <c r="B2091" s="61">
        <v>98.0</v>
      </c>
      <c r="C2091" s="50"/>
      <c r="D2091" s="9">
        <f t="array" ref="D2091">xlookup(A2091,'données'!E$2:E$3608,'données'!K$2:K$3608)</f>
        <v>118.2</v>
      </c>
      <c r="E2091" s="5" t="b">
        <f t="shared" si="1"/>
        <v>0</v>
      </c>
    </row>
    <row r="2092">
      <c r="A2092" s="50" t="s">
        <v>2265</v>
      </c>
      <c r="B2092" s="61">
        <v>100.0</v>
      </c>
      <c r="C2092" s="50"/>
      <c r="D2092" s="9">
        <f t="array" ref="D2092">xlookup(A2092,'données'!E$2:E$3608,'données'!K$2:K$3608)</f>
        <v>103.9</v>
      </c>
      <c r="E2092" s="5" t="b">
        <f t="shared" si="1"/>
        <v>0</v>
      </c>
    </row>
    <row r="2093">
      <c r="A2093" s="50" t="s">
        <v>5583</v>
      </c>
      <c r="B2093" s="61">
        <v>100.0</v>
      </c>
      <c r="C2093" s="61">
        <v>100.0</v>
      </c>
      <c r="D2093" s="9">
        <f t="array" ref="D2093">xlookup(A2093,'données'!E$2:E$3608,'données'!K$2:K$3608)</f>
        <v>130.2</v>
      </c>
      <c r="E2093" s="5" t="b">
        <f t="shared" si="1"/>
        <v>0</v>
      </c>
    </row>
    <row r="2094">
      <c r="A2094" s="50" t="s">
        <v>4032</v>
      </c>
      <c r="B2094" s="61">
        <v>92.0</v>
      </c>
      <c r="C2094" s="61">
        <v>88.0</v>
      </c>
      <c r="D2094" s="9">
        <f t="array" ref="D2094">xlookup(A2094,'données'!E$2:E$3608,'données'!K$2:K$3608)</f>
        <v>96.4</v>
      </c>
      <c r="E2094" s="5" t="b">
        <f t="shared" si="1"/>
        <v>0</v>
      </c>
    </row>
    <row r="2095">
      <c r="A2095" s="50" t="s">
        <v>4030</v>
      </c>
      <c r="B2095" s="61">
        <v>100.0</v>
      </c>
      <c r="C2095" s="50"/>
      <c r="D2095" s="9">
        <f t="array" ref="D2095">xlookup(A2095,'données'!E$2:E$3608,'données'!K$2:K$3608)</f>
        <v>117.6</v>
      </c>
      <c r="E2095" s="5" t="b">
        <f t="shared" si="1"/>
        <v>0</v>
      </c>
    </row>
    <row r="2096">
      <c r="A2096" s="50" t="s">
        <v>267</v>
      </c>
      <c r="B2096" s="61">
        <v>98.0</v>
      </c>
      <c r="C2096" s="61">
        <v>97.0</v>
      </c>
      <c r="D2096" s="9">
        <f t="array" ref="D2096">xlookup(A2096,'données'!E$2:E$3608,'données'!K$2:K$3608)</f>
        <v>109</v>
      </c>
      <c r="E2096" s="5" t="b">
        <f t="shared" si="1"/>
        <v>0</v>
      </c>
    </row>
    <row r="2097">
      <c r="A2097" s="50" t="s">
        <v>7060</v>
      </c>
      <c r="B2097" s="61">
        <v>100.0</v>
      </c>
      <c r="C2097" s="61">
        <v>100.0</v>
      </c>
      <c r="D2097" s="9">
        <f t="array" ref="D2097">xlookup(A2097,'données'!E$2:E$3608,'données'!K$2:K$3608)</f>
        <v>129.4</v>
      </c>
      <c r="E2097" s="5" t="b">
        <f t="shared" si="1"/>
        <v>0</v>
      </c>
    </row>
    <row r="2098">
      <c r="A2098" s="50" t="s">
        <v>4029</v>
      </c>
      <c r="B2098" s="61">
        <v>99.0</v>
      </c>
      <c r="C2098" s="61">
        <v>100.0</v>
      </c>
      <c r="D2098" s="9">
        <f t="array" ref="D2098">xlookup(A2098,'données'!E$2:E$3608,'données'!K$2:K$3608)</f>
        <v>108.5</v>
      </c>
      <c r="E2098" s="5" t="b">
        <f t="shared" si="1"/>
        <v>0</v>
      </c>
    </row>
    <row r="2099">
      <c r="A2099" s="50" t="s">
        <v>4023</v>
      </c>
      <c r="B2099" s="61">
        <v>99.0</v>
      </c>
      <c r="C2099" s="61">
        <v>100.0</v>
      </c>
      <c r="D2099" s="9">
        <f t="array" ref="D2099">xlookup(A2099,'données'!E$2:E$3608,'données'!K$2:K$3608)</f>
        <v>125.5</v>
      </c>
      <c r="E2099" s="5" t="b">
        <f t="shared" si="1"/>
        <v>0</v>
      </c>
    </row>
    <row r="2100">
      <c r="A2100" s="50" t="s">
        <v>5579</v>
      </c>
      <c r="B2100" s="61">
        <v>98.0</v>
      </c>
      <c r="C2100" s="61">
        <v>99.0</v>
      </c>
      <c r="D2100" s="9">
        <f t="array" ref="D2100">xlookup(A2100,'données'!E$2:E$3608,'données'!K$2:K$3608)</f>
        <v>97.9</v>
      </c>
      <c r="E2100" s="5" t="b">
        <f t="shared" si="1"/>
        <v>0</v>
      </c>
    </row>
    <row r="2101">
      <c r="A2101" s="50" t="s">
        <v>5577</v>
      </c>
      <c r="B2101" s="61">
        <v>98.0</v>
      </c>
      <c r="C2101" s="61">
        <v>99.0</v>
      </c>
      <c r="D2101" s="9">
        <f t="array" ref="D2101">xlookup(A2101,'données'!E$2:E$3608,'données'!K$2:K$3608)</f>
        <v>108</v>
      </c>
      <c r="E2101" s="5" t="b">
        <f t="shared" si="1"/>
        <v>0</v>
      </c>
    </row>
    <row r="2102">
      <c r="A2102" s="50" t="s">
        <v>5575</v>
      </c>
      <c r="B2102" s="61">
        <v>100.0</v>
      </c>
      <c r="C2102" s="50"/>
      <c r="D2102" s="9">
        <f t="array" ref="D2102">xlookup(A2102,'données'!E$2:E$3608,'données'!K$2:K$3608)</f>
        <v>114.7</v>
      </c>
      <c r="E2102" s="5" t="b">
        <f t="shared" si="1"/>
        <v>0</v>
      </c>
    </row>
    <row r="2103">
      <c r="A2103" s="50" t="s">
        <v>5573</v>
      </c>
      <c r="B2103" s="61">
        <v>98.0</v>
      </c>
      <c r="C2103" s="50"/>
      <c r="D2103" s="9">
        <f t="array" ref="D2103">xlookup(A2103,'données'!E$2:E$3608,'données'!K$2:K$3608)</f>
        <v>109.6</v>
      </c>
      <c r="E2103" s="5" t="b">
        <f t="shared" si="1"/>
        <v>0</v>
      </c>
    </row>
    <row r="2104">
      <c r="A2104" s="50" t="s">
        <v>5572</v>
      </c>
      <c r="B2104" s="61">
        <v>100.0</v>
      </c>
      <c r="C2104" s="61">
        <v>100.0</v>
      </c>
      <c r="D2104" s="9">
        <f t="array" ref="D2104">xlookup(A2104,'données'!E$2:E$3608,'données'!K$2:K$3608)</f>
        <v>141.8</v>
      </c>
      <c r="E2104" s="5" t="b">
        <f t="shared" si="1"/>
        <v>0</v>
      </c>
    </row>
    <row r="2105">
      <c r="A2105" s="50" t="s">
        <v>265</v>
      </c>
      <c r="B2105" s="61">
        <v>97.0</v>
      </c>
      <c r="C2105" s="61">
        <v>97.0</v>
      </c>
      <c r="D2105" s="9">
        <f t="array" ref="D2105">xlookup(A2105,'données'!E$2:E$3608,'données'!K$2:K$3608)</f>
        <v>96.8</v>
      </c>
      <c r="E2105" s="5" t="b">
        <f t="shared" si="1"/>
        <v>0</v>
      </c>
    </row>
    <row r="2106">
      <c r="A2106" s="50" t="s">
        <v>2262</v>
      </c>
      <c r="B2106" s="61">
        <v>99.0</v>
      </c>
      <c r="C2106" s="61">
        <v>100.0</v>
      </c>
      <c r="D2106" s="9">
        <f t="array" ref="D2106">xlookup(A2106,'données'!E$2:E$3608,'données'!K$2:K$3608)</f>
        <v>108.9</v>
      </c>
      <c r="E2106" s="5" t="b">
        <f t="shared" si="1"/>
        <v>0</v>
      </c>
    </row>
    <row r="2107">
      <c r="A2107" s="50" t="s">
        <v>7055</v>
      </c>
      <c r="B2107" s="61">
        <v>100.0</v>
      </c>
      <c r="C2107" s="61">
        <v>100.0</v>
      </c>
      <c r="D2107" s="9">
        <f t="array" ref="D2107">xlookup(A2107,'données'!E$2:E$3608,'données'!K$2:K$3608)</f>
        <v>110.1</v>
      </c>
      <c r="E2107" s="5" t="b">
        <f t="shared" si="1"/>
        <v>0</v>
      </c>
    </row>
    <row r="2108">
      <c r="A2108" s="50" t="s">
        <v>2259</v>
      </c>
      <c r="B2108" s="61">
        <v>97.0</v>
      </c>
      <c r="C2108" s="61">
        <v>98.0</v>
      </c>
      <c r="D2108" s="9">
        <f t="array" ref="D2108">xlookup(A2108,'données'!E$2:E$3608,'données'!K$2:K$3608)</f>
        <v>107.3</v>
      </c>
      <c r="E2108" s="5" t="b">
        <f t="shared" si="1"/>
        <v>0</v>
      </c>
    </row>
    <row r="2109">
      <c r="A2109" s="50" t="s">
        <v>5569</v>
      </c>
      <c r="B2109" s="61">
        <v>100.0</v>
      </c>
      <c r="C2109" s="50"/>
      <c r="D2109" s="9">
        <f t="array" ref="D2109">xlookup(A2109,'données'!E$2:E$3608,'données'!K$2:K$3608)</f>
        <v>96.3</v>
      </c>
      <c r="E2109" s="5" t="b">
        <f t="shared" si="1"/>
        <v>0</v>
      </c>
    </row>
    <row r="2110">
      <c r="A2110" s="50" t="s">
        <v>5567</v>
      </c>
      <c r="B2110" s="61">
        <v>97.0</v>
      </c>
      <c r="C2110" s="61">
        <v>99.0</v>
      </c>
      <c r="D2110" s="9">
        <f t="array" ref="D2110">xlookup(A2110,'données'!E$2:E$3608,'données'!K$2:K$3608)</f>
        <v>115.4</v>
      </c>
      <c r="E2110" s="5" t="b">
        <f t="shared" si="1"/>
        <v>0</v>
      </c>
    </row>
    <row r="2111">
      <c r="A2111" s="50" t="s">
        <v>263</v>
      </c>
      <c r="B2111" s="61">
        <v>99.0</v>
      </c>
      <c r="C2111" s="61">
        <v>100.0</v>
      </c>
      <c r="D2111" s="9">
        <f t="array" ref="D2111">xlookup(A2111,'données'!E$2:E$3608,'données'!K$2:K$3608)</f>
        <v>130.8</v>
      </c>
      <c r="E2111" s="5" t="b">
        <f t="shared" si="1"/>
        <v>0</v>
      </c>
    </row>
    <row r="2112">
      <c r="A2112" s="50" t="s">
        <v>260</v>
      </c>
      <c r="B2112" s="61">
        <v>98.0</v>
      </c>
      <c r="C2112" s="61">
        <v>99.0</v>
      </c>
      <c r="D2112" s="9">
        <f t="array" ref="D2112">xlookup(A2112,'données'!E$2:E$3608,'données'!K$2:K$3608)</f>
        <v>121.5</v>
      </c>
      <c r="E2112" s="5" t="b">
        <f t="shared" si="1"/>
        <v>0</v>
      </c>
    </row>
    <row r="2113">
      <c r="A2113" s="50" t="s">
        <v>257</v>
      </c>
      <c r="B2113" s="61">
        <v>90.0</v>
      </c>
      <c r="C2113" s="50"/>
      <c r="D2113" s="9">
        <f t="array" ref="D2113">xlookup(A2113,'données'!E$2:E$3608,'données'!K$2:K$3608)</f>
        <v>100.6</v>
      </c>
      <c r="E2113" s="5" t="b">
        <f t="shared" si="1"/>
        <v>0</v>
      </c>
    </row>
    <row r="2114">
      <c r="A2114" s="50" t="s">
        <v>4018</v>
      </c>
      <c r="B2114" s="61">
        <v>98.0</v>
      </c>
      <c r="C2114" s="61">
        <v>98.0</v>
      </c>
      <c r="D2114" s="9">
        <f t="array" ref="D2114">xlookup(A2114,'données'!E$2:E$3608,'données'!K$2:K$3608)</f>
        <v>118.2</v>
      </c>
      <c r="E2114" s="5" t="b">
        <f t="shared" si="1"/>
        <v>0</v>
      </c>
    </row>
    <row r="2115">
      <c r="A2115" s="50" t="s">
        <v>255</v>
      </c>
      <c r="B2115" s="61">
        <v>100.0</v>
      </c>
      <c r="C2115" s="61">
        <v>100.0</v>
      </c>
      <c r="D2115" s="9">
        <f t="array" ref="D2115">xlookup(A2115,'données'!E$2:E$3608,'données'!K$2:K$3608)</f>
        <v>127.2</v>
      </c>
      <c r="E2115" s="5" t="b">
        <f t="shared" si="1"/>
        <v>0</v>
      </c>
    </row>
    <row r="2116">
      <c r="A2116" s="50" t="s">
        <v>2251</v>
      </c>
      <c r="B2116" s="61">
        <v>94.0</v>
      </c>
      <c r="C2116" s="50"/>
      <c r="D2116" s="9">
        <f t="array" ref="D2116">xlookup(A2116,'données'!E$2:E$3608,'données'!K$2:K$3608)</f>
        <v>86.8</v>
      </c>
      <c r="E2116" s="5" t="b">
        <f t="shared" si="1"/>
        <v>0</v>
      </c>
    </row>
    <row r="2117">
      <c r="A2117" s="50" t="s">
        <v>5563</v>
      </c>
      <c r="B2117" s="61">
        <v>99.0</v>
      </c>
      <c r="C2117" s="61">
        <v>96.0</v>
      </c>
      <c r="D2117" s="9">
        <f t="array" ref="D2117">xlookup(A2117,'données'!E$2:E$3608,'données'!K$2:K$3608)</f>
        <v>103</v>
      </c>
      <c r="E2117" s="5" t="b">
        <f t="shared" si="1"/>
        <v>0</v>
      </c>
    </row>
    <row r="2118">
      <c r="A2118" s="50" t="s">
        <v>5561</v>
      </c>
      <c r="B2118" s="61">
        <v>100.0</v>
      </c>
      <c r="C2118" s="50"/>
      <c r="D2118" s="9">
        <f t="array" ref="D2118">xlookup(A2118,'données'!E$2:E$3608,'données'!K$2:K$3608)</f>
        <v>101.2</v>
      </c>
      <c r="E2118" s="5" t="b">
        <f t="shared" si="1"/>
        <v>0</v>
      </c>
    </row>
    <row r="2119">
      <c r="A2119" s="50" t="s">
        <v>7045</v>
      </c>
      <c r="B2119" s="61">
        <v>98.0</v>
      </c>
      <c r="C2119" s="61">
        <v>96.0</v>
      </c>
      <c r="D2119" s="9">
        <f t="array" ref="D2119">xlookup(A2119,'données'!E$2:E$3608,'données'!K$2:K$3608)</f>
        <v>129.5</v>
      </c>
      <c r="E2119" s="5" t="b">
        <f t="shared" si="1"/>
        <v>0</v>
      </c>
    </row>
    <row r="2120">
      <c r="A2120" s="50" t="s">
        <v>248</v>
      </c>
      <c r="B2120" s="61">
        <v>100.0</v>
      </c>
      <c r="C2120" s="61">
        <v>100.0</v>
      </c>
      <c r="D2120" s="9">
        <f t="array" ref="D2120">xlookup(A2120,'données'!E$2:E$3608,'données'!K$2:K$3608)</f>
        <v>137.2</v>
      </c>
      <c r="E2120" s="5" t="b">
        <f t="shared" si="1"/>
        <v>0</v>
      </c>
    </row>
    <row r="2121">
      <c r="A2121" s="50" t="s">
        <v>5560</v>
      </c>
      <c r="B2121" s="61">
        <v>100.0</v>
      </c>
      <c r="C2121" s="61">
        <v>100.0</v>
      </c>
      <c r="D2121" s="9">
        <f t="array" ref="D2121">xlookup(A2121,'données'!E$2:E$3608,'données'!K$2:K$3608)</f>
        <v>124.2</v>
      </c>
      <c r="E2121" s="5" t="b">
        <f t="shared" si="1"/>
        <v>0</v>
      </c>
    </row>
    <row r="2122">
      <c r="A2122" s="50" t="s">
        <v>245</v>
      </c>
      <c r="B2122" s="61">
        <v>99.0</v>
      </c>
      <c r="C2122" s="61">
        <v>99.0</v>
      </c>
      <c r="D2122" s="9">
        <f t="array" ref="D2122">xlookup(A2122,'données'!E$2:E$3608,'données'!K$2:K$3608)</f>
        <v>131.9</v>
      </c>
      <c r="E2122" s="5" t="b">
        <f t="shared" si="1"/>
        <v>0</v>
      </c>
    </row>
    <row r="2123">
      <c r="A2123" s="50" t="s">
        <v>2248</v>
      </c>
      <c r="B2123" s="61">
        <v>100.0</v>
      </c>
      <c r="C2123" s="61">
        <v>100.0</v>
      </c>
      <c r="D2123" s="9">
        <f t="array" ref="D2123">xlookup(A2123,'données'!E$2:E$3608,'données'!K$2:K$3608)</f>
        <v>130.6</v>
      </c>
      <c r="E2123" s="5" t="b">
        <f t="shared" si="1"/>
        <v>0</v>
      </c>
    </row>
    <row r="2124">
      <c r="A2124" s="50" t="s">
        <v>2246</v>
      </c>
      <c r="B2124" s="61">
        <v>100.0</v>
      </c>
      <c r="C2124" s="61">
        <v>100.0</v>
      </c>
      <c r="D2124" s="9">
        <f t="array" ref="D2124">xlookup(A2124,'données'!E$2:E$3608,'données'!K$2:K$3608)</f>
        <v>128.2</v>
      </c>
      <c r="E2124" s="5" t="b">
        <f t="shared" si="1"/>
        <v>0</v>
      </c>
    </row>
    <row r="2125">
      <c r="A2125" s="50" t="s">
        <v>2244</v>
      </c>
      <c r="B2125" s="61">
        <v>100.0</v>
      </c>
      <c r="C2125" s="61">
        <v>100.0</v>
      </c>
      <c r="D2125" s="9">
        <f t="array" ref="D2125">xlookup(A2125,'données'!E$2:E$3608,'données'!K$2:K$3608)</f>
        <v>103.5</v>
      </c>
      <c r="E2125" s="5" t="b">
        <f t="shared" si="1"/>
        <v>0</v>
      </c>
    </row>
    <row r="2126">
      <c r="A2126" s="50" t="s">
        <v>7044</v>
      </c>
      <c r="B2126" s="61">
        <v>100.0</v>
      </c>
      <c r="C2126" s="61">
        <v>100.0</v>
      </c>
      <c r="D2126" s="9">
        <f t="array" ref="D2126">xlookup(A2126,'données'!E$2:E$3608,'données'!K$2:K$3608)</f>
        <v>131</v>
      </c>
      <c r="E2126" s="5" t="b">
        <f t="shared" si="1"/>
        <v>0</v>
      </c>
    </row>
    <row r="2127">
      <c r="A2127" s="50" t="s">
        <v>5558</v>
      </c>
      <c r="B2127" s="61">
        <v>99.0</v>
      </c>
      <c r="C2127" s="61">
        <v>99.0</v>
      </c>
      <c r="D2127" s="9">
        <f t="array" ref="D2127">xlookup(A2127,'données'!E$2:E$3608,'données'!K$2:K$3608)</f>
        <v>118</v>
      </c>
      <c r="E2127" s="5" t="b">
        <f t="shared" si="1"/>
        <v>0</v>
      </c>
    </row>
    <row r="2128">
      <c r="A2128" s="50" t="s">
        <v>4008</v>
      </c>
      <c r="B2128" s="61">
        <v>100.0</v>
      </c>
      <c r="C2128" s="61">
        <v>100.0</v>
      </c>
      <c r="D2128" s="9">
        <f t="array" ref="D2128">xlookup(A2128,'données'!E$2:E$3608,'données'!K$2:K$3608)</f>
        <v>138</v>
      </c>
      <c r="E2128" s="5" t="b">
        <f t="shared" si="1"/>
        <v>0</v>
      </c>
    </row>
    <row r="2129">
      <c r="A2129" s="50" t="s">
        <v>5557</v>
      </c>
      <c r="B2129" s="61">
        <v>100.0</v>
      </c>
      <c r="C2129" s="61">
        <v>100.0</v>
      </c>
      <c r="D2129" s="9">
        <f t="array" ref="D2129">xlookup(A2129,'données'!E$2:E$3608,'données'!K$2:K$3608)</f>
        <v>126.7</v>
      </c>
      <c r="E2129" s="5" t="b">
        <f t="shared" si="1"/>
        <v>0</v>
      </c>
    </row>
    <row r="2130">
      <c r="A2130" s="50" t="s">
        <v>2242</v>
      </c>
      <c r="B2130" s="61">
        <v>100.0</v>
      </c>
      <c r="C2130" s="61">
        <v>100.0</v>
      </c>
      <c r="D2130" s="9">
        <f t="array" ref="D2130">xlookup(A2130,'données'!E$2:E$3608,'données'!K$2:K$3608)</f>
        <v>108.4</v>
      </c>
      <c r="E2130" s="5" t="b">
        <f t="shared" si="1"/>
        <v>0</v>
      </c>
    </row>
    <row r="2131">
      <c r="A2131" s="50" t="s">
        <v>2240</v>
      </c>
      <c r="B2131" s="61">
        <v>100.0</v>
      </c>
      <c r="C2131" s="61">
        <v>100.0</v>
      </c>
      <c r="D2131" s="9">
        <f t="array" ref="D2131">xlookup(A2131,'données'!E$2:E$3608,'données'!K$2:K$3608)</f>
        <v>127.5</v>
      </c>
      <c r="E2131" s="5" t="b">
        <f t="shared" si="1"/>
        <v>0</v>
      </c>
    </row>
    <row r="2132">
      <c r="A2132" s="50" t="s">
        <v>7042</v>
      </c>
      <c r="B2132" s="61">
        <v>98.0</v>
      </c>
      <c r="C2132" s="61">
        <v>98.0</v>
      </c>
      <c r="D2132" s="9">
        <f t="array" ref="D2132">xlookup(A2132,'données'!E$2:E$3608,'données'!K$2:K$3608)</f>
        <v>88.2</v>
      </c>
      <c r="E2132" s="5" t="b">
        <f t="shared" si="1"/>
        <v>0</v>
      </c>
    </row>
    <row r="2133">
      <c r="A2133" s="50" t="s">
        <v>7040</v>
      </c>
      <c r="B2133" s="61">
        <v>100.0</v>
      </c>
      <c r="C2133" s="61">
        <v>100.0</v>
      </c>
      <c r="D2133" s="9">
        <f t="array" ref="D2133">xlookup(A2133,'données'!E$2:E$3608,'données'!K$2:K$3608)</f>
        <v>148.2</v>
      </c>
      <c r="E2133" s="5" t="b">
        <f t="shared" si="1"/>
        <v>0</v>
      </c>
    </row>
    <row r="2134">
      <c r="A2134" s="50" t="s">
        <v>4006</v>
      </c>
      <c r="B2134" s="61">
        <v>100.0</v>
      </c>
      <c r="C2134" s="61">
        <v>100.0</v>
      </c>
      <c r="D2134" s="9">
        <f t="array" ref="D2134">xlookup(A2134,'données'!E$2:E$3608,'données'!K$2:K$3608)</f>
        <v>151.5</v>
      </c>
      <c r="E2134" s="5" t="b">
        <f t="shared" si="1"/>
        <v>0</v>
      </c>
    </row>
    <row r="2135">
      <c r="A2135" s="50" t="s">
        <v>243</v>
      </c>
      <c r="B2135" s="61">
        <v>100.0</v>
      </c>
      <c r="C2135" s="61">
        <v>100.0</v>
      </c>
      <c r="D2135" s="9">
        <f t="array" ref="D2135">xlookup(A2135,'données'!E$2:E$3608,'données'!K$2:K$3608)</f>
        <v>137.7</v>
      </c>
      <c r="E2135" s="5" t="b">
        <f t="shared" si="1"/>
        <v>0</v>
      </c>
    </row>
    <row r="2136">
      <c r="A2136" s="50" t="s">
        <v>240</v>
      </c>
      <c r="B2136" s="61">
        <v>100.0</v>
      </c>
      <c r="C2136" s="61">
        <v>100.0</v>
      </c>
      <c r="D2136" s="9">
        <f t="array" ref="D2136">xlookup(A2136,'données'!E$2:E$3608,'données'!K$2:K$3608)</f>
        <v>146.8</v>
      </c>
      <c r="E2136" s="5" t="b">
        <f t="shared" si="1"/>
        <v>0</v>
      </c>
    </row>
    <row r="2137">
      <c r="A2137" s="50" t="s">
        <v>2237</v>
      </c>
      <c r="B2137" s="61">
        <v>95.0</v>
      </c>
      <c r="C2137" s="61">
        <v>97.0</v>
      </c>
      <c r="D2137" s="9">
        <f t="array" ref="D2137">xlookup(A2137,'données'!E$2:E$3608,'données'!K$2:K$3608)</f>
        <v>114.6</v>
      </c>
      <c r="E2137" s="5" t="b">
        <f t="shared" si="1"/>
        <v>0</v>
      </c>
    </row>
    <row r="2138">
      <c r="A2138" s="50" t="s">
        <v>4003</v>
      </c>
      <c r="B2138" s="61">
        <v>98.0</v>
      </c>
      <c r="C2138" s="61">
        <v>100.0</v>
      </c>
      <c r="D2138" s="9">
        <f t="array" ref="D2138">xlookup(A2138,'données'!E$2:E$3608,'données'!K$2:K$3608)</f>
        <v>99.2</v>
      </c>
      <c r="E2138" s="5" t="b">
        <f t="shared" si="1"/>
        <v>0</v>
      </c>
    </row>
    <row r="2139">
      <c r="A2139" s="50" t="s">
        <v>2235</v>
      </c>
      <c r="B2139" s="61">
        <v>99.0</v>
      </c>
      <c r="C2139" s="61">
        <v>99.0</v>
      </c>
      <c r="D2139" s="9">
        <f t="array" ref="D2139">xlookup(A2139,'données'!E$2:E$3608,'données'!K$2:K$3608)</f>
        <v>126.7</v>
      </c>
      <c r="E2139" s="5" t="b">
        <f t="shared" si="1"/>
        <v>0</v>
      </c>
    </row>
    <row r="2140">
      <c r="A2140" s="50" t="s">
        <v>7036</v>
      </c>
      <c r="B2140" s="61">
        <v>97.0</v>
      </c>
      <c r="C2140" s="61">
        <v>97.0</v>
      </c>
      <c r="D2140" s="9">
        <f t="array" ref="D2140">xlookup(A2140,'données'!E$2:E$3608,'données'!K$2:K$3608)</f>
        <v>114.2</v>
      </c>
      <c r="E2140" s="5" t="b">
        <f t="shared" si="1"/>
        <v>0</v>
      </c>
    </row>
    <row r="2141">
      <c r="A2141" s="50" t="s">
        <v>234</v>
      </c>
      <c r="B2141" s="61">
        <v>94.0</v>
      </c>
      <c r="C2141" s="61">
        <v>97.0</v>
      </c>
      <c r="D2141" s="9">
        <f t="array" ref="D2141">xlookup(A2141,'données'!E$2:E$3608,'données'!K$2:K$3608)</f>
        <v>107.2</v>
      </c>
      <c r="E2141" s="5" t="b">
        <f t="shared" si="1"/>
        <v>0</v>
      </c>
    </row>
    <row r="2142">
      <c r="A2142" s="50" t="s">
        <v>229</v>
      </c>
      <c r="B2142" s="61">
        <v>96.0</v>
      </c>
      <c r="C2142" s="61">
        <v>96.0</v>
      </c>
      <c r="D2142" s="9">
        <f t="array" ref="D2142">xlookup(A2142,'données'!E$2:E$3608,'données'!K$2:K$3608)</f>
        <v>101.7</v>
      </c>
      <c r="E2142" s="5" t="b">
        <f t="shared" si="1"/>
        <v>0</v>
      </c>
    </row>
    <row r="2143">
      <c r="A2143" s="50" t="s">
        <v>226</v>
      </c>
      <c r="B2143" s="61">
        <v>92.0</v>
      </c>
      <c r="C2143" s="61">
        <v>98.0</v>
      </c>
      <c r="D2143" s="9">
        <f t="array" ref="D2143">xlookup(A2143,'données'!E$2:E$3608,'données'!K$2:K$3608)</f>
        <v>82.8</v>
      </c>
      <c r="E2143" s="5" t="b">
        <f t="shared" si="1"/>
        <v>0</v>
      </c>
    </row>
    <row r="2144">
      <c r="A2144" s="50" t="s">
        <v>223</v>
      </c>
      <c r="B2144" s="61">
        <v>91.0</v>
      </c>
      <c r="C2144" s="61">
        <v>93.0</v>
      </c>
      <c r="D2144" s="9">
        <f t="array" ref="D2144">xlookup(A2144,'données'!E$2:E$3608,'données'!K$2:K$3608)</f>
        <v>81.9</v>
      </c>
      <c r="E2144" s="5" t="b">
        <f t="shared" si="1"/>
        <v>0</v>
      </c>
    </row>
    <row r="2145">
      <c r="A2145" s="50" t="s">
        <v>2216</v>
      </c>
      <c r="B2145" s="61">
        <v>95.0</v>
      </c>
      <c r="C2145" s="61">
        <v>97.0</v>
      </c>
      <c r="D2145" s="9">
        <f t="array" ref="D2145">xlookup(A2145,'données'!E$2:E$3608,'données'!K$2:K$3608)</f>
        <v>105.6</v>
      </c>
      <c r="E2145" s="5" t="b">
        <f t="shared" si="1"/>
        <v>0</v>
      </c>
    </row>
    <row r="2146">
      <c r="A2146" s="50" t="s">
        <v>3995</v>
      </c>
      <c r="B2146" s="61">
        <v>92.0</v>
      </c>
      <c r="C2146" s="61">
        <v>92.0</v>
      </c>
      <c r="D2146" s="9">
        <f t="array" ref="D2146">xlookup(A2146,'données'!E$2:E$3608,'données'!K$2:K$3608)</f>
        <v>72.6</v>
      </c>
      <c r="E2146" s="5" t="b">
        <f t="shared" si="1"/>
        <v>0</v>
      </c>
    </row>
    <row r="2147">
      <c r="A2147" s="50" t="s">
        <v>7031</v>
      </c>
      <c r="B2147" s="61">
        <v>90.0</v>
      </c>
      <c r="C2147" s="61">
        <v>91.0</v>
      </c>
      <c r="D2147" s="9">
        <f t="array" ref="D2147">xlookup(A2147,'données'!E$2:E$3608,'données'!K$2:K$3608)</f>
        <v>68.3</v>
      </c>
      <c r="E2147" s="5" t="b">
        <f t="shared" si="1"/>
        <v>0</v>
      </c>
    </row>
    <row r="2148">
      <c r="A2148" s="50" t="s">
        <v>220</v>
      </c>
      <c r="B2148" s="61">
        <v>98.0</v>
      </c>
      <c r="C2148" s="61">
        <v>98.0</v>
      </c>
      <c r="D2148" s="9">
        <f t="array" ref="D2148">xlookup(A2148,'données'!E$2:E$3608,'données'!K$2:K$3608)</f>
        <v>94.1</v>
      </c>
      <c r="E2148" s="5" t="b">
        <f t="shared" si="1"/>
        <v>0</v>
      </c>
    </row>
    <row r="2149">
      <c r="A2149" s="50" t="s">
        <v>5548</v>
      </c>
      <c r="B2149" s="61">
        <v>100.0</v>
      </c>
      <c r="C2149" s="61">
        <v>100.0</v>
      </c>
      <c r="D2149" s="9">
        <f t="array" ref="D2149">xlookup(A2149,'données'!E$2:E$3608,'données'!K$2:K$3608)</f>
        <v>117</v>
      </c>
      <c r="E2149" s="5" t="b">
        <f t="shared" si="1"/>
        <v>0</v>
      </c>
    </row>
    <row r="2150">
      <c r="A2150" s="50" t="s">
        <v>3992</v>
      </c>
      <c r="B2150" s="61">
        <v>97.0</v>
      </c>
      <c r="C2150" s="61">
        <v>97.0</v>
      </c>
      <c r="D2150" s="9">
        <f t="array" ref="D2150">xlookup(A2150,'données'!E$2:E$3608,'données'!K$2:K$3608)</f>
        <v>104.8</v>
      </c>
      <c r="E2150" s="5" t="b">
        <f t="shared" si="1"/>
        <v>0</v>
      </c>
    </row>
    <row r="2151">
      <c r="A2151" s="50" t="s">
        <v>7029</v>
      </c>
      <c r="B2151" s="61">
        <v>99.0</v>
      </c>
      <c r="C2151" s="61">
        <v>99.0</v>
      </c>
      <c r="D2151" s="9">
        <f t="array" ref="D2151">xlookup(A2151,'données'!E$2:E$3608,'données'!K$2:K$3608)</f>
        <v>126</v>
      </c>
      <c r="E2151" s="5" t="b">
        <f t="shared" si="1"/>
        <v>0</v>
      </c>
    </row>
    <row r="2152">
      <c r="A2152" s="50" t="s">
        <v>3990</v>
      </c>
      <c r="B2152" s="61">
        <v>95.0</v>
      </c>
      <c r="C2152" s="61">
        <v>97.0</v>
      </c>
      <c r="D2152" s="9">
        <f t="array" ref="D2152">xlookup(A2152,'données'!E$2:E$3608,'données'!K$2:K$3608)</f>
        <v>90.7</v>
      </c>
      <c r="E2152" s="5" t="b">
        <f t="shared" si="1"/>
        <v>0</v>
      </c>
    </row>
    <row r="2153">
      <c r="A2153" s="50" t="s">
        <v>5546</v>
      </c>
      <c r="B2153" s="61">
        <v>94.0</v>
      </c>
      <c r="C2153" s="61">
        <v>95.0</v>
      </c>
      <c r="D2153" s="9">
        <f t="array" ref="D2153">xlookup(A2153,'données'!E$2:E$3608,'données'!K$2:K$3608)</f>
        <v>107.4</v>
      </c>
      <c r="E2153" s="5" t="b">
        <f t="shared" si="1"/>
        <v>0</v>
      </c>
    </row>
    <row r="2154">
      <c r="A2154" s="50" t="s">
        <v>3988</v>
      </c>
      <c r="B2154" s="61">
        <v>97.0</v>
      </c>
      <c r="C2154" s="61">
        <v>98.0</v>
      </c>
      <c r="D2154" s="9">
        <f t="array" ref="D2154">xlookup(A2154,'données'!E$2:E$3608,'données'!K$2:K$3608)</f>
        <v>108.4</v>
      </c>
      <c r="E2154" s="5" t="b">
        <f t="shared" si="1"/>
        <v>0</v>
      </c>
    </row>
    <row r="2155">
      <c r="A2155" s="50" t="s">
        <v>3985</v>
      </c>
      <c r="B2155" s="61">
        <v>95.0</v>
      </c>
      <c r="C2155" s="61">
        <v>95.0</v>
      </c>
      <c r="D2155" s="9">
        <f t="array" ref="D2155">xlookup(A2155,'données'!E$2:E$3608,'données'!K$2:K$3608)</f>
        <v>104.1</v>
      </c>
      <c r="E2155" s="5" t="b">
        <f t="shared" si="1"/>
        <v>0</v>
      </c>
    </row>
    <row r="2156">
      <c r="A2156" s="50" t="s">
        <v>3983</v>
      </c>
      <c r="B2156" s="61">
        <v>96.0</v>
      </c>
      <c r="C2156" s="61">
        <v>99.0</v>
      </c>
      <c r="D2156" s="9">
        <f t="array" ref="D2156">xlookup(A2156,'données'!E$2:E$3608,'données'!K$2:K$3608)</f>
        <v>128.6</v>
      </c>
      <c r="E2156" s="5" t="b">
        <f t="shared" si="1"/>
        <v>0</v>
      </c>
    </row>
    <row r="2157">
      <c r="A2157" s="50" t="s">
        <v>2214</v>
      </c>
      <c r="B2157" s="61">
        <v>96.0</v>
      </c>
      <c r="C2157" s="61">
        <v>98.0</v>
      </c>
      <c r="D2157" s="9">
        <f t="array" ref="D2157">xlookup(A2157,'données'!E$2:E$3608,'données'!K$2:K$3608)</f>
        <v>123.8</v>
      </c>
      <c r="E2157" s="5" t="b">
        <f t="shared" si="1"/>
        <v>0</v>
      </c>
    </row>
    <row r="2158">
      <c r="A2158" s="50" t="s">
        <v>2212</v>
      </c>
      <c r="B2158" s="61">
        <v>97.0</v>
      </c>
      <c r="C2158" s="61">
        <v>99.0</v>
      </c>
      <c r="D2158" s="9">
        <f t="array" ref="D2158">xlookup(A2158,'données'!E$2:E$3608,'données'!K$2:K$3608)</f>
        <v>127</v>
      </c>
      <c r="E2158" s="5" t="b">
        <f t="shared" si="1"/>
        <v>0</v>
      </c>
    </row>
    <row r="2159">
      <c r="A2159" s="50" t="s">
        <v>2210</v>
      </c>
      <c r="B2159" s="61">
        <v>100.0</v>
      </c>
      <c r="C2159" s="61">
        <v>100.0</v>
      </c>
      <c r="D2159" s="9">
        <f t="array" ref="D2159">xlookup(A2159,'données'!E$2:E$3608,'données'!K$2:K$3608)</f>
        <v>117.3</v>
      </c>
      <c r="E2159" s="5" t="b">
        <f t="shared" si="1"/>
        <v>0</v>
      </c>
    </row>
    <row r="2160">
      <c r="A2160" s="50" t="s">
        <v>5544</v>
      </c>
      <c r="B2160" s="61">
        <v>100.0</v>
      </c>
      <c r="C2160" s="61">
        <v>100.0</v>
      </c>
      <c r="D2160" s="9">
        <f t="array" ref="D2160">xlookup(A2160,'données'!E$2:E$3608,'données'!K$2:K$3608)</f>
        <v>119.1</v>
      </c>
      <c r="E2160" s="5" t="b">
        <f t="shared" si="1"/>
        <v>0</v>
      </c>
    </row>
    <row r="2161">
      <c r="A2161" s="50" t="s">
        <v>7023</v>
      </c>
      <c r="B2161" s="61">
        <v>100.0</v>
      </c>
      <c r="C2161" s="61">
        <v>100.0</v>
      </c>
      <c r="D2161" s="9">
        <f t="array" ref="D2161">xlookup(A2161,'données'!E$2:E$3608,'données'!K$2:K$3608)</f>
        <v>104</v>
      </c>
      <c r="E2161" s="5" t="b">
        <f t="shared" si="1"/>
        <v>0</v>
      </c>
    </row>
    <row r="2162">
      <c r="A2162" s="50" t="s">
        <v>211</v>
      </c>
      <c r="B2162" s="61">
        <v>98.0</v>
      </c>
      <c r="C2162" s="61">
        <v>100.0</v>
      </c>
      <c r="D2162" s="9">
        <f t="array" ref="D2162">xlookup(A2162,'données'!E$2:E$3608,'données'!K$2:K$3608)</f>
        <v>111.3</v>
      </c>
      <c r="E2162" s="5" t="b">
        <f t="shared" si="1"/>
        <v>0</v>
      </c>
    </row>
    <row r="2163">
      <c r="A2163" s="50" t="s">
        <v>5538</v>
      </c>
      <c r="B2163" s="61">
        <v>98.0</v>
      </c>
      <c r="C2163" s="61">
        <v>98.0</v>
      </c>
      <c r="D2163" s="9">
        <f t="array" ref="D2163">xlookup(A2163,'données'!E$2:E$3608,'données'!K$2:K$3608)</f>
        <v>102.2</v>
      </c>
      <c r="E2163" s="5" t="b">
        <f t="shared" si="1"/>
        <v>0</v>
      </c>
    </row>
    <row r="2164">
      <c r="A2164" s="50" t="s">
        <v>209</v>
      </c>
      <c r="B2164" s="61">
        <v>99.0</v>
      </c>
      <c r="C2164" s="61">
        <v>100.0</v>
      </c>
      <c r="D2164" s="9">
        <f t="array" ref="D2164">xlookup(A2164,'données'!E$2:E$3608,'données'!K$2:K$3608)</f>
        <v>111.3</v>
      </c>
      <c r="E2164" s="5" t="b">
        <f t="shared" si="1"/>
        <v>0</v>
      </c>
    </row>
    <row r="2165">
      <c r="A2165" s="50" t="s">
        <v>7021</v>
      </c>
      <c r="B2165" s="61">
        <v>100.0</v>
      </c>
      <c r="C2165" s="61">
        <v>100.0</v>
      </c>
      <c r="D2165" s="9">
        <f t="array" ref="D2165">xlookup(A2165,'données'!E$2:E$3608,'données'!K$2:K$3608)</f>
        <v>108.2</v>
      </c>
      <c r="E2165" s="5" t="b">
        <f t="shared" si="1"/>
        <v>0</v>
      </c>
    </row>
    <row r="2166">
      <c r="A2166" s="50" t="s">
        <v>5534</v>
      </c>
      <c r="B2166" s="61">
        <v>100.0</v>
      </c>
      <c r="C2166" s="61">
        <v>100.0</v>
      </c>
      <c r="D2166" s="9">
        <f t="array" ref="D2166">xlookup(A2166,'données'!E$2:E$3608,'données'!K$2:K$3608)</f>
        <v>111.8</v>
      </c>
      <c r="E2166" s="5" t="b">
        <f t="shared" si="1"/>
        <v>0</v>
      </c>
    </row>
    <row r="2167">
      <c r="A2167" s="50" t="s">
        <v>5532</v>
      </c>
      <c r="B2167" s="61">
        <v>97.0</v>
      </c>
      <c r="C2167" s="61">
        <v>99.0</v>
      </c>
      <c r="D2167" s="9">
        <f t="array" ref="D2167">xlookup(A2167,'données'!E$2:E$3608,'données'!K$2:K$3608)</f>
        <v>110.1</v>
      </c>
      <c r="E2167" s="5" t="b">
        <f t="shared" si="1"/>
        <v>0</v>
      </c>
    </row>
    <row r="2168">
      <c r="A2168" s="50" t="s">
        <v>204</v>
      </c>
      <c r="B2168" s="61">
        <v>100.0</v>
      </c>
      <c r="C2168" s="61">
        <v>100.0</v>
      </c>
      <c r="D2168" s="9">
        <f t="array" ref="D2168">xlookup(A2168,'données'!E$2:E$3608,'données'!K$2:K$3608)</f>
        <v>121.9</v>
      </c>
      <c r="E2168" s="5" t="b">
        <f t="shared" si="1"/>
        <v>0</v>
      </c>
    </row>
    <row r="2169">
      <c r="A2169" s="50" t="s">
        <v>201</v>
      </c>
      <c r="B2169" s="61">
        <v>97.0</v>
      </c>
      <c r="C2169" s="61">
        <v>97.0</v>
      </c>
      <c r="D2169" s="9">
        <f t="array" ref="D2169">xlookup(A2169,'données'!E$2:E$3608,'données'!K$2:K$3608)</f>
        <v>114.2</v>
      </c>
      <c r="E2169" s="5" t="b">
        <f t="shared" si="1"/>
        <v>0</v>
      </c>
    </row>
    <row r="2170">
      <c r="A2170" s="50" t="s">
        <v>3980</v>
      </c>
      <c r="B2170" s="61">
        <v>99.0</v>
      </c>
      <c r="C2170" s="61">
        <v>100.0</v>
      </c>
      <c r="D2170" s="9">
        <f t="array" ref="D2170">xlookup(A2170,'données'!E$2:E$3608,'données'!K$2:K$3608)</f>
        <v>109.7</v>
      </c>
      <c r="E2170" s="5" t="b">
        <f t="shared" si="1"/>
        <v>0</v>
      </c>
    </row>
    <row r="2171">
      <c r="A2171" s="50" t="s">
        <v>3977</v>
      </c>
      <c r="B2171" s="61">
        <v>95.0</v>
      </c>
      <c r="C2171" s="61">
        <v>95.0</v>
      </c>
      <c r="D2171" s="9">
        <f t="array" ref="D2171">xlookup(A2171,'données'!E$2:E$3608,'données'!K$2:K$3608)</f>
        <v>109</v>
      </c>
      <c r="E2171" s="5" t="b">
        <f t="shared" si="1"/>
        <v>0</v>
      </c>
    </row>
    <row r="2172">
      <c r="A2172" s="50" t="s">
        <v>3972</v>
      </c>
      <c r="B2172" s="61">
        <v>100.0</v>
      </c>
      <c r="C2172" s="61">
        <v>100.0</v>
      </c>
      <c r="D2172" s="9">
        <f t="array" ref="D2172">xlookup(A2172,'données'!E$2:E$3608,'données'!K$2:K$3608)</f>
        <v>118.9</v>
      </c>
      <c r="E2172" s="5" t="b">
        <f t="shared" si="1"/>
        <v>0</v>
      </c>
    </row>
    <row r="2173">
      <c r="A2173" s="50" t="s">
        <v>3971</v>
      </c>
      <c r="B2173" s="61">
        <v>99.0</v>
      </c>
      <c r="C2173" s="61">
        <v>98.0</v>
      </c>
      <c r="D2173" s="9">
        <f t="array" ref="D2173">xlookup(A2173,'données'!E$2:E$3608,'données'!K$2:K$3608)</f>
        <v>113.4</v>
      </c>
      <c r="E2173" s="5" t="b">
        <f t="shared" si="1"/>
        <v>0</v>
      </c>
    </row>
    <row r="2174">
      <c r="A2174" s="50" t="s">
        <v>7018</v>
      </c>
      <c r="B2174" s="61">
        <v>94.0</v>
      </c>
      <c r="C2174" s="61">
        <v>96.0</v>
      </c>
      <c r="D2174" s="9">
        <f t="array" ref="D2174">xlookup(A2174,'données'!E$2:E$3608,'données'!K$2:K$3608)</f>
        <v>106</v>
      </c>
      <c r="E2174" s="5" t="b">
        <f t="shared" si="1"/>
        <v>0</v>
      </c>
    </row>
    <row r="2175">
      <c r="A2175" s="50" t="s">
        <v>7016</v>
      </c>
      <c r="B2175" s="61">
        <v>94.0</v>
      </c>
      <c r="C2175" s="61">
        <v>95.0</v>
      </c>
      <c r="D2175" s="9">
        <f t="array" ref="D2175">xlookup(A2175,'données'!E$2:E$3608,'données'!K$2:K$3608)</f>
        <v>111.5</v>
      </c>
      <c r="E2175" s="5" t="b">
        <f t="shared" si="1"/>
        <v>0</v>
      </c>
    </row>
    <row r="2176">
      <c r="A2176" s="50" t="s">
        <v>2204</v>
      </c>
      <c r="B2176" s="61">
        <v>97.0</v>
      </c>
      <c r="C2176" s="61">
        <v>98.0</v>
      </c>
      <c r="D2176" s="9">
        <f t="array" ref="D2176">xlookup(A2176,'données'!E$2:E$3608,'données'!K$2:K$3608)</f>
        <v>107</v>
      </c>
      <c r="E2176" s="5" t="b">
        <f t="shared" si="1"/>
        <v>0</v>
      </c>
    </row>
    <row r="2177">
      <c r="A2177" s="50" t="s">
        <v>3966</v>
      </c>
      <c r="B2177" s="61">
        <v>97.0</v>
      </c>
      <c r="C2177" s="61">
        <v>99.0</v>
      </c>
      <c r="D2177" s="9">
        <f t="array" ref="D2177">xlookup(A2177,'données'!E$2:E$3608,'données'!K$2:K$3608)</f>
        <v>107.7</v>
      </c>
      <c r="E2177" s="5" t="b">
        <f t="shared" si="1"/>
        <v>0</v>
      </c>
    </row>
    <row r="2178">
      <c r="A2178" s="50" t="s">
        <v>3963</v>
      </c>
      <c r="B2178" s="61">
        <v>90.0</v>
      </c>
      <c r="C2178" s="61">
        <v>92.0</v>
      </c>
      <c r="D2178" s="9">
        <f t="array" ref="D2178">xlookup(A2178,'données'!E$2:E$3608,'données'!K$2:K$3608)</f>
        <v>105</v>
      </c>
      <c r="E2178" s="5" t="b">
        <f t="shared" si="1"/>
        <v>0</v>
      </c>
    </row>
    <row r="2179">
      <c r="A2179" s="50" t="s">
        <v>5530</v>
      </c>
      <c r="B2179" s="61">
        <v>96.0</v>
      </c>
      <c r="C2179" s="61">
        <v>98.0</v>
      </c>
      <c r="D2179" s="9">
        <f t="array" ref="D2179">xlookup(A2179,'données'!E$2:E$3608,'données'!K$2:K$3608)</f>
        <v>107.7</v>
      </c>
      <c r="E2179" s="5" t="b">
        <f t="shared" si="1"/>
        <v>0</v>
      </c>
    </row>
    <row r="2180">
      <c r="A2180" s="50" t="s">
        <v>198</v>
      </c>
      <c r="B2180" s="61">
        <v>97.0</v>
      </c>
      <c r="C2180" s="61">
        <v>97.0</v>
      </c>
      <c r="D2180" s="9">
        <f t="array" ref="D2180">xlookup(A2180,'données'!E$2:E$3608,'données'!K$2:K$3608)</f>
        <v>106.7</v>
      </c>
      <c r="E2180" s="5" t="b">
        <f t="shared" si="1"/>
        <v>0</v>
      </c>
    </row>
    <row r="2181">
      <c r="A2181" s="50" t="s">
        <v>7015</v>
      </c>
      <c r="B2181" s="61">
        <v>97.0</v>
      </c>
      <c r="C2181" s="61">
        <v>97.0</v>
      </c>
      <c r="D2181" s="9">
        <f t="array" ref="D2181">xlookup(A2181,'données'!E$2:E$3608,'données'!K$2:K$3608)</f>
        <v>111</v>
      </c>
      <c r="E2181" s="5" t="b">
        <f t="shared" si="1"/>
        <v>0</v>
      </c>
    </row>
    <row r="2182">
      <c r="A2182" s="50" t="s">
        <v>191</v>
      </c>
      <c r="B2182" s="61">
        <v>97.0</v>
      </c>
      <c r="C2182" s="61">
        <v>91.0</v>
      </c>
      <c r="D2182" s="9">
        <f t="array" ref="D2182">xlookup(A2182,'données'!E$2:E$3608,'données'!K$2:K$3608)</f>
        <v>114.2</v>
      </c>
      <c r="E2182" s="5" t="b">
        <f t="shared" si="1"/>
        <v>0</v>
      </c>
    </row>
    <row r="2183">
      <c r="A2183" s="50" t="s">
        <v>5524</v>
      </c>
      <c r="B2183" s="61">
        <v>99.0</v>
      </c>
      <c r="C2183" s="61">
        <v>99.0</v>
      </c>
      <c r="D2183" s="9">
        <f t="array" ref="D2183">xlookup(A2183,'données'!E$2:E$3608,'données'!K$2:K$3608)</f>
        <v>126.3</v>
      </c>
      <c r="E2183" s="5" t="b">
        <f t="shared" si="1"/>
        <v>0</v>
      </c>
    </row>
    <row r="2184">
      <c r="A2184" s="50" t="s">
        <v>5522</v>
      </c>
      <c r="B2184" s="61">
        <v>100.0</v>
      </c>
      <c r="C2184" s="61">
        <v>100.0</v>
      </c>
      <c r="D2184" s="9">
        <f t="array" ref="D2184">xlookup(A2184,'données'!E$2:E$3608,'données'!K$2:K$3608)</f>
        <v>125.6</v>
      </c>
      <c r="E2184" s="5" t="b">
        <f t="shared" si="1"/>
        <v>0</v>
      </c>
    </row>
    <row r="2185">
      <c r="A2185" s="50" t="s">
        <v>2201</v>
      </c>
      <c r="B2185" s="61">
        <v>96.0</v>
      </c>
      <c r="C2185" s="61">
        <v>99.0</v>
      </c>
      <c r="D2185" s="9">
        <f t="array" ref="D2185">xlookup(A2185,'données'!E$2:E$3608,'données'!K$2:K$3608)</f>
        <v>106.7</v>
      </c>
      <c r="E2185" s="5" t="b">
        <f t="shared" si="1"/>
        <v>0</v>
      </c>
    </row>
    <row r="2186">
      <c r="A2186" s="50" t="s">
        <v>3958</v>
      </c>
      <c r="B2186" s="61">
        <v>91.0</v>
      </c>
      <c r="C2186" s="61">
        <v>93.0</v>
      </c>
      <c r="D2186" s="9">
        <f t="array" ref="D2186">xlookup(A2186,'données'!E$2:E$3608,'données'!K$2:K$3608)</f>
        <v>96.7</v>
      </c>
      <c r="E2186" s="5" t="b">
        <f t="shared" si="1"/>
        <v>0</v>
      </c>
    </row>
    <row r="2187">
      <c r="A2187" s="50" t="s">
        <v>5520</v>
      </c>
      <c r="B2187" s="61">
        <v>96.0</v>
      </c>
      <c r="C2187" s="61">
        <v>97.0</v>
      </c>
      <c r="D2187" s="9">
        <f t="array" ref="D2187">xlookup(A2187,'données'!E$2:E$3608,'données'!K$2:K$3608)</f>
        <v>108.3</v>
      </c>
      <c r="E2187" s="5" t="b">
        <f t="shared" si="1"/>
        <v>0</v>
      </c>
    </row>
    <row r="2188">
      <c r="A2188" s="50" t="s">
        <v>2198</v>
      </c>
      <c r="B2188" s="61">
        <v>92.0</v>
      </c>
      <c r="C2188" s="61">
        <v>94.0</v>
      </c>
      <c r="D2188" s="9">
        <f t="array" ref="D2188">xlookup(A2188,'données'!E$2:E$3608,'données'!K$2:K$3608)</f>
        <v>100.3</v>
      </c>
      <c r="E2188" s="5" t="b">
        <f t="shared" si="1"/>
        <v>0</v>
      </c>
    </row>
    <row r="2189">
      <c r="A2189" s="50" t="s">
        <v>188</v>
      </c>
      <c r="B2189" s="61">
        <v>97.0</v>
      </c>
      <c r="C2189" s="61">
        <v>96.0</v>
      </c>
      <c r="D2189" s="9">
        <f t="array" ref="D2189">xlookup(A2189,'données'!E$2:E$3608,'données'!K$2:K$3608)</f>
        <v>104.3</v>
      </c>
      <c r="E2189" s="5" t="b">
        <f t="shared" si="1"/>
        <v>0</v>
      </c>
    </row>
    <row r="2190">
      <c r="A2190" s="50" t="s">
        <v>2196</v>
      </c>
      <c r="B2190" s="61">
        <v>100.0</v>
      </c>
      <c r="C2190" s="61">
        <v>100.0</v>
      </c>
      <c r="D2190" s="9">
        <f t="array" ref="D2190">xlookup(A2190,'données'!E$2:E$3608,'données'!K$2:K$3608)</f>
        <v>109.5</v>
      </c>
      <c r="E2190" s="5" t="b">
        <f t="shared" si="1"/>
        <v>0</v>
      </c>
    </row>
    <row r="2191">
      <c r="A2191" s="50" t="s">
        <v>5518</v>
      </c>
      <c r="B2191" s="61">
        <v>98.0</v>
      </c>
      <c r="C2191" s="61">
        <v>100.0</v>
      </c>
      <c r="D2191" s="9">
        <f t="array" ref="D2191">xlookup(A2191,'données'!E$2:E$3608,'données'!K$2:K$3608)</f>
        <v>111.7</v>
      </c>
      <c r="E2191" s="5" t="b">
        <f t="shared" si="1"/>
        <v>0</v>
      </c>
    </row>
    <row r="2192">
      <c r="A2192" s="50" t="s">
        <v>184</v>
      </c>
      <c r="B2192" s="61">
        <v>96.0</v>
      </c>
      <c r="C2192" s="61">
        <v>97.0</v>
      </c>
      <c r="D2192" s="9">
        <f t="array" ref="D2192">xlookup(A2192,'données'!E$2:E$3608,'données'!K$2:K$3608)</f>
        <v>111.3</v>
      </c>
      <c r="E2192" s="5" t="b">
        <f t="shared" si="1"/>
        <v>0</v>
      </c>
    </row>
    <row r="2193">
      <c r="A2193" s="50" t="s">
        <v>5515</v>
      </c>
      <c r="B2193" s="61">
        <v>99.0</v>
      </c>
      <c r="C2193" s="61">
        <v>100.0</v>
      </c>
      <c r="D2193" s="9">
        <f t="array" ref="D2193">xlookup(A2193,'données'!E$2:E$3608,'données'!K$2:K$3608)</f>
        <v>109.9</v>
      </c>
      <c r="E2193" s="5" t="b">
        <f t="shared" si="1"/>
        <v>0</v>
      </c>
    </row>
    <row r="2194">
      <c r="A2194" s="50" t="s">
        <v>5510</v>
      </c>
      <c r="B2194" s="61">
        <v>99.0</v>
      </c>
      <c r="C2194" s="61">
        <v>99.0</v>
      </c>
      <c r="D2194" s="9">
        <f t="array" ref="D2194">xlookup(A2194,'données'!E$2:E$3608,'données'!K$2:K$3608)</f>
        <v>116.9</v>
      </c>
      <c r="E2194" s="5" t="b">
        <f t="shared" si="1"/>
        <v>0</v>
      </c>
    </row>
    <row r="2195">
      <c r="A2195" s="50" t="s">
        <v>5507</v>
      </c>
      <c r="B2195" s="61">
        <v>96.0</v>
      </c>
      <c r="C2195" s="50"/>
      <c r="D2195" s="9">
        <f t="array" ref="D2195">xlookup(A2195,'données'!E$2:E$3608,'données'!K$2:K$3608)</f>
        <v>114.2</v>
      </c>
      <c r="E2195" s="5" t="b">
        <f t="shared" si="1"/>
        <v>0</v>
      </c>
    </row>
    <row r="2196">
      <c r="A2196" s="50" t="s">
        <v>180</v>
      </c>
      <c r="B2196" s="61">
        <v>100.0</v>
      </c>
      <c r="C2196" s="61">
        <v>100.0</v>
      </c>
      <c r="D2196" s="9">
        <f t="array" ref="D2196">xlookup(A2196,'données'!E$2:E$3608,'données'!K$2:K$3608)</f>
        <v>120.4</v>
      </c>
      <c r="E2196" s="5" t="b">
        <f t="shared" si="1"/>
        <v>0</v>
      </c>
    </row>
    <row r="2197">
      <c r="A2197" s="50" t="s">
        <v>3954</v>
      </c>
      <c r="B2197" s="61">
        <v>100.0</v>
      </c>
      <c r="C2197" s="61">
        <v>100.0</v>
      </c>
      <c r="D2197" s="9">
        <f t="array" ref="D2197">xlookup(A2197,'données'!E$2:E$3608,'données'!K$2:K$3608)</f>
        <v>113.7</v>
      </c>
      <c r="E2197" s="5" t="b">
        <f t="shared" si="1"/>
        <v>0</v>
      </c>
    </row>
    <row r="2198">
      <c r="A2198" s="50" t="s">
        <v>5505</v>
      </c>
      <c r="B2198" s="61">
        <v>97.0</v>
      </c>
      <c r="C2198" s="61">
        <v>97.0</v>
      </c>
      <c r="D2198" s="9">
        <f t="array" ref="D2198">xlookup(A2198,'données'!E$2:E$3608,'données'!K$2:K$3608)</f>
        <v>108.9</v>
      </c>
      <c r="E2198" s="5" t="b">
        <f t="shared" si="1"/>
        <v>0</v>
      </c>
    </row>
    <row r="2199">
      <c r="A2199" s="50" t="s">
        <v>5503</v>
      </c>
      <c r="B2199" s="61">
        <v>92.0</v>
      </c>
      <c r="C2199" s="61">
        <v>94.0</v>
      </c>
      <c r="D2199" s="9">
        <f t="array" ref="D2199">xlookup(A2199,'données'!E$2:E$3608,'données'!K$2:K$3608)</f>
        <v>96.5</v>
      </c>
      <c r="E2199" s="5" t="b">
        <f t="shared" si="1"/>
        <v>0</v>
      </c>
    </row>
    <row r="2200">
      <c r="A2200" s="50" t="s">
        <v>7006</v>
      </c>
      <c r="B2200" s="61">
        <v>98.0</v>
      </c>
      <c r="C2200" s="61">
        <v>100.0</v>
      </c>
      <c r="D2200" s="9">
        <f t="array" ref="D2200">xlookup(A2200,'données'!E$2:E$3608,'données'!K$2:K$3608)</f>
        <v>90.5</v>
      </c>
      <c r="E2200" s="5" t="b">
        <f t="shared" si="1"/>
        <v>0</v>
      </c>
    </row>
    <row r="2201">
      <c r="A2201" s="50" t="s">
        <v>174</v>
      </c>
      <c r="B2201" s="61">
        <v>98.0</v>
      </c>
      <c r="C2201" s="61">
        <v>98.0</v>
      </c>
      <c r="D2201" s="9">
        <f t="array" ref="D2201">xlookup(A2201,'données'!E$2:E$3608,'données'!K$2:K$3608)</f>
        <v>110.5</v>
      </c>
      <c r="E2201" s="5" t="b">
        <f t="shared" si="1"/>
        <v>0</v>
      </c>
    </row>
    <row r="2202">
      <c r="A2202" s="50" t="s">
        <v>3952</v>
      </c>
      <c r="B2202" s="61">
        <v>94.0</v>
      </c>
      <c r="C2202" s="61">
        <v>95.0</v>
      </c>
      <c r="D2202" s="9">
        <f t="array" ref="D2202">xlookup(A2202,'données'!E$2:E$3608,'données'!K$2:K$3608)</f>
        <v>86.3</v>
      </c>
      <c r="E2202" s="5" t="b">
        <f t="shared" si="1"/>
        <v>0</v>
      </c>
    </row>
    <row r="2203">
      <c r="A2203" s="50" t="s">
        <v>5500</v>
      </c>
      <c r="B2203" s="61">
        <v>90.0</v>
      </c>
      <c r="C2203" s="61">
        <v>90.0</v>
      </c>
      <c r="D2203" s="9">
        <f t="array" ref="D2203">xlookup(A2203,'données'!E$2:E$3608,'données'!K$2:K$3608)</f>
        <v>97.2</v>
      </c>
      <c r="E2203" s="5" t="b">
        <f t="shared" si="1"/>
        <v>0</v>
      </c>
    </row>
    <row r="2204">
      <c r="A2204" s="50" t="s">
        <v>7004</v>
      </c>
      <c r="B2204" s="61">
        <v>96.0</v>
      </c>
      <c r="C2204" s="61">
        <v>100.0</v>
      </c>
      <c r="D2204" s="9">
        <f t="array" ref="D2204">xlookup(A2204,'données'!E$2:E$3608,'données'!K$2:K$3608)</f>
        <v>108.4</v>
      </c>
      <c r="E2204" s="5" t="b">
        <f t="shared" si="1"/>
        <v>0</v>
      </c>
    </row>
    <row r="2205">
      <c r="A2205" s="50" t="s">
        <v>5499</v>
      </c>
      <c r="B2205" s="61">
        <v>95.0</v>
      </c>
      <c r="C2205" s="61">
        <v>97.0</v>
      </c>
      <c r="D2205" s="9">
        <f t="array" ref="D2205">xlookup(A2205,'données'!E$2:E$3608,'données'!K$2:K$3608)</f>
        <v>102.3</v>
      </c>
      <c r="E2205" s="5" t="b">
        <f t="shared" si="1"/>
        <v>0</v>
      </c>
    </row>
    <row r="2206">
      <c r="A2206" s="50" t="s">
        <v>7002</v>
      </c>
      <c r="B2206" s="61">
        <v>99.0</v>
      </c>
      <c r="C2206" s="61">
        <v>99.0</v>
      </c>
      <c r="D2206" s="9">
        <f t="array" ref="D2206">xlookup(A2206,'données'!E$2:E$3608,'données'!K$2:K$3608)</f>
        <v>116.5</v>
      </c>
      <c r="E2206" s="5" t="b">
        <f t="shared" si="1"/>
        <v>0</v>
      </c>
    </row>
    <row r="2207">
      <c r="A2207" s="50" t="s">
        <v>166</v>
      </c>
      <c r="B2207" s="61">
        <v>99.0</v>
      </c>
      <c r="C2207" s="61">
        <v>99.0</v>
      </c>
      <c r="D2207" s="9">
        <f t="array" ref="D2207">xlookup(A2207,'données'!E$2:E$3608,'données'!K$2:K$3608)</f>
        <v>109.6</v>
      </c>
      <c r="E2207" s="5" t="b">
        <f t="shared" si="1"/>
        <v>0</v>
      </c>
    </row>
    <row r="2208">
      <c r="A2208" s="50" t="s">
        <v>163</v>
      </c>
      <c r="B2208" s="61">
        <v>98.0</v>
      </c>
      <c r="C2208" s="61">
        <v>98.0</v>
      </c>
      <c r="D2208" s="9">
        <f t="array" ref="D2208">xlookup(A2208,'données'!E$2:E$3608,'données'!K$2:K$3608)</f>
        <v>114.4</v>
      </c>
      <c r="E2208" s="5" t="b">
        <f t="shared" si="1"/>
        <v>0</v>
      </c>
    </row>
    <row r="2209">
      <c r="A2209" s="50" t="s">
        <v>2179</v>
      </c>
      <c r="B2209" s="61">
        <v>100.0</v>
      </c>
      <c r="C2209" s="61">
        <v>100.0</v>
      </c>
      <c r="D2209" s="9">
        <f t="array" ref="D2209">xlookup(A2209,'données'!E$2:E$3608,'données'!K$2:K$3608)</f>
        <v>110.1</v>
      </c>
      <c r="E2209" s="5" t="b">
        <f t="shared" si="1"/>
        <v>0</v>
      </c>
    </row>
    <row r="2210">
      <c r="A2210" s="50" t="s">
        <v>2174</v>
      </c>
      <c r="B2210" s="61">
        <v>99.0</v>
      </c>
      <c r="C2210" s="61">
        <v>98.0</v>
      </c>
      <c r="D2210" s="9">
        <f t="array" ref="D2210">xlookup(A2210,'données'!E$2:E$3608,'données'!K$2:K$3608)</f>
        <v>116.8</v>
      </c>
      <c r="E2210" s="5" t="b">
        <f t="shared" si="1"/>
        <v>0</v>
      </c>
    </row>
    <row r="2211">
      <c r="A2211" s="50" t="s">
        <v>3944</v>
      </c>
      <c r="B2211" s="61">
        <v>100.0</v>
      </c>
      <c r="C2211" s="61">
        <v>100.0</v>
      </c>
      <c r="D2211" s="9">
        <f t="array" ref="D2211">xlookup(A2211,'données'!E$2:E$3608,'données'!K$2:K$3608)</f>
        <v>104.8</v>
      </c>
      <c r="E2211" s="5" t="b">
        <f t="shared" si="1"/>
        <v>0</v>
      </c>
    </row>
    <row r="2212">
      <c r="A2212" s="50" t="s">
        <v>2171</v>
      </c>
      <c r="B2212" s="61">
        <v>100.0</v>
      </c>
      <c r="C2212" s="61">
        <v>100.0</v>
      </c>
      <c r="D2212" s="9">
        <f t="array" ref="D2212">xlookup(A2212,'données'!E$2:E$3608,'données'!K$2:K$3608)</f>
        <v>117.7</v>
      </c>
      <c r="E2212" s="5" t="b">
        <f t="shared" si="1"/>
        <v>0</v>
      </c>
    </row>
    <row r="2213">
      <c r="A2213" s="50" t="s">
        <v>6998</v>
      </c>
      <c r="B2213" s="61">
        <v>99.0</v>
      </c>
      <c r="C2213" s="61">
        <v>99.0</v>
      </c>
      <c r="D2213" s="9">
        <f t="array" ref="D2213">xlookup(A2213,'données'!E$2:E$3608,'données'!K$2:K$3608)</f>
        <v>111.5</v>
      </c>
      <c r="E2213" s="5" t="b">
        <f t="shared" si="1"/>
        <v>0</v>
      </c>
    </row>
    <row r="2214">
      <c r="A2214" s="50" t="s">
        <v>2168</v>
      </c>
      <c r="B2214" s="61">
        <v>96.0</v>
      </c>
      <c r="C2214" s="61">
        <v>97.0</v>
      </c>
      <c r="D2214" s="9">
        <f t="array" ref="D2214">xlookup(A2214,'données'!E$2:E$3608,'données'!K$2:K$3608)</f>
        <v>107.9</v>
      </c>
      <c r="E2214" s="5" t="b">
        <f t="shared" si="1"/>
        <v>0</v>
      </c>
    </row>
    <row r="2215">
      <c r="A2215" s="50" t="s">
        <v>5497</v>
      </c>
      <c r="B2215" s="61">
        <v>96.0</v>
      </c>
      <c r="C2215" s="61">
        <v>98.0</v>
      </c>
      <c r="D2215" s="9">
        <f t="array" ref="D2215">xlookup(A2215,'données'!E$2:E$3608,'données'!K$2:K$3608)</f>
        <v>116.2</v>
      </c>
      <c r="E2215" s="5" t="b">
        <f t="shared" si="1"/>
        <v>0</v>
      </c>
    </row>
    <row r="2216">
      <c r="A2216" s="50" t="s">
        <v>3939</v>
      </c>
      <c r="B2216" s="61">
        <v>97.0</v>
      </c>
      <c r="C2216" s="61">
        <v>97.0</v>
      </c>
      <c r="D2216" s="9">
        <f t="array" ref="D2216">xlookup(A2216,'données'!E$2:E$3608,'données'!K$2:K$3608)</f>
        <v>113.4</v>
      </c>
      <c r="E2216" s="5" t="b">
        <f t="shared" si="1"/>
        <v>0</v>
      </c>
    </row>
    <row r="2217">
      <c r="A2217" s="50" t="s">
        <v>2162</v>
      </c>
      <c r="B2217" s="61">
        <v>97.0</v>
      </c>
      <c r="C2217" s="61">
        <v>97.0</v>
      </c>
      <c r="D2217" s="9">
        <f t="array" ref="D2217">xlookup(A2217,'données'!E$2:E$3608,'données'!K$2:K$3608)</f>
        <v>111.7</v>
      </c>
      <c r="E2217" s="5" t="b">
        <f t="shared" si="1"/>
        <v>0</v>
      </c>
    </row>
    <row r="2218">
      <c r="A2218" s="50" t="s">
        <v>5495</v>
      </c>
      <c r="B2218" s="61">
        <v>98.0</v>
      </c>
      <c r="C2218" s="61">
        <v>98.0</v>
      </c>
      <c r="D2218" s="9">
        <f t="array" ref="D2218">xlookup(A2218,'données'!E$2:E$3608,'données'!K$2:K$3608)</f>
        <v>103.3</v>
      </c>
      <c r="E2218" s="5" t="b">
        <f t="shared" si="1"/>
        <v>0</v>
      </c>
    </row>
    <row r="2219">
      <c r="A2219" s="50" t="s">
        <v>6994</v>
      </c>
      <c r="B2219" s="61">
        <v>100.0</v>
      </c>
      <c r="C2219" s="61">
        <v>100.0</v>
      </c>
      <c r="D2219" s="9">
        <f t="array" ref="D2219">xlookup(A2219,'données'!E$2:E$3608,'données'!K$2:K$3608)</f>
        <v>102.9</v>
      </c>
      <c r="E2219" s="5" t="b">
        <f t="shared" si="1"/>
        <v>0</v>
      </c>
    </row>
    <row r="2220">
      <c r="A2220" s="50" t="s">
        <v>2157</v>
      </c>
      <c r="B2220" s="61">
        <v>100.0</v>
      </c>
      <c r="C2220" s="61">
        <v>100.0</v>
      </c>
      <c r="D2220" s="9">
        <f t="array" ref="D2220">xlookup(A2220,'données'!E$2:E$3608,'données'!K$2:K$3608)</f>
        <v>126.3</v>
      </c>
      <c r="E2220" s="5" t="b">
        <f t="shared" si="1"/>
        <v>0</v>
      </c>
    </row>
    <row r="2221">
      <c r="A2221" s="50" t="s">
        <v>5492</v>
      </c>
      <c r="B2221" s="61">
        <v>94.0</v>
      </c>
      <c r="C2221" s="61">
        <v>98.0</v>
      </c>
      <c r="D2221" s="9">
        <f t="array" ref="D2221">xlookup(A2221,'données'!E$2:E$3608,'données'!K$2:K$3608)</f>
        <v>100.5</v>
      </c>
      <c r="E2221" s="5" t="b">
        <f t="shared" si="1"/>
        <v>0</v>
      </c>
    </row>
    <row r="2222">
      <c r="A2222" s="50" t="s">
        <v>6993</v>
      </c>
      <c r="B2222" s="61">
        <v>99.0</v>
      </c>
      <c r="C2222" s="61">
        <v>100.0</v>
      </c>
      <c r="D2222" s="9">
        <f t="array" ref="D2222">xlookup(A2222,'données'!E$2:E$3608,'données'!K$2:K$3608)</f>
        <v>137.1</v>
      </c>
      <c r="E2222" s="5" t="b">
        <f t="shared" si="1"/>
        <v>0</v>
      </c>
    </row>
    <row r="2223">
      <c r="A2223" s="50" t="s">
        <v>2154</v>
      </c>
      <c r="B2223" s="61">
        <v>100.0</v>
      </c>
      <c r="C2223" s="61">
        <v>100.0</v>
      </c>
      <c r="D2223" s="9">
        <f t="array" ref="D2223">xlookup(A2223,'données'!E$2:E$3608,'données'!K$2:K$3608)</f>
        <v>119.5</v>
      </c>
      <c r="E2223" s="5" t="b">
        <f t="shared" si="1"/>
        <v>0</v>
      </c>
    </row>
    <row r="2224">
      <c r="A2224" s="50" t="s">
        <v>5489</v>
      </c>
      <c r="B2224" s="61">
        <v>98.0</v>
      </c>
      <c r="C2224" s="61">
        <v>98.0</v>
      </c>
      <c r="D2224" s="9">
        <f t="array" ref="D2224">xlookup(A2224,'données'!E$2:E$3608,'données'!K$2:K$3608)</f>
        <v>129.6</v>
      </c>
      <c r="E2224" s="5" t="b">
        <f t="shared" si="1"/>
        <v>0</v>
      </c>
    </row>
    <row r="2225">
      <c r="A2225" s="50" t="s">
        <v>2152</v>
      </c>
      <c r="B2225" s="61">
        <v>92.0</v>
      </c>
      <c r="C2225" s="50"/>
      <c r="D2225" s="9">
        <f t="array" ref="D2225">xlookup(A2225,'données'!E$2:E$3608,'données'!K$2:K$3608)</f>
        <v>111.9</v>
      </c>
      <c r="E2225" s="5" t="b">
        <f t="shared" si="1"/>
        <v>0</v>
      </c>
    </row>
    <row r="2226">
      <c r="A2226" s="50" t="s">
        <v>6992</v>
      </c>
      <c r="B2226" s="61">
        <v>91.0</v>
      </c>
      <c r="C2226" s="61">
        <v>91.0</v>
      </c>
      <c r="D2226" s="9">
        <f t="array" ref="D2226">xlookup(A2226,'données'!E$2:E$3608,'données'!K$2:K$3608)</f>
        <v>90.8</v>
      </c>
      <c r="E2226" s="5" t="b">
        <f t="shared" si="1"/>
        <v>0</v>
      </c>
    </row>
    <row r="2227">
      <c r="A2227" s="50" t="s">
        <v>3937</v>
      </c>
      <c r="B2227" s="61">
        <v>96.0</v>
      </c>
      <c r="C2227" s="61">
        <v>96.0</v>
      </c>
      <c r="D2227" s="9">
        <f t="array" ref="D2227">xlookup(A2227,'données'!E$2:E$3608,'données'!K$2:K$3608)</f>
        <v>119.8</v>
      </c>
      <c r="E2227" s="5" t="b">
        <f t="shared" si="1"/>
        <v>0</v>
      </c>
    </row>
    <row r="2228">
      <c r="A2228" s="50" t="s">
        <v>3935</v>
      </c>
      <c r="B2228" s="61">
        <v>95.0</v>
      </c>
      <c r="C2228" s="61">
        <v>95.0</v>
      </c>
      <c r="D2228" s="9">
        <f t="array" ref="D2228">xlookup(A2228,'données'!E$2:E$3608,'données'!K$2:K$3608)</f>
        <v>102.6</v>
      </c>
      <c r="E2228" s="5" t="b">
        <f t="shared" si="1"/>
        <v>0</v>
      </c>
    </row>
    <row r="2229">
      <c r="A2229" s="50" t="s">
        <v>3932</v>
      </c>
      <c r="B2229" s="61">
        <v>100.0</v>
      </c>
      <c r="C2229" s="61">
        <v>100.0</v>
      </c>
      <c r="D2229" s="9">
        <f t="array" ref="D2229">xlookup(A2229,'données'!E$2:E$3608,'données'!K$2:K$3608)</f>
        <v>145.6</v>
      </c>
      <c r="E2229" s="5" t="b">
        <f t="shared" si="1"/>
        <v>0</v>
      </c>
    </row>
    <row r="2230">
      <c r="A2230" s="50" t="s">
        <v>2150</v>
      </c>
      <c r="B2230" s="61">
        <v>99.0</v>
      </c>
      <c r="C2230" s="61">
        <v>100.0</v>
      </c>
      <c r="D2230" s="9">
        <f t="array" ref="D2230">xlookup(A2230,'données'!E$2:E$3608,'données'!K$2:K$3608)</f>
        <v>123.5</v>
      </c>
      <c r="E2230" s="5" t="b">
        <f t="shared" si="1"/>
        <v>0</v>
      </c>
    </row>
    <row r="2231">
      <c r="A2231" s="50" t="s">
        <v>2148</v>
      </c>
      <c r="B2231" s="61">
        <v>100.0</v>
      </c>
      <c r="C2231" s="61">
        <v>100.0</v>
      </c>
      <c r="D2231" s="9">
        <f t="array" ref="D2231">xlookup(A2231,'données'!E$2:E$3608,'données'!K$2:K$3608)</f>
        <v>111</v>
      </c>
      <c r="E2231" s="5" t="b">
        <f t="shared" si="1"/>
        <v>0</v>
      </c>
    </row>
    <row r="2232">
      <c r="A2232" s="50" t="s">
        <v>5485</v>
      </c>
      <c r="B2232" s="61">
        <v>100.0</v>
      </c>
      <c r="C2232" s="61">
        <v>100.0</v>
      </c>
      <c r="D2232" s="9">
        <f t="array" ref="D2232">xlookup(A2232,'données'!E$2:E$3608,'données'!K$2:K$3608)</f>
        <v>134.5</v>
      </c>
      <c r="E2232" s="5" t="b">
        <f t="shared" si="1"/>
        <v>0</v>
      </c>
    </row>
    <row r="2233">
      <c r="A2233" s="50" t="s">
        <v>5482</v>
      </c>
      <c r="B2233" s="61">
        <v>100.0</v>
      </c>
      <c r="C2233" s="61">
        <v>100.0</v>
      </c>
      <c r="D2233" s="9">
        <f t="array" ref="D2233">xlookup(A2233,'données'!E$2:E$3608,'données'!K$2:K$3608)</f>
        <v>114.9</v>
      </c>
      <c r="E2233" s="5" t="b">
        <f t="shared" si="1"/>
        <v>0</v>
      </c>
    </row>
    <row r="2234">
      <c r="A2234" s="50" t="s">
        <v>6990</v>
      </c>
      <c r="B2234" s="61">
        <v>98.0</v>
      </c>
      <c r="C2234" s="50"/>
      <c r="D2234" s="9">
        <f t="array" ref="D2234">xlookup(A2234,'données'!E$2:E$3608,'données'!K$2:K$3608)</f>
        <v>92.3</v>
      </c>
      <c r="E2234" s="5" t="b">
        <f t="shared" si="1"/>
        <v>0</v>
      </c>
    </row>
    <row r="2235">
      <c r="A2235" s="50" t="s">
        <v>3930</v>
      </c>
      <c r="B2235" s="61">
        <v>100.0</v>
      </c>
      <c r="C2235" s="61">
        <v>100.0</v>
      </c>
      <c r="D2235" s="9">
        <f t="array" ref="D2235">xlookup(A2235,'données'!E$2:E$3608,'données'!K$2:K$3608)</f>
        <v>143.8</v>
      </c>
      <c r="E2235" s="5" t="b">
        <f t="shared" si="1"/>
        <v>0</v>
      </c>
    </row>
    <row r="2236">
      <c r="A2236" s="50" t="s">
        <v>150</v>
      </c>
      <c r="B2236" s="61">
        <v>100.0</v>
      </c>
      <c r="C2236" s="61">
        <v>100.0</v>
      </c>
      <c r="D2236" s="9">
        <f t="array" ref="D2236">xlookup(A2236,'données'!E$2:E$3608,'données'!K$2:K$3608)</f>
        <v>127.2</v>
      </c>
      <c r="E2236" s="5" t="b">
        <f t="shared" si="1"/>
        <v>0</v>
      </c>
    </row>
    <row r="2237">
      <c r="A2237" s="50" t="s">
        <v>6989</v>
      </c>
      <c r="B2237" s="61">
        <v>100.0</v>
      </c>
      <c r="C2237" s="61">
        <v>100.0</v>
      </c>
      <c r="D2237" s="9">
        <f t="array" ref="D2237">xlookup(A2237,'données'!E$2:E$3608,'données'!K$2:K$3608)</f>
        <v>141.8</v>
      </c>
      <c r="E2237" s="5" t="b">
        <f t="shared" si="1"/>
        <v>0</v>
      </c>
    </row>
    <row r="2238">
      <c r="A2238" s="50" t="s">
        <v>2146</v>
      </c>
      <c r="B2238" s="61">
        <v>100.0</v>
      </c>
      <c r="C2238" s="61">
        <v>100.0</v>
      </c>
      <c r="D2238" s="9">
        <f t="array" ref="D2238">xlookup(A2238,'données'!E$2:E$3608,'données'!K$2:K$3608)</f>
        <v>133.3</v>
      </c>
      <c r="E2238" s="5" t="b">
        <f t="shared" si="1"/>
        <v>0</v>
      </c>
    </row>
    <row r="2239">
      <c r="A2239" s="50" t="s">
        <v>3928</v>
      </c>
      <c r="B2239" s="61">
        <v>100.0</v>
      </c>
      <c r="C2239" s="61">
        <v>100.0</v>
      </c>
      <c r="D2239" s="9">
        <f t="array" ref="D2239">xlookup(A2239,'données'!E$2:E$3608,'données'!K$2:K$3608)</f>
        <v>131.2</v>
      </c>
      <c r="E2239" s="5" t="b">
        <f t="shared" si="1"/>
        <v>0</v>
      </c>
    </row>
    <row r="2240">
      <c r="A2240" s="50" t="s">
        <v>148</v>
      </c>
      <c r="B2240" s="61">
        <v>100.0</v>
      </c>
      <c r="C2240" s="61">
        <v>100.0</v>
      </c>
      <c r="D2240" s="9">
        <f t="array" ref="D2240">xlookup(A2240,'données'!E$2:E$3608,'données'!K$2:K$3608)</f>
        <v>131.6</v>
      </c>
      <c r="E2240" s="5" t="b">
        <f t="shared" si="1"/>
        <v>0</v>
      </c>
    </row>
    <row r="2241">
      <c r="A2241" s="50" t="s">
        <v>3926</v>
      </c>
      <c r="B2241" s="61">
        <v>91.0</v>
      </c>
      <c r="C2241" s="61">
        <v>91.0</v>
      </c>
      <c r="D2241" s="9">
        <f t="array" ref="D2241">xlookup(A2241,'données'!E$2:E$3608,'données'!K$2:K$3608)</f>
        <v>117.4</v>
      </c>
      <c r="E2241" s="5" t="b">
        <f t="shared" si="1"/>
        <v>0</v>
      </c>
    </row>
    <row r="2242">
      <c r="A2242" s="50" t="s">
        <v>2142</v>
      </c>
      <c r="B2242" s="61">
        <v>100.0</v>
      </c>
      <c r="C2242" s="50"/>
      <c r="D2242" s="9">
        <f t="array" ref="D2242">xlookup(A2242,'données'!E$2:E$3608,'données'!K$2:K$3608)</f>
        <v>114.4</v>
      </c>
      <c r="E2242" s="5" t="b">
        <f t="shared" si="1"/>
        <v>0</v>
      </c>
    </row>
    <row r="2243">
      <c r="A2243" s="50" t="s">
        <v>6983</v>
      </c>
      <c r="B2243" s="61">
        <v>95.0</v>
      </c>
      <c r="C2243" s="61">
        <v>95.0</v>
      </c>
      <c r="D2243" s="9">
        <f t="array" ref="D2243">xlookup(A2243,'données'!E$2:E$3608,'données'!K$2:K$3608)</f>
        <v>107.9</v>
      </c>
      <c r="E2243" s="5" t="b">
        <f t="shared" si="1"/>
        <v>0</v>
      </c>
    </row>
    <row r="2244">
      <c r="A2244" s="50" t="s">
        <v>5476</v>
      </c>
      <c r="B2244" s="61">
        <v>96.0</v>
      </c>
      <c r="C2244" s="61">
        <v>98.0</v>
      </c>
      <c r="D2244" s="9">
        <f t="array" ref="D2244">xlookup(A2244,'données'!E$2:E$3608,'données'!K$2:K$3608)</f>
        <v>122.1</v>
      </c>
      <c r="E2244" s="5" t="b">
        <f t="shared" si="1"/>
        <v>0</v>
      </c>
    </row>
    <row r="2245">
      <c r="A2245" s="50" t="s">
        <v>2140</v>
      </c>
      <c r="B2245" s="61">
        <v>97.0</v>
      </c>
      <c r="C2245" s="61">
        <v>97.0</v>
      </c>
      <c r="D2245" s="9">
        <f t="array" ref="D2245">xlookup(A2245,'données'!E$2:E$3608,'données'!K$2:K$3608)</f>
        <v>124.3</v>
      </c>
      <c r="E2245" s="5" t="b">
        <f t="shared" si="1"/>
        <v>0</v>
      </c>
    </row>
    <row r="2246">
      <c r="A2246" s="50" t="s">
        <v>3924</v>
      </c>
      <c r="B2246" s="61">
        <v>94.0</v>
      </c>
      <c r="C2246" s="61">
        <v>96.0</v>
      </c>
      <c r="D2246" s="9">
        <f t="array" ref="D2246">xlookup(A2246,'données'!E$2:E$3608,'données'!K$2:K$3608)</f>
        <v>106.8</v>
      </c>
      <c r="E2246" s="5" t="b">
        <f t="shared" si="1"/>
        <v>0</v>
      </c>
    </row>
    <row r="2247">
      <c r="A2247" s="50" t="s">
        <v>145</v>
      </c>
      <c r="B2247" s="61">
        <v>91.0</v>
      </c>
      <c r="C2247" s="61">
        <v>93.0</v>
      </c>
      <c r="D2247" s="9">
        <f t="array" ref="D2247">xlookup(A2247,'données'!E$2:E$3608,'données'!K$2:K$3608)</f>
        <v>102.4</v>
      </c>
      <c r="E2247" s="5" t="b">
        <f t="shared" si="1"/>
        <v>0</v>
      </c>
    </row>
    <row r="2248">
      <c r="A2248" s="50" t="s">
        <v>6977</v>
      </c>
      <c r="B2248" s="61">
        <v>97.0</v>
      </c>
      <c r="C2248" s="61">
        <v>98.0</v>
      </c>
      <c r="D2248" s="9">
        <f t="array" ref="D2248">xlookup(A2248,'données'!E$2:E$3608,'données'!K$2:K$3608)</f>
        <v>118</v>
      </c>
      <c r="E2248" s="5" t="b">
        <f t="shared" si="1"/>
        <v>0</v>
      </c>
    </row>
    <row r="2249">
      <c r="A2249" s="50" t="s">
        <v>3923</v>
      </c>
      <c r="B2249" s="61">
        <v>98.0</v>
      </c>
      <c r="C2249" s="61">
        <v>99.0</v>
      </c>
      <c r="D2249" s="9">
        <f t="array" ref="D2249">xlookup(A2249,'données'!E$2:E$3608,'données'!K$2:K$3608)</f>
        <v>115.5</v>
      </c>
      <c r="E2249" s="5" t="b">
        <f t="shared" si="1"/>
        <v>0</v>
      </c>
    </row>
    <row r="2250">
      <c r="A2250" s="50" t="s">
        <v>2134</v>
      </c>
      <c r="B2250" s="61">
        <v>96.0</v>
      </c>
      <c r="C2250" s="61">
        <v>96.0</v>
      </c>
      <c r="D2250" s="9">
        <f t="array" ref="D2250">xlookup(A2250,'données'!E$2:E$3608,'données'!K$2:K$3608)</f>
        <v>98.9</v>
      </c>
      <c r="E2250" s="5" t="b">
        <f t="shared" si="1"/>
        <v>0</v>
      </c>
    </row>
    <row r="2251">
      <c r="A2251" s="50" t="s">
        <v>5475</v>
      </c>
      <c r="B2251" s="61">
        <v>96.0</v>
      </c>
      <c r="C2251" s="61">
        <v>96.0</v>
      </c>
      <c r="D2251" s="9">
        <f t="array" ref="D2251">xlookup(A2251,'données'!E$2:E$3608,'données'!K$2:K$3608)</f>
        <v>106.7</v>
      </c>
      <c r="E2251" s="5" t="b">
        <f t="shared" si="1"/>
        <v>0</v>
      </c>
    </row>
    <row r="2252">
      <c r="A2252" s="50" t="s">
        <v>139</v>
      </c>
      <c r="B2252" s="61">
        <v>94.0</v>
      </c>
      <c r="C2252" s="61">
        <v>95.0</v>
      </c>
      <c r="D2252" s="9">
        <f t="array" ref="D2252">xlookup(A2252,'données'!E$2:E$3608,'données'!K$2:K$3608)</f>
        <v>123.2</v>
      </c>
      <c r="E2252" s="5" t="b">
        <f t="shared" si="1"/>
        <v>0</v>
      </c>
    </row>
    <row r="2253">
      <c r="A2253" s="50" t="s">
        <v>5473</v>
      </c>
      <c r="B2253" s="61">
        <v>94.0</v>
      </c>
      <c r="C2253" s="61">
        <v>96.0</v>
      </c>
      <c r="D2253" s="9">
        <f t="array" ref="D2253">xlookup(A2253,'données'!E$2:E$3608,'données'!K$2:K$3608)</f>
        <v>107.6</v>
      </c>
      <c r="E2253" s="5" t="b">
        <f t="shared" si="1"/>
        <v>0</v>
      </c>
    </row>
    <row r="2254">
      <c r="A2254" s="50" t="s">
        <v>5472</v>
      </c>
      <c r="B2254" s="61">
        <v>100.0</v>
      </c>
      <c r="C2254" s="61">
        <v>100.0</v>
      </c>
      <c r="D2254" s="9">
        <f t="array" ref="D2254">xlookup(A2254,'données'!E$2:E$3608,'données'!K$2:K$3608)</f>
        <v>127.6</v>
      </c>
      <c r="E2254" s="5" t="b">
        <f t="shared" si="1"/>
        <v>0</v>
      </c>
    </row>
    <row r="2255">
      <c r="A2255" s="50" t="s">
        <v>6973</v>
      </c>
      <c r="B2255" s="61">
        <v>98.0</v>
      </c>
      <c r="C2255" s="61">
        <v>99.0</v>
      </c>
      <c r="D2255" s="9">
        <f t="array" ref="D2255">xlookup(A2255,'données'!E$2:E$3608,'données'!K$2:K$3608)</f>
        <v>115.8</v>
      </c>
      <c r="E2255" s="5" t="b">
        <f t="shared" si="1"/>
        <v>0</v>
      </c>
    </row>
    <row r="2256">
      <c r="A2256" s="50" t="s">
        <v>6971</v>
      </c>
      <c r="B2256" s="61">
        <v>99.0</v>
      </c>
      <c r="C2256" s="61">
        <v>99.0</v>
      </c>
      <c r="D2256" s="9">
        <f t="array" ref="D2256">xlookup(A2256,'données'!E$2:E$3608,'données'!K$2:K$3608)</f>
        <v>122.2</v>
      </c>
      <c r="E2256" s="5" t="b">
        <f t="shared" si="1"/>
        <v>0</v>
      </c>
    </row>
    <row r="2257">
      <c r="A2257" s="50" t="s">
        <v>2128</v>
      </c>
      <c r="B2257" s="61">
        <v>98.0</v>
      </c>
      <c r="C2257" s="61">
        <v>98.0</v>
      </c>
      <c r="D2257" s="9">
        <f t="array" ref="D2257">xlookup(A2257,'données'!E$2:E$3608,'données'!K$2:K$3608)</f>
        <v>114.6</v>
      </c>
      <c r="E2257" s="5" t="b">
        <f t="shared" si="1"/>
        <v>0</v>
      </c>
    </row>
    <row r="2258">
      <c r="A2258" s="50" t="s">
        <v>2125</v>
      </c>
      <c r="B2258" s="61">
        <v>99.0</v>
      </c>
      <c r="C2258" s="61">
        <v>99.0</v>
      </c>
      <c r="D2258" s="9">
        <f t="array" ref="D2258">xlookup(A2258,'données'!E$2:E$3608,'données'!K$2:K$3608)</f>
        <v>121.3</v>
      </c>
      <c r="E2258" s="5" t="b">
        <f t="shared" si="1"/>
        <v>0</v>
      </c>
    </row>
    <row r="2259">
      <c r="A2259" s="50" t="s">
        <v>5468</v>
      </c>
      <c r="B2259" s="61">
        <v>99.0</v>
      </c>
      <c r="C2259" s="61">
        <v>99.0</v>
      </c>
      <c r="D2259" s="9">
        <f t="array" ref="D2259">xlookup(A2259,'données'!E$2:E$3608,'données'!K$2:K$3608)</f>
        <v>119.1</v>
      </c>
      <c r="E2259" s="5" t="b">
        <f t="shared" si="1"/>
        <v>0</v>
      </c>
    </row>
    <row r="2260">
      <c r="A2260" s="50" t="s">
        <v>3919</v>
      </c>
      <c r="B2260" s="61">
        <v>99.0</v>
      </c>
      <c r="C2260" s="61">
        <v>100.0</v>
      </c>
      <c r="D2260" s="9">
        <f t="array" ref="D2260">xlookup(A2260,'données'!E$2:E$3608,'données'!K$2:K$3608)</f>
        <v>117.3</v>
      </c>
      <c r="E2260" s="5" t="b">
        <f t="shared" si="1"/>
        <v>0</v>
      </c>
    </row>
    <row r="2261">
      <c r="A2261" s="50" t="s">
        <v>5466</v>
      </c>
      <c r="B2261" s="61">
        <v>97.0</v>
      </c>
      <c r="C2261" s="61">
        <v>99.0</v>
      </c>
      <c r="D2261" s="9">
        <f t="array" ref="D2261">xlookup(A2261,'données'!E$2:E$3608,'données'!K$2:K$3608)</f>
        <v>106.9</v>
      </c>
      <c r="E2261" s="5" t="b">
        <f t="shared" si="1"/>
        <v>0</v>
      </c>
    </row>
    <row r="2262">
      <c r="A2262" s="50" t="s">
        <v>5463</v>
      </c>
      <c r="B2262" s="61">
        <v>98.0</v>
      </c>
      <c r="C2262" s="61">
        <v>99.0</v>
      </c>
      <c r="D2262" s="9">
        <f t="array" ref="D2262">xlookup(A2262,'données'!E$2:E$3608,'données'!K$2:K$3608)</f>
        <v>116</v>
      </c>
      <c r="E2262" s="5" t="b">
        <f t="shared" si="1"/>
        <v>0</v>
      </c>
    </row>
    <row r="2263">
      <c r="A2263" s="50" t="s">
        <v>131</v>
      </c>
      <c r="B2263" s="61">
        <v>96.0</v>
      </c>
      <c r="C2263" s="61">
        <v>97.0</v>
      </c>
      <c r="D2263" s="9">
        <f t="array" ref="D2263">xlookup(A2263,'données'!E$2:E$3608,'données'!K$2:K$3608)</f>
        <v>113.2</v>
      </c>
      <c r="E2263" s="5" t="b">
        <f t="shared" si="1"/>
        <v>0</v>
      </c>
    </row>
    <row r="2264">
      <c r="A2264" s="50" t="s">
        <v>6963</v>
      </c>
      <c r="B2264" s="61">
        <v>98.0</v>
      </c>
      <c r="C2264" s="61">
        <v>98.0</v>
      </c>
      <c r="D2264" s="9">
        <f t="array" ref="D2264">xlookup(A2264,'données'!E$2:E$3608,'données'!K$2:K$3608)</f>
        <v>103.7</v>
      </c>
      <c r="E2264" s="5" t="b">
        <f t="shared" si="1"/>
        <v>0</v>
      </c>
    </row>
    <row r="2265">
      <c r="A2265" s="50" t="s">
        <v>6961</v>
      </c>
      <c r="B2265" s="61">
        <v>95.0</v>
      </c>
      <c r="C2265" s="50"/>
      <c r="D2265" s="9">
        <f t="array" ref="D2265">xlookup(A2265,'données'!E$2:E$3608,'données'!K$2:K$3608)</f>
        <v>94.9</v>
      </c>
      <c r="E2265" s="5" t="b">
        <f t="shared" si="1"/>
        <v>0</v>
      </c>
    </row>
    <row r="2266">
      <c r="A2266" s="50" t="s">
        <v>2118</v>
      </c>
      <c r="B2266" s="61">
        <v>85.0</v>
      </c>
      <c r="C2266" s="50"/>
      <c r="D2266" s="9">
        <f t="array" ref="D2266">xlookup(A2266,'données'!E$2:E$3608,'données'!K$2:K$3608)</f>
        <v>91.9</v>
      </c>
      <c r="E2266" s="5" t="b">
        <f t="shared" si="1"/>
        <v>0</v>
      </c>
    </row>
    <row r="2267">
      <c r="A2267" s="50" t="s">
        <v>3908</v>
      </c>
      <c r="B2267" s="61">
        <v>100.0</v>
      </c>
      <c r="C2267" s="61">
        <v>100.0</v>
      </c>
      <c r="D2267" s="9">
        <f t="array" ref="D2267">xlookup(A2267,'données'!E$2:E$3608,'données'!K$2:K$3608)</f>
        <v>107.2</v>
      </c>
      <c r="E2267" s="5" t="b">
        <f t="shared" si="1"/>
        <v>0</v>
      </c>
    </row>
    <row r="2268">
      <c r="A2268" s="50" t="s">
        <v>2114</v>
      </c>
      <c r="B2268" s="61">
        <v>92.0</v>
      </c>
      <c r="C2268" s="61">
        <v>92.0</v>
      </c>
      <c r="D2268" s="9">
        <f t="array" ref="D2268">xlookup(A2268,'données'!E$2:E$3608,'données'!K$2:K$3608)</f>
        <v>102.7</v>
      </c>
      <c r="E2268" s="5" t="b">
        <f t="shared" si="1"/>
        <v>0</v>
      </c>
    </row>
    <row r="2269">
      <c r="A2269" s="50" t="s">
        <v>3907</v>
      </c>
      <c r="B2269" s="61">
        <v>100.0</v>
      </c>
      <c r="C2269" s="61">
        <v>100.0</v>
      </c>
      <c r="D2269" s="9">
        <f t="array" ref="D2269">xlookup(A2269,'données'!E$2:E$3608,'données'!K$2:K$3608)</f>
        <v>119.8</v>
      </c>
      <c r="E2269" s="5" t="b">
        <f t="shared" si="1"/>
        <v>0</v>
      </c>
    </row>
    <row r="2270">
      <c r="A2270" s="50" t="s">
        <v>121</v>
      </c>
      <c r="B2270" s="61">
        <v>96.0</v>
      </c>
      <c r="C2270" s="61">
        <v>97.0</v>
      </c>
      <c r="D2270" s="9">
        <f t="array" ref="D2270">xlookup(A2270,'données'!E$2:E$3608,'données'!K$2:K$3608)</f>
        <v>111.9</v>
      </c>
      <c r="E2270" s="5" t="b">
        <f t="shared" si="1"/>
        <v>0</v>
      </c>
    </row>
    <row r="2271">
      <c r="A2271" s="50" t="s">
        <v>6956</v>
      </c>
      <c r="B2271" s="61">
        <v>96.0</v>
      </c>
      <c r="C2271" s="61">
        <v>96.0</v>
      </c>
      <c r="D2271" s="9">
        <f t="array" ref="D2271">xlookup(A2271,'données'!E$2:E$3608,'données'!K$2:K$3608)</f>
        <v>110.2</v>
      </c>
      <c r="E2271" s="5" t="b">
        <f t="shared" si="1"/>
        <v>0</v>
      </c>
    </row>
    <row r="2272">
      <c r="A2272" s="50" t="s">
        <v>3904</v>
      </c>
      <c r="B2272" s="61">
        <v>95.0</v>
      </c>
      <c r="C2272" s="61">
        <v>100.0</v>
      </c>
      <c r="D2272" s="9">
        <f t="array" ref="D2272">xlookup(A2272,'données'!E$2:E$3608,'données'!K$2:K$3608)</f>
        <v>105</v>
      </c>
      <c r="E2272" s="5" t="b">
        <f t="shared" si="1"/>
        <v>0</v>
      </c>
    </row>
    <row r="2273">
      <c r="A2273" s="50" t="s">
        <v>3902</v>
      </c>
      <c r="B2273" s="61">
        <v>98.0</v>
      </c>
      <c r="C2273" s="61">
        <v>98.0</v>
      </c>
      <c r="D2273" s="9">
        <f t="array" ref="D2273">xlookup(A2273,'données'!E$2:E$3608,'données'!K$2:K$3608)</f>
        <v>114</v>
      </c>
      <c r="E2273" s="5" t="b">
        <f t="shared" si="1"/>
        <v>0</v>
      </c>
    </row>
    <row r="2274">
      <c r="A2274" s="50" t="s">
        <v>118</v>
      </c>
      <c r="B2274" s="61">
        <v>97.0</v>
      </c>
      <c r="C2274" s="61">
        <v>98.0</v>
      </c>
      <c r="D2274" s="9">
        <f t="array" ref="D2274">xlookup(A2274,'données'!E$2:E$3608,'données'!K$2:K$3608)</f>
        <v>108.9</v>
      </c>
      <c r="E2274" s="5" t="b">
        <f t="shared" si="1"/>
        <v>0</v>
      </c>
    </row>
    <row r="2275">
      <c r="A2275" s="50" t="s">
        <v>2110</v>
      </c>
      <c r="B2275" s="61">
        <v>98.0</v>
      </c>
      <c r="C2275" s="61">
        <v>98.0</v>
      </c>
      <c r="D2275" s="9">
        <f t="array" ref="D2275">xlookup(A2275,'données'!E$2:E$3608,'données'!K$2:K$3608)</f>
        <v>113.9</v>
      </c>
      <c r="E2275" s="5" t="b">
        <f t="shared" si="1"/>
        <v>0</v>
      </c>
    </row>
    <row r="2276">
      <c r="A2276" s="50" t="s">
        <v>5459</v>
      </c>
      <c r="B2276" s="61">
        <v>100.0</v>
      </c>
      <c r="C2276" s="50"/>
      <c r="D2276" s="9">
        <f t="array" ref="D2276">xlookup(A2276,'données'!E$2:E$3608,'données'!K$2:K$3608)</f>
        <v>121.8</v>
      </c>
      <c r="E2276" s="5" t="b">
        <f t="shared" si="1"/>
        <v>0</v>
      </c>
    </row>
    <row r="2277">
      <c r="A2277" s="50" t="s">
        <v>3900</v>
      </c>
      <c r="B2277" s="61">
        <v>68.0</v>
      </c>
      <c r="C2277" s="50"/>
      <c r="D2277" s="9">
        <f t="array" ref="D2277">xlookup(A2277,'données'!E$2:E$3608,'données'!K$2:K$3608)</f>
        <v>85.5</v>
      </c>
      <c r="E2277" s="5" t="b">
        <f t="shared" si="1"/>
        <v>0</v>
      </c>
    </row>
    <row r="2278">
      <c r="A2278" s="50" t="s">
        <v>6953</v>
      </c>
      <c r="B2278" s="61">
        <v>97.0</v>
      </c>
      <c r="C2278" s="61">
        <v>97.0</v>
      </c>
      <c r="D2278" s="9">
        <f t="array" ref="D2278">xlookup(A2278,'données'!E$2:E$3608,'données'!K$2:K$3608)</f>
        <v>110.8</v>
      </c>
      <c r="E2278" s="5" t="b">
        <f t="shared" si="1"/>
        <v>0</v>
      </c>
    </row>
    <row r="2279">
      <c r="A2279" s="50" t="s">
        <v>5453</v>
      </c>
      <c r="B2279" s="61">
        <v>98.0</v>
      </c>
      <c r="C2279" s="61">
        <v>99.0</v>
      </c>
      <c r="D2279" s="9">
        <f t="array" ref="D2279">xlookup(A2279,'données'!E$2:E$3608,'données'!K$2:K$3608)</f>
        <v>110.5</v>
      </c>
      <c r="E2279" s="5" t="b">
        <f t="shared" si="1"/>
        <v>0</v>
      </c>
    </row>
    <row r="2280">
      <c r="A2280" s="50" t="s">
        <v>5451</v>
      </c>
      <c r="B2280" s="61">
        <v>99.0</v>
      </c>
      <c r="C2280" s="61">
        <v>99.0</v>
      </c>
      <c r="D2280" s="9">
        <f t="array" ref="D2280">xlookup(A2280,'données'!E$2:E$3608,'données'!K$2:K$3608)</f>
        <v>116</v>
      </c>
      <c r="E2280" s="5" t="b">
        <f t="shared" si="1"/>
        <v>0</v>
      </c>
    </row>
    <row r="2281">
      <c r="A2281" s="50" t="s">
        <v>6949</v>
      </c>
      <c r="B2281" s="61">
        <v>99.0</v>
      </c>
      <c r="C2281" s="61">
        <v>99.0</v>
      </c>
      <c r="D2281" s="9">
        <f t="array" ref="D2281">xlookup(A2281,'données'!E$2:E$3608,'données'!K$2:K$3608)</f>
        <v>118.3</v>
      </c>
      <c r="E2281" s="5" t="b">
        <f t="shared" si="1"/>
        <v>0</v>
      </c>
    </row>
    <row r="2282">
      <c r="A2282" s="50" t="s">
        <v>2109</v>
      </c>
      <c r="B2282" s="61">
        <v>100.0</v>
      </c>
      <c r="C2282" s="61">
        <v>100.0</v>
      </c>
      <c r="D2282" s="9">
        <f t="array" ref="D2282">xlookup(A2282,'données'!E$2:E$3608,'données'!K$2:K$3608)</f>
        <v>110.9</v>
      </c>
      <c r="E2282" s="5" t="b">
        <f t="shared" si="1"/>
        <v>0</v>
      </c>
    </row>
    <row r="2283">
      <c r="A2283" s="50" t="s">
        <v>109</v>
      </c>
      <c r="B2283" s="61">
        <v>100.0</v>
      </c>
      <c r="C2283" s="61">
        <v>100.0</v>
      </c>
      <c r="D2283" s="9">
        <f t="array" ref="D2283">xlookup(A2283,'données'!E$2:E$3608,'données'!K$2:K$3608)</f>
        <v>110.2</v>
      </c>
      <c r="E2283" s="5" t="b">
        <f t="shared" si="1"/>
        <v>0</v>
      </c>
    </row>
    <row r="2284">
      <c r="A2284" s="50" t="s">
        <v>106</v>
      </c>
      <c r="B2284" s="61">
        <v>100.0</v>
      </c>
      <c r="C2284" s="61">
        <v>100.0</v>
      </c>
      <c r="D2284" s="9">
        <f t="array" ref="D2284">xlookup(A2284,'données'!E$2:E$3608,'données'!K$2:K$3608)</f>
        <v>109.8</v>
      </c>
      <c r="E2284" s="5" t="b">
        <f t="shared" si="1"/>
        <v>0</v>
      </c>
    </row>
    <row r="2285">
      <c r="A2285" s="50" t="s">
        <v>3897</v>
      </c>
      <c r="B2285" s="61">
        <v>95.0</v>
      </c>
      <c r="C2285" s="61">
        <v>94.0</v>
      </c>
      <c r="D2285" s="9">
        <f t="array" ref="D2285">xlookup(A2285,'données'!E$2:E$3608,'données'!K$2:K$3608)</f>
        <v>106.2</v>
      </c>
      <c r="E2285" s="5" t="b">
        <f t="shared" si="1"/>
        <v>0</v>
      </c>
    </row>
    <row r="2286">
      <c r="A2286" s="50" t="s">
        <v>3895</v>
      </c>
      <c r="B2286" s="61">
        <v>97.0</v>
      </c>
      <c r="C2286" s="61">
        <v>96.0</v>
      </c>
      <c r="D2286" s="9">
        <f t="array" ref="D2286">xlookup(A2286,'données'!E$2:E$3608,'données'!K$2:K$3608)</f>
        <v>97.4</v>
      </c>
      <c r="E2286" s="5" t="b">
        <f t="shared" si="1"/>
        <v>0</v>
      </c>
    </row>
    <row r="2287">
      <c r="A2287" s="50" t="s">
        <v>5447</v>
      </c>
      <c r="B2287" s="61">
        <v>99.0</v>
      </c>
      <c r="C2287" s="61">
        <v>99.0</v>
      </c>
      <c r="D2287" s="9">
        <f t="array" ref="D2287">xlookup(A2287,'données'!E$2:E$3608,'données'!K$2:K$3608)</f>
        <v>104.1</v>
      </c>
      <c r="E2287" s="5" t="b">
        <f t="shared" si="1"/>
        <v>0</v>
      </c>
    </row>
    <row r="2288">
      <c r="A2288" s="50" t="s">
        <v>3890</v>
      </c>
      <c r="B2288" s="61">
        <v>93.0</v>
      </c>
      <c r="C2288" s="61">
        <v>96.0</v>
      </c>
      <c r="D2288" s="9">
        <f t="array" ref="D2288">xlookup(A2288,'données'!E$2:E$3608,'données'!K$2:K$3608)</f>
        <v>92</v>
      </c>
      <c r="E2288" s="5" t="b">
        <f t="shared" si="1"/>
        <v>0</v>
      </c>
    </row>
    <row r="2289">
      <c r="A2289" s="50" t="s">
        <v>93</v>
      </c>
      <c r="B2289" s="61">
        <v>90.0</v>
      </c>
      <c r="C2289" s="61">
        <v>93.0</v>
      </c>
      <c r="D2289" s="9">
        <f t="array" ref="D2289">xlookup(A2289,'données'!E$2:E$3608,'données'!K$2:K$3608)</f>
        <v>102.2</v>
      </c>
      <c r="E2289" s="5" t="b">
        <f t="shared" si="1"/>
        <v>0</v>
      </c>
    </row>
    <row r="2290">
      <c r="A2290" s="50" t="s">
        <v>5445</v>
      </c>
      <c r="B2290" s="61">
        <v>95.0</v>
      </c>
      <c r="C2290" s="61">
        <v>95.0</v>
      </c>
      <c r="D2290" s="9">
        <f t="array" ref="D2290">xlookup(A2290,'données'!E$2:E$3608,'données'!K$2:K$3608)</f>
        <v>100.8</v>
      </c>
      <c r="E2290" s="5" t="b">
        <f t="shared" si="1"/>
        <v>0</v>
      </c>
    </row>
    <row r="2291">
      <c r="A2291" s="50" t="s">
        <v>3888</v>
      </c>
      <c r="B2291" s="61">
        <v>97.0</v>
      </c>
      <c r="C2291" s="61">
        <v>97.0</v>
      </c>
      <c r="D2291" s="9">
        <f t="array" ref="D2291">xlookup(A2291,'données'!E$2:E$3608,'données'!K$2:K$3608)</f>
        <v>110.8</v>
      </c>
      <c r="E2291" s="5" t="b">
        <f t="shared" si="1"/>
        <v>0</v>
      </c>
    </row>
    <row r="2292">
      <c r="A2292" s="50" t="s">
        <v>3886</v>
      </c>
      <c r="B2292" s="61">
        <v>96.0</v>
      </c>
      <c r="C2292" s="61">
        <v>97.0</v>
      </c>
      <c r="D2292" s="9">
        <f t="array" ref="D2292">xlookup(A2292,'données'!E$2:E$3608,'données'!K$2:K$3608)</f>
        <v>102.9</v>
      </c>
      <c r="E2292" s="5" t="b">
        <f t="shared" si="1"/>
        <v>0</v>
      </c>
    </row>
    <row r="2293">
      <c r="A2293" s="50" t="s">
        <v>6945</v>
      </c>
      <c r="B2293" s="61">
        <v>94.0</v>
      </c>
      <c r="C2293" s="61">
        <v>95.0</v>
      </c>
      <c r="D2293" s="9">
        <f t="array" ref="D2293">xlookup(A2293,'données'!E$2:E$3608,'données'!K$2:K$3608)</f>
        <v>102</v>
      </c>
      <c r="E2293" s="5" t="b">
        <f t="shared" si="1"/>
        <v>0</v>
      </c>
    </row>
    <row r="2294">
      <c r="A2294" s="50" t="s">
        <v>2102</v>
      </c>
      <c r="B2294" s="61">
        <v>94.0</v>
      </c>
      <c r="C2294" s="61">
        <v>97.0</v>
      </c>
      <c r="D2294" s="9">
        <f t="array" ref="D2294">xlookup(A2294,'données'!E$2:E$3608,'données'!K$2:K$3608)</f>
        <v>102.5</v>
      </c>
      <c r="E2294" s="5" t="b">
        <f t="shared" si="1"/>
        <v>0</v>
      </c>
    </row>
    <row r="2295">
      <c r="A2295" s="50" t="s">
        <v>2100</v>
      </c>
      <c r="B2295" s="61">
        <v>95.0</v>
      </c>
      <c r="C2295" s="61">
        <v>96.0</v>
      </c>
      <c r="D2295" s="9">
        <f t="array" ref="D2295">xlookup(A2295,'données'!E$2:E$3608,'données'!K$2:K$3608)</f>
        <v>101.1</v>
      </c>
      <c r="E2295" s="5" t="b">
        <f t="shared" si="1"/>
        <v>0</v>
      </c>
    </row>
    <row r="2296">
      <c r="A2296" s="50" t="s">
        <v>2098</v>
      </c>
      <c r="B2296" s="61">
        <v>100.0</v>
      </c>
      <c r="C2296" s="61">
        <v>100.0</v>
      </c>
      <c r="D2296" s="9">
        <f t="array" ref="D2296">xlookup(A2296,'données'!E$2:E$3608,'données'!K$2:K$3608)</f>
        <v>117.4</v>
      </c>
      <c r="E2296" s="5" t="b">
        <f t="shared" si="1"/>
        <v>0</v>
      </c>
    </row>
    <row r="2297">
      <c r="A2297" s="50" t="s">
        <v>3880</v>
      </c>
      <c r="B2297" s="61">
        <v>98.0</v>
      </c>
      <c r="C2297" s="61">
        <v>97.0</v>
      </c>
      <c r="D2297" s="9">
        <f t="array" ref="D2297">xlookup(A2297,'données'!E$2:E$3608,'données'!K$2:K$3608)</f>
        <v>126.7</v>
      </c>
      <c r="E2297" s="5" t="b">
        <f t="shared" si="1"/>
        <v>0</v>
      </c>
    </row>
    <row r="2298">
      <c r="A2298" s="50" t="s">
        <v>2095</v>
      </c>
      <c r="B2298" s="61">
        <v>97.0</v>
      </c>
      <c r="C2298" s="61">
        <v>99.0</v>
      </c>
      <c r="D2298" s="9">
        <f t="array" ref="D2298">xlookup(A2298,'données'!E$2:E$3608,'données'!K$2:K$3608)</f>
        <v>125.6</v>
      </c>
      <c r="E2298" s="5" t="b">
        <f t="shared" si="1"/>
        <v>0</v>
      </c>
    </row>
    <row r="2299">
      <c r="A2299" s="50" t="s">
        <v>85</v>
      </c>
      <c r="B2299" s="61">
        <v>97.0</v>
      </c>
      <c r="C2299" s="61">
        <v>98.0</v>
      </c>
      <c r="D2299" s="9">
        <f t="array" ref="D2299">xlookup(A2299,'données'!E$2:E$3608,'données'!K$2:K$3608)</f>
        <v>120.1</v>
      </c>
      <c r="E2299" s="5" t="b">
        <f t="shared" si="1"/>
        <v>0</v>
      </c>
    </row>
    <row r="2300">
      <c r="A2300" s="50" t="s">
        <v>5442</v>
      </c>
      <c r="B2300" s="61">
        <v>97.0</v>
      </c>
      <c r="C2300" s="61">
        <v>100.0</v>
      </c>
      <c r="D2300" s="9">
        <f t="array" ref="D2300">xlookup(A2300,'données'!E$2:E$3608,'données'!K$2:K$3608)</f>
        <v>107.2</v>
      </c>
      <c r="E2300" s="5" t="b">
        <f t="shared" si="1"/>
        <v>0</v>
      </c>
    </row>
    <row r="2301">
      <c r="A2301" s="50" t="s">
        <v>6941</v>
      </c>
      <c r="B2301" s="61">
        <v>100.0</v>
      </c>
      <c r="C2301" s="61">
        <v>100.0</v>
      </c>
      <c r="D2301" s="9">
        <f t="array" ref="D2301">xlookup(A2301,'données'!E$2:E$3608,'données'!K$2:K$3608)</f>
        <v>132.6</v>
      </c>
      <c r="E2301" s="5" t="b">
        <f t="shared" si="1"/>
        <v>0</v>
      </c>
    </row>
    <row r="2302">
      <c r="A2302" s="50" t="s">
        <v>79</v>
      </c>
      <c r="B2302" s="61">
        <v>100.0</v>
      </c>
      <c r="C2302" s="61">
        <v>100.0</v>
      </c>
      <c r="D2302" s="9">
        <f t="array" ref="D2302">xlookup(A2302,'données'!E$2:E$3608,'données'!K$2:K$3608)</f>
        <v>128.5</v>
      </c>
      <c r="E2302" s="5" t="b">
        <f t="shared" si="1"/>
        <v>0</v>
      </c>
    </row>
    <row r="2303">
      <c r="A2303" s="50" t="s">
        <v>76</v>
      </c>
      <c r="B2303" s="61">
        <v>96.0</v>
      </c>
      <c r="C2303" s="61">
        <v>97.0</v>
      </c>
      <c r="D2303" s="9">
        <f t="array" ref="D2303">xlookup(A2303,'données'!E$2:E$3608,'données'!K$2:K$3608)</f>
        <v>123.8</v>
      </c>
      <c r="E2303" s="5" t="b">
        <f t="shared" si="1"/>
        <v>0</v>
      </c>
    </row>
    <row r="2304">
      <c r="A2304" s="50" t="s">
        <v>6940</v>
      </c>
      <c r="B2304" s="61">
        <v>100.0</v>
      </c>
      <c r="C2304" s="61">
        <v>100.0</v>
      </c>
      <c r="D2304" s="9">
        <f t="array" ref="D2304">xlookup(A2304,'données'!E$2:E$3608,'données'!K$2:K$3608)</f>
        <v>127.2</v>
      </c>
      <c r="E2304" s="5" t="b">
        <f t="shared" si="1"/>
        <v>0</v>
      </c>
    </row>
    <row r="2305">
      <c r="A2305" s="50" t="s">
        <v>5437</v>
      </c>
      <c r="B2305" s="61">
        <v>100.0</v>
      </c>
      <c r="C2305" s="61">
        <v>100.0</v>
      </c>
      <c r="D2305" s="9">
        <f t="array" ref="D2305">xlookup(A2305,'données'!E$2:E$3608,'données'!K$2:K$3608)</f>
        <v>111.8</v>
      </c>
      <c r="E2305" s="5" t="b">
        <f t="shared" si="1"/>
        <v>0</v>
      </c>
    </row>
    <row r="2306">
      <c r="A2306" s="50" t="s">
        <v>3875</v>
      </c>
      <c r="B2306" s="61">
        <v>90.0</v>
      </c>
      <c r="C2306" s="61">
        <v>93.0</v>
      </c>
      <c r="D2306" s="9">
        <f t="array" ref="D2306">xlookup(A2306,'données'!E$2:E$3608,'données'!K$2:K$3608)</f>
        <v>88.6</v>
      </c>
      <c r="E2306" s="5" t="b">
        <f t="shared" si="1"/>
        <v>0</v>
      </c>
    </row>
    <row r="2307">
      <c r="A2307" s="50" t="s">
        <v>73</v>
      </c>
      <c r="B2307" s="61">
        <v>98.0</v>
      </c>
      <c r="C2307" s="61">
        <v>99.0</v>
      </c>
      <c r="D2307" s="9">
        <f t="array" ref="D2307">xlookup(A2307,'données'!E$2:E$3608,'données'!K$2:K$3608)</f>
        <v>107.2</v>
      </c>
      <c r="E2307" s="5" t="b">
        <f t="shared" si="1"/>
        <v>0</v>
      </c>
    </row>
    <row r="2308">
      <c r="A2308" s="50" t="s">
        <v>2088</v>
      </c>
      <c r="B2308" s="61">
        <v>96.0</v>
      </c>
      <c r="C2308" s="61">
        <v>98.0</v>
      </c>
      <c r="D2308" s="9">
        <f t="array" ref="D2308">xlookup(A2308,'données'!E$2:E$3608,'données'!K$2:K$3608)</f>
        <v>115.4</v>
      </c>
      <c r="E2308" s="5" t="b">
        <f t="shared" si="1"/>
        <v>0</v>
      </c>
    </row>
    <row r="2309">
      <c r="A2309" s="50" t="s">
        <v>3873</v>
      </c>
      <c r="B2309" s="61">
        <v>96.0</v>
      </c>
      <c r="C2309" s="61">
        <v>98.0</v>
      </c>
      <c r="D2309" s="9">
        <f t="array" ref="D2309">xlookup(A2309,'données'!E$2:E$3608,'données'!K$2:K$3608)</f>
        <v>112.2</v>
      </c>
      <c r="E2309" s="5" t="b">
        <f t="shared" si="1"/>
        <v>0</v>
      </c>
    </row>
    <row r="2310">
      <c r="A2310" s="50" t="s">
        <v>3871</v>
      </c>
      <c r="B2310" s="61">
        <v>98.0</v>
      </c>
      <c r="C2310" s="61">
        <v>98.0</v>
      </c>
      <c r="D2310" s="9">
        <f t="array" ref="D2310">xlookup(A2310,'données'!E$2:E$3608,'données'!K$2:K$3608)</f>
        <v>121.7</v>
      </c>
      <c r="E2310" s="5" t="b">
        <f t="shared" si="1"/>
        <v>0</v>
      </c>
      <c r="G2310" s="69" t="s">
        <v>8372</v>
      </c>
      <c r="H2310" s="5">
        <f>countif(E2309:E4624,True)</f>
        <v>0</v>
      </c>
    </row>
    <row r="2311">
      <c r="A2311" s="50" t="s">
        <v>3868</v>
      </c>
      <c r="B2311" s="61">
        <v>95.0</v>
      </c>
      <c r="C2311" s="61">
        <v>97.0</v>
      </c>
      <c r="D2311" s="9">
        <f t="array" ref="D2311">xlookup(A2311,'données'!E$2:E$3608,'données'!K$2:K$3608)</f>
        <v>110.2</v>
      </c>
      <c r="E2311" s="5" t="b">
        <f t="shared" si="1"/>
        <v>0</v>
      </c>
    </row>
    <row r="2312">
      <c r="A2312" s="50" t="s">
        <v>6937</v>
      </c>
      <c r="B2312" s="61">
        <v>95.0</v>
      </c>
      <c r="C2312" s="61">
        <v>97.0</v>
      </c>
      <c r="D2312" s="9">
        <f t="array" ref="D2312">xlookup(A2312,'données'!E$2:E$3608,'données'!K$2:K$3608)</f>
        <v>103.1</v>
      </c>
      <c r="E2312" s="5" t="b">
        <f t="shared" si="1"/>
        <v>0</v>
      </c>
      <c r="G2312" s="69" t="s">
        <v>8373</v>
      </c>
      <c r="H2312" s="5">
        <f>COUNTBLANK(D2312:D4627)</f>
        <v>1000</v>
      </c>
    </row>
    <row r="2313">
      <c r="A2313" s="50"/>
      <c r="B2313" s="61"/>
      <c r="C2313" s="61"/>
    </row>
    <row r="2314">
      <c r="A2314" s="50"/>
      <c r="B2314" s="61"/>
    </row>
    <row r="2315">
      <c r="A2315" s="50"/>
      <c r="B2315" s="69"/>
    </row>
    <row r="2316">
      <c r="A2316" s="50"/>
      <c r="B2316" s="69"/>
      <c r="C2316" s="61"/>
    </row>
    <row r="2317">
      <c r="A2317" s="50"/>
      <c r="B2317" s="69"/>
      <c r="C2317" s="61"/>
    </row>
    <row r="2318">
      <c r="A2318" s="50"/>
      <c r="B2318" s="61"/>
      <c r="C2318" s="61"/>
    </row>
    <row r="2319">
      <c r="A2319" s="50"/>
      <c r="B2319" s="61"/>
      <c r="C2319" s="61"/>
    </row>
    <row r="2320">
      <c r="A2320" s="50"/>
      <c r="B2320" s="61"/>
      <c r="C2320" s="61"/>
    </row>
    <row r="2321">
      <c r="A2321" s="50"/>
      <c r="B2321" s="61"/>
      <c r="C2321" s="61"/>
    </row>
    <row r="2322">
      <c r="A2322" s="50"/>
      <c r="B2322" s="61"/>
      <c r="C2322" s="61"/>
    </row>
    <row r="2323">
      <c r="A2323" s="50"/>
      <c r="B2323" s="61"/>
      <c r="C2323" s="61"/>
    </row>
    <row r="2324">
      <c r="A2324" s="50"/>
      <c r="B2324" s="61"/>
      <c r="C2324" s="61"/>
    </row>
    <row r="2325">
      <c r="A2325" s="50"/>
      <c r="B2325" s="61"/>
      <c r="C2325" s="61"/>
    </row>
    <row r="2326">
      <c r="A2326" s="50"/>
      <c r="B2326" s="61"/>
      <c r="C2326" s="61"/>
    </row>
    <row r="2327">
      <c r="A2327" s="50"/>
      <c r="B2327" s="61"/>
      <c r="C2327" s="61"/>
    </row>
    <row r="2328">
      <c r="A2328" s="50"/>
      <c r="B2328" s="61"/>
      <c r="C2328" s="61"/>
    </row>
    <row r="2329">
      <c r="A2329" s="50"/>
      <c r="B2329" s="61"/>
      <c r="C2329" s="61"/>
    </row>
    <row r="2330">
      <c r="A2330" s="50"/>
      <c r="B2330" s="61"/>
      <c r="C2330" s="61"/>
    </row>
    <row r="2331">
      <c r="A2331" s="50"/>
      <c r="B2331" s="61"/>
      <c r="C2331" s="61"/>
    </row>
    <row r="2332">
      <c r="A2332" s="50"/>
      <c r="B2332" s="61"/>
      <c r="C2332" s="61"/>
    </row>
    <row r="2333">
      <c r="A2333" s="50"/>
      <c r="B2333" s="61"/>
      <c r="C2333" s="61"/>
    </row>
    <row r="2334">
      <c r="A2334" s="50"/>
      <c r="B2334" s="61"/>
      <c r="C2334" s="61"/>
    </row>
    <row r="2335">
      <c r="A2335" s="50"/>
      <c r="B2335" s="61"/>
      <c r="C2335" s="61"/>
    </row>
    <row r="2336">
      <c r="A2336" s="50"/>
      <c r="B2336" s="61"/>
      <c r="C2336" s="61"/>
    </row>
    <row r="2337">
      <c r="A2337" s="50"/>
      <c r="B2337" s="61"/>
      <c r="C2337" s="61"/>
    </row>
    <row r="2338">
      <c r="A2338" s="50"/>
      <c r="B2338" s="61"/>
      <c r="C2338" s="61"/>
    </row>
    <row r="2339">
      <c r="A2339" s="50"/>
      <c r="B2339" s="61"/>
      <c r="C2339" s="61"/>
    </row>
    <row r="2340">
      <c r="A2340" s="50"/>
      <c r="B2340" s="61"/>
      <c r="C2340" s="61"/>
    </row>
    <row r="2341">
      <c r="A2341" s="50"/>
      <c r="B2341" s="61"/>
      <c r="C2341" s="61"/>
    </row>
    <row r="2342">
      <c r="A2342" s="50"/>
      <c r="B2342" s="61"/>
      <c r="C2342" s="61"/>
    </row>
    <row r="2343">
      <c r="A2343" s="50"/>
      <c r="B2343" s="61"/>
      <c r="C2343" s="61"/>
    </row>
    <row r="2344">
      <c r="A2344" s="50"/>
      <c r="B2344" s="61"/>
      <c r="C2344" s="61"/>
    </row>
    <row r="2345">
      <c r="A2345" s="50"/>
      <c r="B2345" s="61"/>
      <c r="C2345" s="61"/>
    </row>
    <row r="2346">
      <c r="A2346" s="50"/>
      <c r="B2346" s="61"/>
      <c r="C2346" s="61"/>
    </row>
    <row r="2347">
      <c r="A2347" s="50"/>
      <c r="B2347" s="61"/>
      <c r="C2347" s="61"/>
    </row>
    <row r="2348">
      <c r="A2348" s="50"/>
      <c r="B2348" s="61"/>
      <c r="C2348" s="61"/>
    </row>
    <row r="2349">
      <c r="A2349" s="50"/>
      <c r="B2349" s="61"/>
      <c r="C2349" s="61"/>
    </row>
    <row r="2350">
      <c r="A2350" s="50"/>
      <c r="B2350" s="61"/>
      <c r="C2350" s="61"/>
    </row>
    <row r="2351">
      <c r="A2351" s="50"/>
      <c r="B2351" s="61"/>
      <c r="C2351" s="61"/>
    </row>
    <row r="2352">
      <c r="A2352" s="50"/>
      <c r="B2352" s="61"/>
      <c r="C2352" s="61"/>
    </row>
    <row r="2353">
      <c r="A2353" s="50"/>
      <c r="B2353" s="61"/>
      <c r="C2353" s="61"/>
    </row>
    <row r="2354">
      <c r="A2354" s="50"/>
      <c r="B2354" s="61"/>
      <c r="C2354" s="61"/>
    </row>
    <row r="2355">
      <c r="A2355" s="50"/>
      <c r="B2355" s="61"/>
      <c r="C2355" s="61"/>
    </row>
    <row r="2356">
      <c r="A2356" s="50"/>
      <c r="B2356" s="61"/>
      <c r="C2356" s="61"/>
    </row>
    <row r="2357">
      <c r="A2357" s="50"/>
      <c r="B2357" s="61"/>
      <c r="C2357" s="61"/>
    </row>
    <row r="2358">
      <c r="A2358" s="50"/>
      <c r="B2358" s="61"/>
      <c r="C2358" s="61"/>
    </row>
    <row r="2359">
      <c r="A2359" s="50"/>
      <c r="B2359" s="61"/>
      <c r="C2359" s="61"/>
    </row>
    <row r="2360">
      <c r="A2360" s="50"/>
      <c r="B2360" s="61"/>
      <c r="C2360" s="61"/>
    </row>
    <row r="2361">
      <c r="A2361" s="50"/>
      <c r="B2361" s="61"/>
      <c r="C2361" s="61"/>
    </row>
    <row r="2362">
      <c r="A2362" s="50"/>
      <c r="B2362" s="61"/>
      <c r="C2362" s="61"/>
    </row>
    <row r="2363">
      <c r="A2363" s="50"/>
      <c r="B2363" s="61"/>
      <c r="C2363" s="61"/>
    </row>
    <row r="2364">
      <c r="A2364" s="50"/>
      <c r="B2364" s="61"/>
      <c r="C2364" s="61"/>
    </row>
    <row r="2365">
      <c r="A2365" s="50"/>
      <c r="B2365" s="61"/>
      <c r="C2365" s="61"/>
    </row>
    <row r="2366">
      <c r="A2366" s="50"/>
      <c r="B2366" s="61"/>
      <c r="C2366" s="61"/>
    </row>
    <row r="2367">
      <c r="A2367" s="50"/>
      <c r="B2367" s="61"/>
      <c r="C2367" s="61"/>
    </row>
    <row r="2368">
      <c r="A2368" s="50"/>
      <c r="B2368" s="61"/>
      <c r="C2368" s="61"/>
    </row>
    <row r="2369">
      <c r="A2369" s="50"/>
      <c r="B2369" s="61"/>
      <c r="C2369" s="61"/>
    </row>
    <row r="2370">
      <c r="A2370" s="50"/>
      <c r="B2370" s="61"/>
      <c r="C2370" s="61"/>
    </row>
    <row r="2371">
      <c r="A2371" s="50"/>
      <c r="B2371" s="61"/>
      <c r="C2371" s="61"/>
    </row>
    <row r="2372">
      <c r="A2372" s="50"/>
      <c r="B2372" s="61"/>
      <c r="C2372" s="61"/>
    </row>
    <row r="2373">
      <c r="A2373" s="50"/>
      <c r="B2373" s="61"/>
      <c r="C2373" s="61"/>
    </row>
    <row r="2374">
      <c r="A2374" s="50"/>
      <c r="B2374" s="61"/>
      <c r="C2374" s="61"/>
    </row>
    <row r="2375">
      <c r="A2375" s="50"/>
      <c r="B2375" s="61"/>
      <c r="C2375" s="61"/>
    </row>
    <row r="2376">
      <c r="A2376" s="50"/>
      <c r="B2376" s="61"/>
      <c r="C2376" s="61"/>
    </row>
    <row r="2377">
      <c r="A2377" s="50"/>
      <c r="B2377" s="61"/>
      <c r="C2377" s="61"/>
    </row>
    <row r="2378">
      <c r="A2378" s="50"/>
      <c r="B2378" s="61"/>
      <c r="C2378" s="61"/>
    </row>
    <row r="2379">
      <c r="A2379" s="50"/>
      <c r="B2379" s="61"/>
      <c r="C2379" s="61"/>
    </row>
    <row r="2380">
      <c r="A2380" s="50"/>
      <c r="B2380" s="61"/>
      <c r="C2380" s="61"/>
    </row>
    <row r="2381">
      <c r="A2381" s="50"/>
      <c r="B2381" s="61"/>
      <c r="C2381" s="61"/>
    </row>
    <row r="2382">
      <c r="A2382" s="50"/>
      <c r="B2382" s="61"/>
      <c r="C2382" s="61"/>
    </row>
    <row r="2383">
      <c r="A2383" s="50"/>
      <c r="B2383" s="61"/>
      <c r="C2383" s="61"/>
    </row>
    <row r="2384">
      <c r="A2384" s="50"/>
      <c r="B2384" s="61"/>
      <c r="C2384" s="61"/>
    </row>
    <row r="2385">
      <c r="A2385" s="50"/>
      <c r="B2385" s="61"/>
      <c r="C2385" s="61"/>
    </row>
    <row r="2386">
      <c r="A2386" s="50"/>
      <c r="B2386" s="61"/>
      <c r="C2386" s="61"/>
    </row>
    <row r="2387">
      <c r="A2387" s="50"/>
      <c r="B2387" s="61"/>
      <c r="C2387" s="61"/>
    </row>
    <row r="2388">
      <c r="A2388" s="50"/>
      <c r="B2388" s="61"/>
      <c r="C2388" s="61"/>
    </row>
    <row r="2389">
      <c r="A2389" s="50"/>
      <c r="B2389" s="61"/>
      <c r="C2389" s="61"/>
    </row>
    <row r="2390">
      <c r="A2390" s="50"/>
      <c r="B2390" s="61"/>
      <c r="C2390" s="61"/>
    </row>
    <row r="2391">
      <c r="A2391" s="50"/>
      <c r="B2391" s="61"/>
      <c r="C2391" s="61"/>
    </row>
    <row r="2392">
      <c r="A2392" s="50"/>
      <c r="B2392" s="61"/>
      <c r="C2392" s="61"/>
    </row>
    <row r="2393">
      <c r="A2393" s="50"/>
      <c r="B2393" s="61"/>
      <c r="C2393" s="61"/>
    </row>
    <row r="2394">
      <c r="A2394" s="50"/>
      <c r="B2394" s="61"/>
      <c r="C2394" s="61"/>
    </row>
    <row r="2395">
      <c r="A2395" s="50"/>
      <c r="B2395" s="61"/>
      <c r="C2395" s="61"/>
    </row>
    <row r="2396">
      <c r="A2396" s="50"/>
      <c r="B2396" s="61"/>
      <c r="C2396" s="61"/>
    </row>
    <row r="2397">
      <c r="A2397" s="50"/>
      <c r="B2397" s="61"/>
      <c r="C2397" s="61"/>
    </row>
    <row r="2398">
      <c r="A2398" s="50"/>
      <c r="B2398" s="61"/>
      <c r="C2398" s="61"/>
    </row>
    <row r="2399">
      <c r="A2399" s="50"/>
      <c r="B2399" s="61"/>
      <c r="C2399" s="61"/>
    </row>
    <row r="2400">
      <c r="A2400" s="50"/>
      <c r="B2400" s="61"/>
      <c r="C2400" s="61"/>
    </row>
    <row r="2401">
      <c r="A2401" s="50"/>
      <c r="B2401" s="61"/>
      <c r="C2401" s="61"/>
    </row>
    <row r="2402">
      <c r="A2402" s="50"/>
      <c r="B2402" s="61"/>
      <c r="C2402" s="61"/>
    </row>
    <row r="2403">
      <c r="A2403" s="50"/>
      <c r="B2403" s="61"/>
      <c r="C2403" s="61"/>
    </row>
    <row r="2404">
      <c r="A2404" s="50"/>
      <c r="B2404" s="61"/>
      <c r="C2404" s="61"/>
    </row>
    <row r="2405">
      <c r="A2405" s="50"/>
      <c r="B2405" s="61"/>
      <c r="C2405" s="61"/>
    </row>
    <row r="2406">
      <c r="A2406" s="50"/>
      <c r="B2406" s="61"/>
      <c r="C2406" s="61"/>
    </row>
    <row r="2407">
      <c r="A2407" s="50"/>
      <c r="B2407" s="61"/>
      <c r="C2407" s="61"/>
    </row>
    <row r="2408">
      <c r="A2408" s="50"/>
      <c r="B2408" s="61"/>
      <c r="C2408" s="61"/>
    </row>
    <row r="2409">
      <c r="A2409" s="50"/>
      <c r="B2409" s="61"/>
      <c r="C2409" s="61"/>
    </row>
    <row r="2410">
      <c r="A2410" s="50"/>
      <c r="B2410" s="61"/>
      <c r="C2410" s="61"/>
    </row>
    <row r="2411">
      <c r="A2411" s="50"/>
      <c r="B2411" s="61"/>
      <c r="C2411" s="61"/>
    </row>
    <row r="2412">
      <c r="A2412" s="50"/>
      <c r="B2412" s="61"/>
      <c r="C2412" s="61"/>
    </row>
    <row r="2413">
      <c r="A2413" s="50"/>
      <c r="B2413" s="61"/>
      <c r="C2413" s="61"/>
    </row>
    <row r="2414">
      <c r="A2414" s="50"/>
      <c r="B2414" s="61"/>
      <c r="C2414" s="61"/>
    </row>
    <row r="2415">
      <c r="A2415" s="50"/>
      <c r="B2415" s="61"/>
      <c r="C2415" s="61"/>
    </row>
    <row r="2416">
      <c r="A2416" s="50"/>
      <c r="B2416" s="61"/>
      <c r="C2416" s="61"/>
    </row>
    <row r="2417">
      <c r="A2417" s="50"/>
      <c r="B2417" s="61"/>
      <c r="C2417" s="61"/>
    </row>
    <row r="2418">
      <c r="A2418" s="50"/>
      <c r="B2418" s="61"/>
      <c r="C2418" s="61"/>
    </row>
    <row r="2419">
      <c r="A2419" s="50"/>
      <c r="B2419" s="61"/>
      <c r="C2419" s="61"/>
    </row>
    <row r="2420">
      <c r="A2420" s="50"/>
      <c r="B2420" s="61"/>
      <c r="C2420" s="61"/>
    </row>
    <row r="2421">
      <c r="A2421" s="50"/>
      <c r="B2421" s="61"/>
      <c r="C2421" s="61"/>
    </row>
    <row r="2422">
      <c r="A2422" s="50"/>
      <c r="B2422" s="61"/>
      <c r="C2422" s="61"/>
    </row>
    <row r="2423">
      <c r="A2423" s="50"/>
      <c r="B2423" s="61"/>
      <c r="C2423" s="61"/>
    </row>
    <row r="2424">
      <c r="A2424" s="50"/>
      <c r="B2424" s="61"/>
      <c r="C2424" s="61"/>
    </row>
    <row r="2425">
      <c r="A2425" s="50"/>
      <c r="B2425" s="61"/>
      <c r="C2425" s="61"/>
    </row>
    <row r="2426">
      <c r="A2426" s="50"/>
      <c r="B2426" s="61"/>
      <c r="C2426" s="61"/>
    </row>
    <row r="2427">
      <c r="A2427" s="50"/>
      <c r="B2427" s="61"/>
      <c r="C2427" s="61"/>
    </row>
    <row r="2428">
      <c r="A2428" s="50"/>
      <c r="B2428" s="61"/>
      <c r="C2428" s="61"/>
    </row>
    <row r="2429">
      <c r="A2429" s="50"/>
      <c r="B2429" s="61"/>
      <c r="C2429" s="61"/>
    </row>
    <row r="2430">
      <c r="A2430" s="50"/>
      <c r="B2430" s="61"/>
      <c r="C2430" s="61"/>
    </row>
    <row r="2431">
      <c r="A2431" s="50"/>
      <c r="B2431" s="61"/>
      <c r="C2431" s="61"/>
    </row>
    <row r="2432">
      <c r="A2432" s="50"/>
      <c r="B2432" s="61"/>
      <c r="C2432" s="61"/>
    </row>
    <row r="2433">
      <c r="A2433" s="50"/>
      <c r="B2433" s="61"/>
      <c r="C2433" s="61"/>
    </row>
    <row r="2434">
      <c r="A2434" s="50"/>
      <c r="B2434" s="61"/>
      <c r="C2434" s="61"/>
    </row>
    <row r="2435">
      <c r="A2435" s="50"/>
      <c r="B2435" s="61"/>
      <c r="C2435" s="61"/>
    </row>
    <row r="2436">
      <c r="A2436" s="50"/>
      <c r="B2436" s="61"/>
      <c r="C2436" s="61"/>
    </row>
    <row r="2437">
      <c r="A2437" s="50"/>
      <c r="B2437" s="61"/>
      <c r="C2437" s="61"/>
    </row>
    <row r="2438">
      <c r="A2438" s="50"/>
      <c r="B2438" s="61"/>
      <c r="C2438" s="61"/>
    </row>
    <row r="2439">
      <c r="A2439" s="50"/>
      <c r="B2439" s="61"/>
      <c r="C2439" s="61"/>
    </row>
    <row r="2440">
      <c r="A2440" s="50"/>
      <c r="B2440" s="61"/>
      <c r="C2440" s="61"/>
    </row>
    <row r="2441">
      <c r="A2441" s="50"/>
      <c r="B2441" s="61"/>
      <c r="C2441" s="61"/>
    </row>
    <row r="2442">
      <c r="A2442" s="50"/>
      <c r="B2442" s="61"/>
      <c r="C2442" s="61"/>
    </row>
    <row r="2443">
      <c r="A2443" s="50"/>
      <c r="B2443" s="61"/>
      <c r="C2443" s="61"/>
    </row>
    <row r="2444">
      <c r="A2444" s="50"/>
      <c r="B2444" s="61"/>
      <c r="C2444" s="61"/>
    </row>
    <row r="2445">
      <c r="A2445" s="50"/>
      <c r="B2445" s="61"/>
      <c r="C2445" s="61"/>
    </row>
    <row r="2446">
      <c r="A2446" s="50"/>
      <c r="B2446" s="61"/>
      <c r="C2446" s="61"/>
    </row>
    <row r="2447">
      <c r="A2447" s="50"/>
      <c r="B2447" s="61"/>
      <c r="C2447" s="61"/>
    </row>
    <row r="2448">
      <c r="A2448" s="50"/>
      <c r="B2448" s="61"/>
      <c r="C2448" s="61"/>
    </row>
    <row r="2449">
      <c r="A2449" s="50"/>
      <c r="B2449" s="61"/>
      <c r="C2449" s="61"/>
    </row>
    <row r="2450">
      <c r="A2450" s="50"/>
      <c r="B2450" s="61"/>
      <c r="C2450" s="61"/>
    </row>
    <row r="2451">
      <c r="A2451" s="50"/>
      <c r="B2451" s="61"/>
      <c r="C2451" s="61"/>
    </row>
    <row r="2452">
      <c r="A2452" s="50"/>
      <c r="B2452" s="61"/>
      <c r="C2452" s="61"/>
    </row>
    <row r="2453">
      <c r="A2453" s="50"/>
      <c r="B2453" s="61"/>
      <c r="C2453" s="61"/>
    </row>
    <row r="2454">
      <c r="A2454" s="50"/>
      <c r="B2454" s="61"/>
      <c r="C2454" s="61"/>
    </row>
    <row r="2455">
      <c r="A2455" s="50"/>
      <c r="B2455" s="61"/>
      <c r="C2455" s="61"/>
    </row>
    <row r="2456">
      <c r="A2456" s="50"/>
      <c r="B2456" s="61"/>
      <c r="C2456" s="61"/>
    </row>
    <row r="2457">
      <c r="A2457" s="50"/>
      <c r="B2457" s="61"/>
      <c r="C2457" s="61"/>
    </row>
    <row r="2458">
      <c r="A2458" s="50"/>
      <c r="B2458" s="61"/>
      <c r="C2458" s="61"/>
    </row>
    <row r="2459">
      <c r="A2459" s="50"/>
      <c r="B2459" s="61"/>
      <c r="C2459" s="61"/>
    </row>
    <row r="2460">
      <c r="A2460" s="50"/>
      <c r="B2460" s="61"/>
      <c r="C2460" s="61"/>
    </row>
    <row r="2461">
      <c r="A2461" s="50"/>
      <c r="B2461" s="61"/>
      <c r="C2461" s="61"/>
    </row>
    <row r="2462">
      <c r="A2462" s="50"/>
      <c r="B2462" s="61"/>
      <c r="C2462" s="61"/>
    </row>
    <row r="2463">
      <c r="A2463" s="50"/>
      <c r="B2463" s="61"/>
      <c r="C2463" s="61"/>
    </row>
    <row r="2464">
      <c r="A2464" s="50"/>
      <c r="B2464" s="61"/>
      <c r="C2464" s="61"/>
    </row>
    <row r="2465">
      <c r="A2465" s="50"/>
      <c r="B2465" s="61"/>
      <c r="C2465" s="61"/>
    </row>
    <row r="2466">
      <c r="A2466" s="50"/>
      <c r="B2466" s="61"/>
      <c r="C2466" s="61"/>
    </row>
    <row r="2467">
      <c r="A2467" s="50"/>
      <c r="B2467" s="61"/>
      <c r="C2467" s="61"/>
    </row>
    <row r="2468">
      <c r="A2468" s="50"/>
      <c r="B2468" s="61"/>
      <c r="C2468" s="61"/>
    </row>
    <row r="2469">
      <c r="A2469" s="50"/>
      <c r="B2469" s="61"/>
      <c r="C2469" s="61"/>
    </row>
    <row r="2470">
      <c r="A2470" s="50"/>
      <c r="B2470" s="61"/>
      <c r="C2470" s="61"/>
    </row>
    <row r="2471">
      <c r="A2471" s="50"/>
      <c r="B2471" s="61"/>
      <c r="C2471" s="61"/>
    </row>
    <row r="2472">
      <c r="A2472" s="50"/>
      <c r="B2472" s="61"/>
      <c r="C2472" s="61"/>
    </row>
    <row r="2473">
      <c r="A2473" s="50"/>
      <c r="B2473" s="61"/>
      <c r="C2473" s="61"/>
    </row>
    <row r="2474">
      <c r="A2474" s="50"/>
      <c r="B2474" s="61"/>
      <c r="C2474" s="61"/>
    </row>
    <row r="2475">
      <c r="A2475" s="50"/>
      <c r="B2475" s="61"/>
      <c r="C2475" s="61"/>
    </row>
    <row r="2476">
      <c r="A2476" s="50"/>
      <c r="B2476" s="61"/>
      <c r="C2476" s="61"/>
    </row>
    <row r="2477">
      <c r="A2477" s="50"/>
      <c r="B2477" s="61"/>
      <c r="C2477" s="61"/>
    </row>
    <row r="2478">
      <c r="A2478" s="50"/>
      <c r="B2478" s="61"/>
      <c r="C2478" s="61"/>
    </row>
    <row r="2479">
      <c r="A2479" s="50"/>
      <c r="B2479" s="61"/>
      <c r="C2479" s="61"/>
    </row>
    <row r="2480">
      <c r="A2480" s="50"/>
      <c r="B2480" s="61"/>
      <c r="C2480" s="61"/>
    </row>
    <row r="2481">
      <c r="A2481" s="50"/>
      <c r="B2481" s="61"/>
      <c r="C2481" s="61"/>
    </row>
    <row r="2482">
      <c r="A2482" s="50"/>
      <c r="B2482" s="61"/>
      <c r="C2482" s="61"/>
    </row>
    <row r="2483">
      <c r="A2483" s="50"/>
      <c r="B2483" s="61"/>
      <c r="C2483" s="61"/>
    </row>
    <row r="2484">
      <c r="A2484" s="50"/>
      <c r="B2484" s="61"/>
      <c r="C2484" s="61"/>
    </row>
    <row r="2485">
      <c r="A2485" s="50"/>
      <c r="B2485" s="61"/>
      <c r="C2485" s="61"/>
    </row>
    <row r="2486">
      <c r="A2486" s="50"/>
      <c r="B2486" s="61"/>
      <c r="C2486" s="61"/>
    </row>
    <row r="2487">
      <c r="A2487" s="50"/>
      <c r="B2487" s="61"/>
      <c r="C2487" s="61"/>
    </row>
    <row r="2488">
      <c r="A2488" s="50"/>
      <c r="B2488" s="61"/>
      <c r="C2488" s="61"/>
    </row>
    <row r="2489">
      <c r="A2489" s="50"/>
      <c r="B2489" s="61"/>
      <c r="C2489" s="61"/>
    </row>
    <row r="2490">
      <c r="A2490" s="50"/>
      <c r="B2490" s="61"/>
      <c r="C2490" s="61"/>
    </row>
    <row r="2491">
      <c r="A2491" s="50"/>
      <c r="B2491" s="61"/>
      <c r="C2491" s="61"/>
    </row>
    <row r="2492">
      <c r="A2492" s="50"/>
      <c r="B2492" s="61"/>
      <c r="C2492" s="61"/>
    </row>
    <row r="2493">
      <c r="A2493" s="50"/>
      <c r="B2493" s="61"/>
      <c r="C2493" s="61"/>
    </row>
    <row r="2494">
      <c r="A2494" s="50"/>
      <c r="B2494" s="61"/>
      <c r="C2494" s="61"/>
    </row>
    <row r="2495">
      <c r="A2495" s="50"/>
      <c r="B2495" s="61"/>
      <c r="C2495" s="61"/>
    </row>
    <row r="2496">
      <c r="A2496" s="50"/>
      <c r="B2496" s="61"/>
      <c r="C2496" s="61"/>
    </row>
    <row r="2497">
      <c r="A2497" s="50"/>
      <c r="B2497" s="61"/>
      <c r="C2497" s="61"/>
    </row>
    <row r="2498">
      <c r="A2498" s="50"/>
      <c r="B2498" s="61"/>
      <c r="C2498" s="61"/>
    </row>
    <row r="2499">
      <c r="A2499" s="50"/>
      <c r="B2499" s="61"/>
      <c r="C2499" s="61"/>
    </row>
    <row r="2500">
      <c r="A2500" s="50"/>
      <c r="B2500" s="61"/>
      <c r="C2500" s="61"/>
    </row>
    <row r="2501">
      <c r="A2501" s="50"/>
      <c r="B2501" s="61"/>
      <c r="C2501" s="61"/>
    </row>
    <row r="2502">
      <c r="A2502" s="50"/>
      <c r="B2502" s="61"/>
      <c r="C2502" s="61"/>
    </row>
    <row r="2503">
      <c r="A2503" s="50"/>
      <c r="B2503" s="61"/>
      <c r="C2503" s="61"/>
    </row>
    <row r="2504">
      <c r="A2504" s="50"/>
      <c r="B2504" s="61"/>
      <c r="C2504" s="61"/>
    </row>
    <row r="2505">
      <c r="A2505" s="50"/>
      <c r="B2505" s="61"/>
      <c r="C2505" s="61"/>
    </row>
    <row r="2506">
      <c r="A2506" s="50"/>
      <c r="B2506" s="61"/>
      <c r="C2506" s="61"/>
    </row>
    <row r="2507">
      <c r="A2507" s="50"/>
      <c r="B2507" s="61"/>
      <c r="C2507" s="61"/>
    </row>
    <row r="2508">
      <c r="A2508" s="50"/>
      <c r="B2508" s="61"/>
      <c r="C2508" s="61"/>
    </row>
    <row r="2509">
      <c r="A2509" s="50"/>
      <c r="B2509" s="61"/>
      <c r="C2509" s="61"/>
    </row>
    <row r="2510">
      <c r="A2510" s="50"/>
      <c r="B2510" s="61"/>
      <c r="C2510" s="61"/>
    </row>
    <row r="2511">
      <c r="A2511" s="50"/>
      <c r="B2511" s="61"/>
      <c r="C2511" s="61"/>
    </row>
    <row r="2512">
      <c r="A2512" s="50"/>
      <c r="B2512" s="61"/>
      <c r="C2512" s="61"/>
    </row>
    <row r="2513">
      <c r="A2513" s="50"/>
      <c r="B2513" s="61"/>
      <c r="C2513" s="61"/>
    </row>
    <row r="2514">
      <c r="A2514" s="50"/>
      <c r="B2514" s="61"/>
      <c r="C2514" s="61"/>
    </row>
    <row r="2515">
      <c r="A2515" s="50"/>
      <c r="B2515" s="61"/>
      <c r="C2515" s="61"/>
    </row>
    <row r="2516">
      <c r="A2516" s="50"/>
      <c r="B2516" s="61"/>
      <c r="C2516" s="61"/>
    </row>
    <row r="2517">
      <c r="A2517" s="50"/>
      <c r="B2517" s="61"/>
      <c r="C2517" s="61"/>
    </row>
    <row r="2518">
      <c r="A2518" s="50"/>
      <c r="B2518" s="61"/>
      <c r="C2518" s="61"/>
    </row>
    <row r="2519">
      <c r="A2519" s="50"/>
      <c r="B2519" s="61"/>
      <c r="C2519" s="61"/>
    </row>
    <row r="2520">
      <c r="A2520" s="50"/>
      <c r="B2520" s="61"/>
      <c r="C2520" s="61"/>
    </row>
    <row r="2521">
      <c r="A2521" s="50"/>
      <c r="B2521" s="61"/>
      <c r="C2521" s="61"/>
    </row>
    <row r="2522">
      <c r="A2522" s="50"/>
      <c r="B2522" s="61"/>
      <c r="C2522" s="61"/>
    </row>
    <row r="2523">
      <c r="A2523" s="50"/>
      <c r="B2523" s="61"/>
      <c r="C2523" s="61"/>
    </row>
    <row r="2524">
      <c r="A2524" s="50"/>
      <c r="B2524" s="61"/>
      <c r="C2524" s="61"/>
    </row>
    <row r="2525">
      <c r="A2525" s="50"/>
      <c r="B2525" s="61"/>
      <c r="C2525" s="61"/>
    </row>
    <row r="2526">
      <c r="A2526" s="50"/>
      <c r="B2526" s="61"/>
      <c r="C2526" s="61"/>
    </row>
    <row r="2527">
      <c r="A2527" s="50"/>
      <c r="B2527" s="61"/>
      <c r="C2527" s="61"/>
    </row>
    <row r="2528">
      <c r="A2528" s="50"/>
      <c r="B2528" s="61"/>
      <c r="C2528" s="61"/>
    </row>
    <row r="2529">
      <c r="A2529" s="50"/>
      <c r="B2529" s="61"/>
      <c r="C2529" s="61"/>
    </row>
    <row r="2530">
      <c r="A2530" s="50"/>
      <c r="B2530" s="61"/>
      <c r="C2530" s="61"/>
    </row>
    <row r="2531">
      <c r="A2531" s="50"/>
      <c r="B2531" s="61"/>
      <c r="C2531" s="61"/>
    </row>
    <row r="2532">
      <c r="A2532" s="50"/>
      <c r="B2532" s="61"/>
      <c r="C2532" s="61"/>
    </row>
    <row r="2533">
      <c r="A2533" s="50"/>
      <c r="B2533" s="61"/>
      <c r="C2533" s="61"/>
    </row>
    <row r="2534">
      <c r="A2534" s="50"/>
      <c r="B2534" s="61"/>
      <c r="C2534" s="61"/>
    </row>
    <row r="2535">
      <c r="A2535" s="50"/>
      <c r="B2535" s="61"/>
      <c r="C2535" s="61"/>
    </row>
    <row r="2536">
      <c r="A2536" s="50"/>
      <c r="B2536" s="61"/>
      <c r="C2536" s="61"/>
    </row>
    <row r="2537">
      <c r="A2537" s="50"/>
      <c r="B2537" s="61"/>
      <c r="C2537" s="61"/>
    </row>
    <row r="2538">
      <c r="A2538" s="50"/>
      <c r="B2538" s="61"/>
      <c r="C2538" s="61"/>
    </row>
    <row r="2539">
      <c r="A2539" s="50"/>
      <c r="B2539" s="61"/>
      <c r="C2539" s="61"/>
    </row>
    <row r="2540">
      <c r="A2540" s="50"/>
      <c r="B2540" s="61"/>
      <c r="C2540" s="61"/>
    </row>
    <row r="2541">
      <c r="A2541" s="50"/>
      <c r="B2541" s="61"/>
      <c r="C2541" s="61"/>
    </row>
    <row r="2542">
      <c r="A2542" s="50"/>
      <c r="B2542" s="61"/>
      <c r="C2542" s="61"/>
    </row>
    <row r="2543">
      <c r="A2543" s="50"/>
      <c r="B2543" s="61"/>
      <c r="C2543" s="61"/>
    </row>
    <row r="2544">
      <c r="A2544" s="50"/>
      <c r="B2544" s="61"/>
      <c r="C2544" s="61"/>
    </row>
    <row r="2545">
      <c r="A2545" s="50"/>
      <c r="B2545" s="61"/>
      <c r="C2545" s="61"/>
    </row>
    <row r="2546">
      <c r="A2546" s="50"/>
      <c r="B2546" s="61"/>
      <c r="C2546" s="61"/>
    </row>
    <row r="2547">
      <c r="A2547" s="50"/>
      <c r="B2547" s="61"/>
      <c r="C2547" s="61"/>
    </row>
    <row r="2548">
      <c r="A2548" s="50"/>
      <c r="B2548" s="61"/>
      <c r="C2548" s="61"/>
    </row>
    <row r="2549">
      <c r="A2549" s="50"/>
      <c r="B2549" s="61"/>
      <c r="C2549" s="61"/>
    </row>
    <row r="2550">
      <c r="A2550" s="50"/>
      <c r="B2550" s="61"/>
      <c r="C2550" s="61"/>
    </row>
    <row r="2551">
      <c r="A2551" s="50"/>
      <c r="B2551" s="61"/>
      <c r="C2551" s="61"/>
    </row>
    <row r="2552">
      <c r="A2552" s="50"/>
      <c r="B2552" s="61"/>
      <c r="C2552" s="61"/>
    </row>
    <row r="2553">
      <c r="A2553" s="50"/>
      <c r="B2553" s="61"/>
      <c r="C2553" s="61"/>
    </row>
    <row r="2554">
      <c r="A2554" s="50"/>
      <c r="B2554" s="61"/>
      <c r="C2554" s="61"/>
    </row>
    <row r="2555">
      <c r="A2555" s="50"/>
      <c r="B2555" s="61"/>
      <c r="C2555" s="61"/>
    </row>
    <row r="2556">
      <c r="A2556" s="50"/>
      <c r="B2556" s="61"/>
      <c r="C2556" s="61"/>
    </row>
    <row r="2557">
      <c r="A2557" s="50"/>
      <c r="B2557" s="61"/>
      <c r="C2557" s="61"/>
    </row>
    <row r="2558">
      <c r="A2558" s="50"/>
      <c r="B2558" s="61"/>
      <c r="C2558" s="61"/>
    </row>
    <row r="2559">
      <c r="A2559" s="50"/>
      <c r="B2559" s="61"/>
      <c r="C2559" s="61"/>
    </row>
    <row r="2560">
      <c r="A2560" s="50"/>
      <c r="B2560" s="61"/>
      <c r="C2560" s="61"/>
    </row>
    <row r="2561">
      <c r="A2561" s="50"/>
      <c r="B2561" s="61"/>
      <c r="C2561" s="61"/>
    </row>
    <row r="2562">
      <c r="A2562" s="50"/>
      <c r="B2562" s="61"/>
      <c r="C2562" s="61"/>
    </row>
    <row r="2563">
      <c r="A2563" s="50"/>
      <c r="B2563" s="61"/>
      <c r="C2563" s="61"/>
    </row>
    <row r="2564">
      <c r="A2564" s="50"/>
      <c r="B2564" s="61"/>
      <c r="C2564" s="61"/>
    </row>
    <row r="2565">
      <c r="A2565" s="50"/>
      <c r="B2565" s="61"/>
      <c r="C2565" s="61"/>
    </row>
    <row r="2566">
      <c r="A2566" s="50"/>
      <c r="B2566" s="61"/>
      <c r="C2566" s="61"/>
    </row>
    <row r="2567">
      <c r="A2567" s="50"/>
      <c r="B2567" s="61"/>
      <c r="C2567" s="61"/>
    </row>
    <row r="2568">
      <c r="A2568" s="50"/>
      <c r="B2568" s="61"/>
      <c r="C2568" s="61"/>
    </row>
    <row r="2569">
      <c r="A2569" s="50"/>
      <c r="B2569" s="61"/>
      <c r="C2569" s="61"/>
    </row>
    <row r="2570">
      <c r="A2570" s="50"/>
      <c r="B2570" s="61"/>
      <c r="C2570" s="61"/>
    </row>
    <row r="2571">
      <c r="A2571" s="50"/>
      <c r="B2571" s="61"/>
      <c r="C2571" s="61"/>
    </row>
    <row r="2572">
      <c r="A2572" s="50"/>
      <c r="B2572" s="61"/>
      <c r="C2572" s="61"/>
    </row>
    <row r="2573">
      <c r="A2573" s="50"/>
      <c r="B2573" s="61"/>
      <c r="C2573" s="61"/>
    </row>
    <row r="2574">
      <c r="A2574" s="50"/>
      <c r="B2574" s="61"/>
      <c r="C2574" s="61"/>
    </row>
    <row r="2575">
      <c r="A2575" s="50"/>
      <c r="B2575" s="61"/>
      <c r="C2575" s="61"/>
    </row>
    <row r="2576">
      <c r="A2576" s="50"/>
      <c r="B2576" s="61"/>
      <c r="C2576" s="61"/>
    </row>
    <row r="2577">
      <c r="A2577" s="50"/>
      <c r="B2577" s="61"/>
      <c r="C2577" s="61"/>
    </row>
    <row r="2578">
      <c r="A2578" s="50"/>
      <c r="B2578" s="61"/>
      <c r="C2578" s="61"/>
    </row>
    <row r="2579">
      <c r="A2579" s="50"/>
      <c r="B2579" s="61"/>
      <c r="C2579" s="61"/>
    </row>
    <row r="2580">
      <c r="A2580" s="50"/>
      <c r="B2580" s="61"/>
      <c r="C2580" s="61"/>
    </row>
    <row r="2581">
      <c r="A2581" s="50"/>
      <c r="B2581" s="61"/>
      <c r="C2581" s="61"/>
    </row>
    <row r="2582">
      <c r="A2582" s="50"/>
      <c r="B2582" s="61"/>
      <c r="C2582" s="61"/>
    </row>
    <row r="2583">
      <c r="A2583" s="50"/>
      <c r="B2583" s="61"/>
      <c r="C2583" s="61"/>
    </row>
    <row r="2584">
      <c r="A2584" s="50"/>
      <c r="B2584" s="61"/>
      <c r="C2584" s="61"/>
    </row>
    <row r="2585">
      <c r="A2585" s="50"/>
      <c r="B2585" s="61"/>
      <c r="C2585" s="61"/>
    </row>
    <row r="2586">
      <c r="A2586" s="50"/>
      <c r="B2586" s="61"/>
      <c r="C2586" s="61"/>
    </row>
    <row r="2587">
      <c r="A2587" s="50"/>
      <c r="B2587" s="61"/>
      <c r="C2587" s="61"/>
    </row>
    <row r="2588">
      <c r="A2588" s="50"/>
      <c r="B2588" s="61"/>
      <c r="C2588" s="61"/>
    </row>
    <row r="2589">
      <c r="A2589" s="50"/>
      <c r="B2589" s="61"/>
      <c r="C2589" s="61"/>
    </row>
    <row r="2590">
      <c r="A2590" s="50"/>
      <c r="B2590" s="61"/>
      <c r="C2590" s="61"/>
    </row>
    <row r="2591">
      <c r="A2591" s="50"/>
      <c r="B2591" s="61"/>
      <c r="C2591" s="61"/>
    </row>
    <row r="2592">
      <c r="A2592" s="50"/>
      <c r="B2592" s="61"/>
      <c r="C2592" s="61"/>
    </row>
    <row r="2593">
      <c r="A2593" s="50"/>
      <c r="B2593" s="61"/>
      <c r="C2593" s="61"/>
    </row>
    <row r="2594">
      <c r="A2594" s="50"/>
      <c r="B2594" s="61"/>
      <c r="C2594" s="61"/>
    </row>
    <row r="2595">
      <c r="A2595" s="50"/>
      <c r="B2595" s="61"/>
      <c r="C2595" s="61"/>
    </row>
    <row r="2596">
      <c r="A2596" s="50"/>
      <c r="B2596" s="61"/>
      <c r="C2596" s="61"/>
    </row>
    <row r="2597">
      <c r="A2597" s="50"/>
      <c r="B2597" s="61"/>
      <c r="C2597" s="61"/>
    </row>
    <row r="2598">
      <c r="A2598" s="50"/>
      <c r="B2598" s="61"/>
      <c r="C2598" s="61"/>
    </row>
    <row r="2599">
      <c r="A2599" s="50"/>
      <c r="B2599" s="61"/>
      <c r="C2599" s="61"/>
    </row>
    <row r="2600">
      <c r="A2600" s="50"/>
      <c r="B2600" s="61"/>
      <c r="C2600" s="61"/>
    </row>
    <row r="2601">
      <c r="A2601" s="50"/>
      <c r="B2601" s="61"/>
      <c r="C2601" s="61"/>
    </row>
    <row r="2602">
      <c r="A2602" s="50"/>
      <c r="B2602" s="61"/>
      <c r="C2602" s="61"/>
    </row>
    <row r="2603">
      <c r="A2603" s="50"/>
      <c r="B2603" s="61"/>
      <c r="C2603" s="61"/>
    </row>
    <row r="2604">
      <c r="A2604" s="50"/>
      <c r="B2604" s="61"/>
      <c r="C2604" s="61"/>
    </row>
    <row r="2605">
      <c r="A2605" s="50"/>
      <c r="B2605" s="61"/>
      <c r="C2605" s="61"/>
    </row>
    <row r="2606">
      <c r="A2606" s="50"/>
      <c r="B2606" s="61"/>
      <c r="C2606" s="61"/>
    </row>
    <row r="2607">
      <c r="A2607" s="50"/>
      <c r="B2607" s="61"/>
      <c r="C2607" s="61"/>
    </row>
    <row r="2608">
      <c r="A2608" s="50"/>
      <c r="B2608" s="61"/>
      <c r="C2608" s="61"/>
    </row>
    <row r="2609">
      <c r="A2609" s="50"/>
      <c r="B2609" s="61"/>
      <c r="C2609" s="61"/>
    </row>
    <row r="2610">
      <c r="A2610" s="50"/>
      <c r="B2610" s="61"/>
      <c r="C2610" s="61"/>
    </row>
    <row r="2611">
      <c r="A2611" s="50"/>
      <c r="B2611" s="61"/>
      <c r="C2611" s="61"/>
    </row>
    <row r="2612">
      <c r="A2612" s="50"/>
      <c r="B2612" s="61"/>
      <c r="C2612" s="61"/>
    </row>
    <row r="2613">
      <c r="A2613" s="50"/>
      <c r="B2613" s="61"/>
      <c r="C2613" s="61"/>
    </row>
    <row r="2614">
      <c r="A2614" s="50"/>
      <c r="B2614" s="61"/>
      <c r="C2614" s="61"/>
    </row>
    <row r="2615">
      <c r="A2615" s="50"/>
      <c r="B2615" s="61"/>
      <c r="C2615" s="61"/>
    </row>
    <row r="2616">
      <c r="A2616" s="50"/>
      <c r="B2616" s="61"/>
      <c r="C2616" s="61"/>
    </row>
    <row r="2617">
      <c r="A2617" s="50"/>
      <c r="B2617" s="61"/>
      <c r="C2617" s="61"/>
    </row>
    <row r="2618">
      <c r="A2618" s="50"/>
      <c r="B2618" s="61"/>
      <c r="C2618" s="61"/>
    </row>
    <row r="2619">
      <c r="A2619" s="50"/>
      <c r="B2619" s="61"/>
      <c r="C2619" s="61"/>
    </row>
    <row r="2620">
      <c r="A2620" s="50"/>
      <c r="B2620" s="61"/>
      <c r="C2620" s="61"/>
    </row>
    <row r="2621">
      <c r="A2621" s="50"/>
      <c r="B2621" s="61"/>
      <c r="C2621" s="61"/>
    </row>
    <row r="2622">
      <c r="A2622" s="50"/>
      <c r="B2622" s="61"/>
      <c r="C2622" s="61"/>
    </row>
    <row r="2623">
      <c r="A2623" s="50"/>
      <c r="B2623" s="61"/>
      <c r="C2623" s="61"/>
    </row>
    <row r="2624">
      <c r="A2624" s="50"/>
      <c r="B2624" s="61"/>
      <c r="C2624" s="61"/>
    </row>
    <row r="2625">
      <c r="A2625" s="50"/>
      <c r="B2625" s="61"/>
      <c r="C2625" s="61"/>
    </row>
    <row r="2626">
      <c r="A2626" s="50"/>
      <c r="B2626" s="61"/>
      <c r="C2626" s="61"/>
    </row>
    <row r="2627">
      <c r="A2627" s="50"/>
      <c r="B2627" s="61"/>
      <c r="C2627" s="61"/>
    </row>
    <row r="2628">
      <c r="A2628" s="50"/>
      <c r="B2628" s="61"/>
      <c r="C2628" s="61"/>
    </row>
    <row r="2629">
      <c r="A2629" s="50"/>
      <c r="B2629" s="61"/>
      <c r="C2629" s="61"/>
    </row>
    <row r="2630">
      <c r="A2630" s="50"/>
      <c r="B2630" s="61"/>
      <c r="C2630" s="61"/>
    </row>
    <row r="2631">
      <c r="A2631" s="50"/>
      <c r="B2631" s="61"/>
      <c r="C2631" s="61"/>
    </row>
    <row r="2632">
      <c r="A2632" s="50"/>
      <c r="B2632" s="61"/>
      <c r="C2632" s="61"/>
    </row>
    <row r="2633">
      <c r="A2633" s="50"/>
      <c r="B2633" s="61"/>
      <c r="C2633" s="61"/>
    </row>
    <row r="2634">
      <c r="A2634" s="50"/>
      <c r="B2634" s="61"/>
      <c r="C2634" s="61"/>
    </row>
    <row r="2635">
      <c r="A2635" s="50"/>
      <c r="B2635" s="61"/>
      <c r="C2635" s="61"/>
    </row>
    <row r="2636">
      <c r="A2636" s="50"/>
      <c r="B2636" s="61"/>
      <c r="C2636" s="61"/>
    </row>
    <row r="2637">
      <c r="A2637" s="50"/>
      <c r="B2637" s="61"/>
      <c r="C2637" s="61"/>
    </row>
    <row r="2638">
      <c r="A2638" s="50"/>
      <c r="B2638" s="61"/>
      <c r="C2638" s="61"/>
    </row>
    <row r="2639">
      <c r="A2639" s="50"/>
      <c r="B2639" s="61"/>
      <c r="C2639" s="61"/>
    </row>
    <row r="2640">
      <c r="A2640" s="50"/>
      <c r="B2640" s="61"/>
      <c r="C2640" s="61"/>
    </row>
    <row r="2641">
      <c r="A2641" s="50"/>
      <c r="B2641" s="61"/>
      <c r="C2641" s="61"/>
    </row>
    <row r="2642">
      <c r="A2642" s="50"/>
      <c r="B2642" s="61"/>
      <c r="C2642" s="61"/>
    </row>
    <row r="2643">
      <c r="A2643" s="50"/>
      <c r="B2643" s="61"/>
      <c r="C2643" s="61"/>
    </row>
    <row r="2644">
      <c r="A2644" s="50"/>
      <c r="B2644" s="61"/>
      <c r="C2644" s="61"/>
    </row>
    <row r="2645">
      <c r="A2645" s="50"/>
      <c r="B2645" s="61"/>
      <c r="C2645" s="61"/>
    </row>
    <row r="2646">
      <c r="A2646" s="50"/>
      <c r="B2646" s="61"/>
      <c r="C2646" s="61"/>
    </row>
    <row r="2647">
      <c r="A2647" s="50"/>
      <c r="B2647" s="61"/>
      <c r="C2647" s="61"/>
    </row>
    <row r="2648">
      <c r="A2648" s="50"/>
      <c r="B2648" s="61"/>
      <c r="C2648" s="61"/>
    </row>
    <row r="2649">
      <c r="A2649" s="50"/>
      <c r="B2649" s="61"/>
      <c r="C2649" s="61"/>
    </row>
    <row r="2650">
      <c r="A2650" s="50"/>
      <c r="B2650" s="61"/>
      <c r="C2650" s="61"/>
    </row>
    <row r="2651">
      <c r="A2651" s="50"/>
      <c r="B2651" s="61"/>
      <c r="C2651" s="61"/>
    </row>
    <row r="2652">
      <c r="A2652" s="50"/>
      <c r="B2652" s="61"/>
      <c r="C2652" s="61"/>
    </row>
    <row r="2653">
      <c r="A2653" s="50"/>
      <c r="B2653" s="61"/>
      <c r="C2653" s="61"/>
    </row>
    <row r="2654">
      <c r="A2654" s="50"/>
      <c r="B2654" s="61"/>
      <c r="C2654" s="61"/>
    </row>
    <row r="2655">
      <c r="A2655" s="50"/>
      <c r="B2655" s="61"/>
      <c r="C2655" s="61"/>
    </row>
    <row r="2656">
      <c r="A2656" s="50"/>
      <c r="B2656" s="61"/>
      <c r="C2656" s="61"/>
    </row>
    <row r="2657">
      <c r="A2657" s="50"/>
      <c r="B2657" s="61"/>
      <c r="C2657" s="61"/>
    </row>
    <row r="2658">
      <c r="A2658" s="50"/>
      <c r="B2658" s="61"/>
      <c r="C2658" s="61"/>
    </row>
    <row r="2659">
      <c r="A2659" s="50"/>
      <c r="B2659" s="61"/>
      <c r="C2659" s="61"/>
    </row>
    <row r="2660">
      <c r="A2660" s="50"/>
      <c r="B2660" s="61"/>
      <c r="C2660" s="61"/>
    </row>
    <row r="2661">
      <c r="A2661" s="50"/>
      <c r="B2661" s="61"/>
      <c r="C2661" s="61"/>
    </row>
    <row r="2662">
      <c r="A2662" s="50"/>
      <c r="B2662" s="61"/>
      <c r="C2662" s="61"/>
    </row>
    <row r="2663">
      <c r="A2663" s="50"/>
      <c r="B2663" s="61"/>
      <c r="C2663" s="61"/>
    </row>
    <row r="2664">
      <c r="A2664" s="50"/>
      <c r="B2664" s="61"/>
      <c r="C2664" s="61"/>
    </row>
    <row r="2665">
      <c r="A2665" s="50"/>
      <c r="B2665" s="61"/>
      <c r="C2665" s="61"/>
    </row>
    <row r="2666">
      <c r="A2666" s="50"/>
      <c r="B2666" s="61"/>
      <c r="C2666" s="61"/>
    </row>
    <row r="2667">
      <c r="A2667" s="50"/>
      <c r="B2667" s="61"/>
      <c r="C2667" s="61"/>
    </row>
    <row r="2668">
      <c r="A2668" s="50"/>
      <c r="B2668" s="61"/>
      <c r="C2668" s="61"/>
    </row>
    <row r="2669">
      <c r="A2669" s="50"/>
      <c r="B2669" s="61"/>
      <c r="C2669" s="61"/>
    </row>
    <row r="2670">
      <c r="A2670" s="50"/>
      <c r="B2670" s="61"/>
      <c r="C2670" s="61"/>
    </row>
    <row r="2671">
      <c r="A2671" s="50"/>
      <c r="B2671" s="61"/>
      <c r="C2671" s="61"/>
    </row>
    <row r="2672">
      <c r="A2672" s="50"/>
      <c r="B2672" s="61"/>
      <c r="C2672" s="61"/>
    </row>
    <row r="2673">
      <c r="A2673" s="50"/>
      <c r="B2673" s="61"/>
      <c r="C2673" s="61"/>
    </row>
    <row r="2674">
      <c r="A2674" s="50"/>
      <c r="B2674" s="61"/>
      <c r="C2674" s="61"/>
    </row>
    <row r="2675">
      <c r="A2675" s="50"/>
      <c r="B2675" s="61"/>
      <c r="C2675" s="61"/>
    </row>
    <row r="2676">
      <c r="A2676" s="50"/>
      <c r="B2676" s="61"/>
      <c r="C2676" s="61"/>
    </row>
    <row r="2677">
      <c r="A2677" s="50"/>
      <c r="B2677" s="61"/>
      <c r="C2677" s="61"/>
    </row>
    <row r="2678">
      <c r="A2678" s="50"/>
      <c r="B2678" s="61"/>
      <c r="C2678" s="61"/>
    </row>
    <row r="2679">
      <c r="A2679" s="50"/>
      <c r="B2679" s="61"/>
      <c r="C2679" s="61"/>
    </row>
    <row r="2680">
      <c r="A2680" s="50"/>
      <c r="B2680" s="61"/>
      <c r="C2680" s="61"/>
    </row>
    <row r="2681">
      <c r="A2681" s="50"/>
      <c r="B2681" s="61"/>
      <c r="C2681" s="61"/>
    </row>
    <row r="2682">
      <c r="A2682" s="50"/>
      <c r="B2682" s="61"/>
      <c r="C2682" s="61"/>
    </row>
    <row r="2683">
      <c r="A2683" s="50"/>
      <c r="B2683" s="61"/>
      <c r="C2683" s="61"/>
    </row>
    <row r="2684">
      <c r="A2684" s="50"/>
      <c r="B2684" s="61"/>
      <c r="C2684" s="61"/>
    </row>
    <row r="2685">
      <c r="A2685" s="50"/>
      <c r="B2685" s="61"/>
      <c r="C2685" s="61"/>
    </row>
    <row r="2686">
      <c r="A2686" s="50"/>
      <c r="B2686" s="61"/>
      <c r="C2686" s="61"/>
    </row>
    <row r="2687">
      <c r="A2687" s="50"/>
      <c r="B2687" s="61"/>
      <c r="C2687" s="61"/>
    </row>
    <row r="2688">
      <c r="A2688" s="50"/>
      <c r="B2688" s="61"/>
      <c r="C2688" s="61"/>
    </row>
    <row r="2689">
      <c r="A2689" s="50"/>
      <c r="B2689" s="61"/>
      <c r="C2689" s="61"/>
    </row>
    <row r="2690">
      <c r="A2690" s="50"/>
      <c r="B2690" s="61"/>
      <c r="C2690" s="61"/>
    </row>
    <row r="2691">
      <c r="A2691" s="50"/>
      <c r="B2691" s="61"/>
      <c r="C2691" s="61"/>
    </row>
    <row r="2692">
      <c r="A2692" s="50"/>
      <c r="B2692" s="61"/>
      <c r="C2692" s="61"/>
    </row>
    <row r="2693">
      <c r="A2693" s="50"/>
      <c r="B2693" s="61"/>
      <c r="C2693" s="61"/>
    </row>
    <row r="2694">
      <c r="A2694" s="50"/>
      <c r="B2694" s="61"/>
      <c r="C2694" s="61"/>
    </row>
    <row r="2695">
      <c r="A2695" s="50"/>
      <c r="B2695" s="61"/>
      <c r="C2695" s="61"/>
    </row>
    <row r="2696">
      <c r="A2696" s="50"/>
      <c r="B2696" s="61"/>
      <c r="C2696" s="61"/>
    </row>
    <row r="2697">
      <c r="A2697" s="50"/>
      <c r="B2697" s="61"/>
      <c r="C2697" s="61"/>
    </row>
    <row r="2698">
      <c r="A2698" s="50"/>
      <c r="B2698" s="61"/>
      <c r="C2698" s="61"/>
    </row>
    <row r="2699">
      <c r="A2699" s="50"/>
      <c r="B2699" s="61"/>
      <c r="C2699" s="61"/>
    </row>
    <row r="2700">
      <c r="A2700" s="50"/>
      <c r="B2700" s="61"/>
      <c r="C2700" s="61"/>
    </row>
    <row r="2701">
      <c r="A2701" s="50"/>
      <c r="B2701" s="61"/>
      <c r="C2701" s="61"/>
    </row>
    <row r="2702">
      <c r="A2702" s="50"/>
      <c r="B2702" s="61"/>
      <c r="C2702" s="61"/>
    </row>
    <row r="2703">
      <c r="A2703" s="50"/>
      <c r="B2703" s="61"/>
      <c r="C2703" s="61"/>
    </row>
    <row r="2704">
      <c r="A2704" s="50"/>
      <c r="B2704" s="61"/>
      <c r="C2704" s="61"/>
    </row>
    <row r="2705">
      <c r="A2705" s="50"/>
      <c r="B2705" s="61"/>
      <c r="C2705" s="61"/>
    </row>
    <row r="2706">
      <c r="A2706" s="50"/>
      <c r="B2706" s="61"/>
      <c r="C2706" s="61"/>
    </row>
    <row r="2707">
      <c r="A2707" s="50"/>
      <c r="B2707" s="61"/>
      <c r="C2707" s="61"/>
    </row>
    <row r="2708">
      <c r="A2708" s="50"/>
      <c r="B2708" s="61"/>
      <c r="C2708" s="61"/>
    </row>
    <row r="2709">
      <c r="A2709" s="50"/>
      <c r="B2709" s="61"/>
      <c r="C2709" s="61"/>
    </row>
    <row r="2710">
      <c r="A2710" s="50"/>
      <c r="B2710" s="61"/>
      <c r="C2710" s="61"/>
    </row>
    <row r="2711">
      <c r="A2711" s="50"/>
      <c r="B2711" s="61"/>
      <c r="C2711" s="61"/>
    </row>
    <row r="2712">
      <c r="A2712" s="50"/>
      <c r="B2712" s="61"/>
      <c r="C2712" s="61"/>
    </row>
    <row r="2713">
      <c r="A2713" s="50"/>
      <c r="B2713" s="61"/>
      <c r="C2713" s="61"/>
    </row>
    <row r="2714">
      <c r="A2714" s="50"/>
      <c r="B2714" s="61"/>
      <c r="C2714" s="61"/>
    </row>
    <row r="2715">
      <c r="A2715" s="50"/>
      <c r="B2715" s="61"/>
      <c r="C2715" s="61"/>
    </row>
    <row r="2716">
      <c r="A2716" s="50"/>
      <c r="B2716" s="61"/>
      <c r="C2716" s="61"/>
    </row>
    <row r="2717">
      <c r="A2717" s="50"/>
      <c r="B2717" s="61"/>
      <c r="C2717" s="61"/>
    </row>
    <row r="2718">
      <c r="A2718" s="50"/>
      <c r="B2718" s="61"/>
      <c r="C2718" s="61"/>
    </row>
    <row r="2719">
      <c r="A2719" s="50"/>
      <c r="B2719" s="61"/>
      <c r="C2719" s="61"/>
    </row>
    <row r="2720">
      <c r="A2720" s="50"/>
      <c r="B2720" s="61"/>
      <c r="C2720" s="61"/>
    </row>
    <row r="2721">
      <c r="A2721" s="50"/>
      <c r="B2721" s="61"/>
      <c r="C2721" s="61"/>
    </row>
    <row r="2722">
      <c r="A2722" s="50"/>
      <c r="B2722" s="61"/>
      <c r="C2722" s="61"/>
    </row>
    <row r="2723">
      <c r="A2723" s="50"/>
      <c r="B2723" s="61"/>
      <c r="C2723" s="61"/>
    </row>
    <row r="2724">
      <c r="A2724" s="50"/>
      <c r="B2724" s="61"/>
      <c r="C2724" s="61"/>
    </row>
    <row r="2725">
      <c r="A2725" s="50"/>
      <c r="B2725" s="61"/>
      <c r="C2725" s="61"/>
    </row>
    <row r="2726">
      <c r="A2726" s="50"/>
      <c r="B2726" s="61"/>
      <c r="C2726" s="61"/>
    </row>
    <row r="2727">
      <c r="A2727" s="50"/>
      <c r="B2727" s="61"/>
      <c r="C2727" s="61"/>
    </row>
    <row r="2728">
      <c r="A2728" s="50"/>
      <c r="B2728" s="61"/>
      <c r="C2728" s="61"/>
    </row>
    <row r="2729">
      <c r="A2729" s="50"/>
      <c r="B2729" s="61"/>
      <c r="C2729" s="61"/>
    </row>
    <row r="2730">
      <c r="A2730" s="50"/>
      <c r="B2730" s="61"/>
      <c r="C2730" s="61"/>
    </row>
    <row r="2731">
      <c r="A2731" s="50"/>
      <c r="B2731" s="61"/>
      <c r="C2731" s="61"/>
    </row>
    <row r="2732">
      <c r="A2732" s="50"/>
      <c r="B2732" s="61"/>
      <c r="C2732" s="61"/>
    </row>
    <row r="2733">
      <c r="A2733" s="50"/>
      <c r="B2733" s="61"/>
      <c r="C2733" s="61"/>
    </row>
    <row r="2734">
      <c r="A2734" s="50"/>
      <c r="B2734" s="61"/>
      <c r="C2734" s="61"/>
    </row>
    <row r="2735">
      <c r="A2735" s="50"/>
      <c r="B2735" s="61"/>
      <c r="C2735" s="61"/>
    </row>
    <row r="2736">
      <c r="A2736" s="50"/>
      <c r="B2736" s="61"/>
      <c r="C2736" s="61"/>
    </row>
    <row r="2737">
      <c r="A2737" s="50"/>
      <c r="B2737" s="61"/>
      <c r="C2737" s="61"/>
    </row>
    <row r="2738">
      <c r="A2738" s="50"/>
      <c r="B2738" s="61"/>
      <c r="C2738" s="61"/>
    </row>
    <row r="2739">
      <c r="A2739" s="50"/>
      <c r="B2739" s="61"/>
      <c r="C2739" s="61"/>
    </row>
    <row r="2740">
      <c r="A2740" s="50"/>
      <c r="B2740" s="61"/>
      <c r="C2740" s="61"/>
    </row>
    <row r="2741">
      <c r="A2741" s="50"/>
      <c r="B2741" s="61"/>
      <c r="C2741" s="61"/>
    </row>
    <row r="2742">
      <c r="A2742" s="50"/>
      <c r="B2742" s="61"/>
      <c r="C2742" s="61"/>
    </row>
    <row r="2743">
      <c r="A2743" s="50"/>
      <c r="B2743" s="61"/>
      <c r="C2743" s="61"/>
    </row>
    <row r="2744">
      <c r="A2744" s="50"/>
      <c r="B2744" s="61"/>
      <c r="C2744" s="61"/>
    </row>
    <row r="2745">
      <c r="A2745" s="50"/>
      <c r="B2745" s="61"/>
      <c r="C2745" s="61"/>
    </row>
    <row r="2746">
      <c r="A2746" s="50"/>
      <c r="B2746" s="61"/>
      <c r="C2746" s="61"/>
    </row>
    <row r="2747">
      <c r="A2747" s="50"/>
      <c r="B2747" s="61"/>
      <c r="C2747" s="61"/>
    </row>
    <row r="2748">
      <c r="A2748" s="50"/>
      <c r="B2748" s="61"/>
      <c r="C2748" s="61"/>
    </row>
    <row r="2749">
      <c r="A2749" s="50"/>
      <c r="B2749" s="61"/>
      <c r="C2749" s="61"/>
    </row>
    <row r="2750">
      <c r="A2750" s="50"/>
      <c r="B2750" s="61"/>
      <c r="C2750" s="61"/>
    </row>
    <row r="2751">
      <c r="A2751" s="50"/>
      <c r="B2751" s="61"/>
      <c r="C2751" s="61"/>
    </row>
    <row r="2752">
      <c r="A2752" s="50"/>
      <c r="B2752" s="61"/>
      <c r="C2752" s="61"/>
    </row>
    <row r="2753">
      <c r="A2753" s="50"/>
      <c r="B2753" s="61"/>
      <c r="C2753" s="61"/>
    </row>
    <row r="2754">
      <c r="A2754" s="50"/>
      <c r="B2754" s="61"/>
      <c r="C2754" s="61"/>
    </row>
    <row r="2755">
      <c r="A2755" s="50"/>
      <c r="B2755" s="61"/>
      <c r="C2755" s="61"/>
    </row>
    <row r="2756">
      <c r="A2756" s="50"/>
      <c r="B2756" s="61"/>
      <c r="C2756" s="61"/>
    </row>
    <row r="2757">
      <c r="A2757" s="50"/>
      <c r="B2757" s="61"/>
      <c r="C2757" s="61"/>
    </row>
    <row r="2758">
      <c r="A2758" s="50"/>
      <c r="B2758" s="61"/>
      <c r="C2758" s="61"/>
    </row>
    <row r="2759">
      <c r="A2759" s="50"/>
      <c r="B2759" s="61"/>
      <c r="C2759" s="61"/>
    </row>
    <row r="2760">
      <c r="A2760" s="50"/>
      <c r="B2760" s="61"/>
      <c r="C2760" s="61"/>
    </row>
    <row r="2761">
      <c r="A2761" s="50"/>
      <c r="B2761" s="61"/>
      <c r="C2761" s="61"/>
    </row>
    <row r="2762">
      <c r="A2762" s="50"/>
      <c r="B2762" s="61"/>
      <c r="C2762" s="61"/>
    </row>
    <row r="2763">
      <c r="A2763" s="50"/>
      <c r="B2763" s="61"/>
      <c r="C2763" s="61"/>
    </row>
    <row r="2764">
      <c r="A2764" s="50"/>
      <c r="B2764" s="61"/>
      <c r="C2764" s="61"/>
    </row>
    <row r="2765">
      <c r="A2765" s="50"/>
      <c r="B2765" s="61"/>
      <c r="C2765" s="61"/>
    </row>
    <row r="2766">
      <c r="A2766" s="50"/>
      <c r="B2766" s="61"/>
      <c r="C2766" s="61"/>
    </row>
    <row r="2767">
      <c r="A2767" s="50"/>
      <c r="B2767" s="61"/>
      <c r="C2767" s="61"/>
    </row>
    <row r="2768">
      <c r="A2768" s="50"/>
      <c r="B2768" s="61"/>
      <c r="C2768" s="61"/>
    </row>
    <row r="2769">
      <c r="A2769" s="50"/>
      <c r="B2769" s="61"/>
      <c r="C2769" s="61"/>
    </row>
    <row r="2770">
      <c r="A2770" s="50"/>
      <c r="B2770" s="61"/>
      <c r="C2770" s="61"/>
    </row>
    <row r="2771">
      <c r="A2771" s="50"/>
      <c r="B2771" s="61"/>
      <c r="C2771" s="61"/>
    </row>
    <row r="2772">
      <c r="A2772" s="50"/>
      <c r="B2772" s="61"/>
      <c r="C2772" s="61"/>
    </row>
    <row r="2773">
      <c r="A2773" s="50"/>
      <c r="B2773" s="61"/>
      <c r="C2773" s="61"/>
    </row>
    <row r="2774">
      <c r="A2774" s="50"/>
      <c r="B2774" s="61"/>
      <c r="C2774" s="61"/>
    </row>
    <row r="2775">
      <c r="A2775" s="50"/>
      <c r="B2775" s="61"/>
      <c r="C2775" s="61"/>
    </row>
    <row r="2776">
      <c r="A2776" s="50"/>
      <c r="B2776" s="61"/>
      <c r="C2776" s="61"/>
    </row>
    <row r="2777">
      <c r="A2777" s="50"/>
      <c r="B2777" s="61"/>
      <c r="C2777" s="61"/>
    </row>
    <row r="2778">
      <c r="A2778" s="50"/>
      <c r="B2778" s="61"/>
      <c r="C2778" s="61"/>
    </row>
    <row r="2779">
      <c r="A2779" s="50"/>
      <c r="B2779" s="61"/>
      <c r="C2779" s="61"/>
    </row>
    <row r="2780">
      <c r="A2780" s="50"/>
      <c r="B2780" s="61"/>
      <c r="C2780" s="61"/>
    </row>
    <row r="2781">
      <c r="A2781" s="50"/>
      <c r="B2781" s="61"/>
      <c r="C2781" s="61"/>
    </row>
    <row r="2782">
      <c r="A2782" s="50"/>
      <c r="B2782" s="61"/>
      <c r="C2782" s="61"/>
    </row>
    <row r="2783">
      <c r="A2783" s="50"/>
      <c r="B2783" s="61"/>
      <c r="C2783" s="61"/>
    </row>
    <row r="2784">
      <c r="A2784" s="50"/>
      <c r="B2784" s="61"/>
      <c r="C2784" s="61"/>
    </row>
    <row r="2785">
      <c r="A2785" s="50"/>
      <c r="B2785" s="61"/>
      <c r="C2785" s="61"/>
    </row>
    <row r="2786">
      <c r="A2786" s="50"/>
      <c r="B2786" s="61"/>
      <c r="C2786" s="61"/>
    </row>
    <row r="2787">
      <c r="A2787" s="50"/>
      <c r="B2787" s="61"/>
      <c r="C2787" s="61"/>
    </row>
    <row r="2788">
      <c r="A2788" s="50"/>
      <c r="B2788" s="61"/>
      <c r="C2788" s="61"/>
    </row>
    <row r="2789">
      <c r="A2789" s="50"/>
      <c r="B2789" s="61"/>
      <c r="C2789" s="61"/>
    </row>
    <row r="2790">
      <c r="A2790" s="50"/>
      <c r="B2790" s="61"/>
      <c r="C2790" s="61"/>
    </row>
    <row r="2791">
      <c r="A2791" s="50"/>
      <c r="B2791" s="61"/>
      <c r="C2791" s="61"/>
    </row>
    <row r="2792">
      <c r="A2792" s="50"/>
      <c r="B2792" s="61"/>
      <c r="C2792" s="61"/>
    </row>
    <row r="2793">
      <c r="A2793" s="50"/>
      <c r="B2793" s="61"/>
      <c r="C2793" s="61"/>
    </row>
    <row r="2794">
      <c r="A2794" s="50"/>
      <c r="B2794" s="61"/>
      <c r="C2794" s="61"/>
    </row>
    <row r="2795">
      <c r="A2795" s="50"/>
      <c r="B2795" s="61"/>
      <c r="C2795" s="61"/>
    </row>
    <row r="2796">
      <c r="A2796" s="50"/>
      <c r="B2796" s="61"/>
      <c r="C2796" s="61"/>
    </row>
    <row r="2797">
      <c r="A2797" s="50"/>
      <c r="B2797" s="61"/>
      <c r="C2797" s="61"/>
    </row>
    <row r="2798">
      <c r="A2798" s="50"/>
      <c r="B2798" s="61"/>
      <c r="C2798" s="61"/>
    </row>
    <row r="2799">
      <c r="A2799" s="50"/>
      <c r="B2799" s="61"/>
      <c r="C2799" s="61"/>
    </row>
    <row r="2800">
      <c r="A2800" s="50"/>
      <c r="B2800" s="61"/>
      <c r="C2800" s="61"/>
    </row>
    <row r="2801">
      <c r="A2801" s="50"/>
      <c r="B2801" s="61"/>
      <c r="C2801" s="61"/>
    </row>
    <row r="2802">
      <c r="A2802" s="50"/>
      <c r="B2802" s="61"/>
      <c r="C2802" s="61"/>
    </row>
    <row r="2803">
      <c r="A2803" s="50"/>
      <c r="B2803" s="61"/>
      <c r="C2803" s="61"/>
    </row>
    <row r="2804">
      <c r="A2804" s="50"/>
      <c r="B2804" s="61"/>
      <c r="C2804" s="61"/>
    </row>
    <row r="2805">
      <c r="A2805" s="50"/>
      <c r="B2805" s="61"/>
      <c r="C2805" s="61"/>
    </row>
    <row r="2806">
      <c r="A2806" s="50"/>
      <c r="B2806" s="61"/>
      <c r="C2806" s="61"/>
    </row>
    <row r="2807">
      <c r="A2807" s="50"/>
      <c r="B2807" s="61"/>
      <c r="C2807" s="61"/>
    </row>
    <row r="2808">
      <c r="A2808" s="50"/>
      <c r="B2808" s="61"/>
      <c r="C2808" s="61"/>
    </row>
    <row r="2809">
      <c r="A2809" s="50"/>
      <c r="B2809" s="61"/>
      <c r="C2809" s="61"/>
    </row>
    <row r="2810">
      <c r="A2810" s="50"/>
      <c r="B2810" s="61"/>
      <c r="C2810" s="61"/>
    </row>
    <row r="2811">
      <c r="A2811" s="50"/>
      <c r="B2811" s="61"/>
      <c r="C2811" s="61"/>
    </row>
    <row r="2812">
      <c r="A2812" s="50"/>
      <c r="B2812" s="61"/>
      <c r="C2812" s="61"/>
    </row>
    <row r="2813">
      <c r="A2813" s="50"/>
      <c r="B2813" s="61"/>
      <c r="C2813" s="61"/>
    </row>
    <row r="2814">
      <c r="A2814" s="50"/>
      <c r="B2814" s="61"/>
      <c r="C2814" s="61"/>
    </row>
    <row r="2815">
      <c r="A2815" s="50"/>
      <c r="B2815" s="61"/>
      <c r="C2815" s="61"/>
    </row>
    <row r="2816">
      <c r="A2816" s="50"/>
      <c r="B2816" s="61"/>
      <c r="C2816" s="61"/>
    </row>
    <row r="2817">
      <c r="A2817" s="50"/>
      <c r="B2817" s="61"/>
      <c r="C2817" s="61"/>
    </row>
    <row r="2818">
      <c r="A2818" s="50"/>
      <c r="B2818" s="61"/>
      <c r="C2818" s="61"/>
    </row>
    <row r="2819">
      <c r="A2819" s="50"/>
      <c r="B2819" s="61"/>
      <c r="C2819" s="61"/>
    </row>
    <row r="2820">
      <c r="A2820" s="50"/>
      <c r="B2820" s="61"/>
      <c r="C2820" s="61"/>
    </row>
    <row r="2821">
      <c r="A2821" s="50"/>
      <c r="B2821" s="61"/>
      <c r="C2821" s="61"/>
    </row>
    <row r="2822">
      <c r="A2822" s="50"/>
      <c r="B2822" s="61"/>
      <c r="C2822" s="61"/>
    </row>
    <row r="2823">
      <c r="A2823" s="50"/>
      <c r="B2823" s="61"/>
      <c r="C2823" s="61"/>
    </row>
    <row r="2824">
      <c r="A2824" s="50"/>
      <c r="B2824" s="61"/>
      <c r="C2824" s="61"/>
    </row>
    <row r="2825">
      <c r="A2825" s="50"/>
      <c r="B2825" s="61"/>
      <c r="C2825" s="61"/>
    </row>
    <row r="2826">
      <c r="A2826" s="50"/>
      <c r="B2826" s="61"/>
      <c r="C2826" s="61"/>
    </row>
    <row r="2827">
      <c r="A2827" s="50"/>
      <c r="B2827" s="61"/>
      <c r="C2827" s="61"/>
    </row>
    <row r="2828">
      <c r="A2828" s="50"/>
      <c r="B2828" s="61"/>
      <c r="C2828" s="61"/>
    </row>
    <row r="2829">
      <c r="A2829" s="50"/>
      <c r="B2829" s="61"/>
      <c r="C2829" s="61"/>
    </row>
    <row r="2830">
      <c r="A2830" s="50"/>
      <c r="B2830" s="61"/>
      <c r="C2830" s="61"/>
    </row>
    <row r="2831">
      <c r="A2831" s="50"/>
      <c r="B2831" s="61"/>
      <c r="C2831" s="61"/>
    </row>
    <row r="2832">
      <c r="A2832" s="50"/>
      <c r="B2832" s="61"/>
      <c r="C2832" s="61"/>
    </row>
    <row r="2833">
      <c r="A2833" s="50"/>
      <c r="B2833" s="61"/>
      <c r="C2833" s="61"/>
    </row>
    <row r="2834">
      <c r="A2834" s="50"/>
      <c r="B2834" s="61"/>
      <c r="C2834" s="61"/>
    </row>
    <row r="2835">
      <c r="A2835" s="50"/>
      <c r="B2835" s="61"/>
      <c r="C2835" s="61"/>
    </row>
    <row r="2836">
      <c r="A2836" s="50"/>
      <c r="B2836" s="61"/>
      <c r="C2836" s="61"/>
    </row>
    <row r="2837">
      <c r="A2837" s="50"/>
      <c r="B2837" s="61"/>
      <c r="C2837" s="61"/>
    </row>
    <row r="2838">
      <c r="A2838" s="50"/>
      <c r="B2838" s="61"/>
      <c r="C2838" s="61"/>
    </row>
    <row r="2839">
      <c r="A2839" s="50"/>
      <c r="B2839" s="61"/>
      <c r="C2839" s="61"/>
    </row>
    <row r="2840">
      <c r="A2840" s="50"/>
      <c r="B2840" s="61"/>
      <c r="C2840" s="61"/>
    </row>
    <row r="2841">
      <c r="A2841" s="50"/>
      <c r="B2841" s="61"/>
      <c r="C2841" s="61"/>
    </row>
    <row r="2842">
      <c r="A2842" s="50"/>
      <c r="B2842" s="61"/>
      <c r="C2842" s="61"/>
    </row>
    <row r="2843">
      <c r="A2843" s="50"/>
      <c r="B2843" s="61"/>
      <c r="C2843" s="61"/>
    </row>
    <row r="2844">
      <c r="A2844" s="50"/>
      <c r="B2844" s="61"/>
      <c r="C2844" s="61"/>
    </row>
    <row r="2845">
      <c r="A2845" s="50"/>
      <c r="B2845" s="61"/>
      <c r="C2845" s="61"/>
    </row>
    <row r="2846">
      <c r="A2846" s="50"/>
      <c r="B2846" s="61"/>
      <c r="C2846" s="61"/>
    </row>
    <row r="2847">
      <c r="A2847" s="50"/>
      <c r="B2847" s="61"/>
      <c r="C2847" s="61"/>
    </row>
    <row r="2848">
      <c r="A2848" s="50"/>
      <c r="B2848" s="61"/>
      <c r="C2848" s="61"/>
    </row>
    <row r="2849">
      <c r="A2849" s="50"/>
      <c r="B2849" s="61"/>
      <c r="C2849" s="61"/>
    </row>
    <row r="2850">
      <c r="A2850" s="50"/>
      <c r="B2850" s="61"/>
      <c r="C2850" s="61"/>
    </row>
    <row r="2851">
      <c r="A2851" s="50"/>
      <c r="B2851" s="61"/>
      <c r="C2851" s="61"/>
    </row>
    <row r="2852">
      <c r="A2852" s="50"/>
      <c r="B2852" s="61"/>
      <c r="C2852" s="61"/>
    </row>
    <row r="2853">
      <c r="A2853" s="50"/>
      <c r="B2853" s="61"/>
      <c r="C2853" s="61"/>
    </row>
    <row r="2854">
      <c r="A2854" s="50"/>
      <c r="B2854" s="61"/>
      <c r="C2854" s="61"/>
    </row>
    <row r="2855">
      <c r="A2855" s="50"/>
      <c r="B2855" s="61"/>
      <c r="C2855" s="61"/>
    </row>
    <row r="2856">
      <c r="A2856" s="50"/>
      <c r="B2856" s="61"/>
      <c r="C2856" s="61"/>
    </row>
    <row r="2857">
      <c r="A2857" s="50"/>
      <c r="B2857" s="61"/>
      <c r="C2857" s="61"/>
    </row>
    <row r="2858">
      <c r="A2858" s="50"/>
      <c r="B2858" s="61"/>
      <c r="C2858" s="61"/>
    </row>
    <row r="2859">
      <c r="A2859" s="50"/>
      <c r="B2859" s="61"/>
      <c r="C2859" s="61"/>
    </row>
    <row r="2860">
      <c r="A2860" s="50"/>
      <c r="B2860" s="61"/>
      <c r="C2860" s="61"/>
    </row>
    <row r="2861">
      <c r="A2861" s="50"/>
      <c r="B2861" s="61"/>
      <c r="C2861" s="61"/>
    </row>
    <row r="2862">
      <c r="A2862" s="50"/>
      <c r="B2862" s="61"/>
      <c r="C2862" s="61"/>
    </row>
    <row r="2863">
      <c r="A2863" s="50"/>
      <c r="B2863" s="61"/>
      <c r="C2863" s="61"/>
    </row>
    <row r="2864">
      <c r="A2864" s="50"/>
      <c r="B2864" s="61"/>
      <c r="C2864" s="61"/>
    </row>
    <row r="2865">
      <c r="A2865" s="50"/>
      <c r="B2865" s="61"/>
      <c r="C2865" s="61"/>
    </row>
    <row r="2866">
      <c r="A2866" s="50"/>
      <c r="B2866" s="61"/>
      <c r="C2866" s="61"/>
    </row>
    <row r="2867">
      <c r="A2867" s="50"/>
      <c r="B2867" s="61"/>
      <c r="C2867" s="61"/>
    </row>
    <row r="2868">
      <c r="A2868" s="50"/>
      <c r="B2868" s="61"/>
      <c r="C2868" s="61"/>
    </row>
    <row r="2869">
      <c r="A2869" s="50"/>
      <c r="B2869" s="61"/>
      <c r="C2869" s="61"/>
    </row>
    <row r="2870">
      <c r="A2870" s="50"/>
      <c r="B2870" s="61"/>
      <c r="C2870" s="61"/>
    </row>
    <row r="2871">
      <c r="A2871" s="50"/>
      <c r="B2871" s="61"/>
      <c r="C2871" s="61"/>
    </row>
    <row r="2872">
      <c r="A2872" s="50"/>
      <c r="B2872" s="61"/>
      <c r="C2872" s="61"/>
    </row>
    <row r="2873">
      <c r="A2873" s="50"/>
      <c r="B2873" s="61"/>
      <c r="C2873" s="61"/>
    </row>
    <row r="2874">
      <c r="A2874" s="50"/>
      <c r="B2874" s="61"/>
      <c r="C2874" s="61"/>
    </row>
    <row r="2875">
      <c r="A2875" s="50"/>
      <c r="B2875" s="61"/>
      <c r="C2875" s="61"/>
    </row>
    <row r="2876">
      <c r="A2876" s="50"/>
      <c r="B2876" s="61"/>
      <c r="C2876" s="61"/>
    </row>
    <row r="2877">
      <c r="A2877" s="50"/>
      <c r="B2877" s="61"/>
      <c r="C2877" s="61"/>
    </row>
    <row r="2878">
      <c r="A2878" s="50"/>
      <c r="B2878" s="61"/>
      <c r="C2878" s="61"/>
    </row>
    <row r="2879">
      <c r="A2879" s="50"/>
      <c r="B2879" s="61"/>
      <c r="C2879" s="61"/>
    </row>
    <row r="2880">
      <c r="A2880" s="50"/>
      <c r="B2880" s="61"/>
      <c r="C2880" s="61"/>
    </row>
    <row r="2881">
      <c r="A2881" s="50"/>
      <c r="B2881" s="61"/>
      <c r="C2881" s="61"/>
    </row>
    <row r="2882">
      <c r="A2882" s="50"/>
      <c r="B2882" s="61"/>
      <c r="C2882" s="61"/>
    </row>
    <row r="2883">
      <c r="A2883" s="50"/>
      <c r="B2883" s="61"/>
      <c r="C2883" s="61"/>
    </row>
    <row r="2884">
      <c r="A2884" s="50"/>
      <c r="B2884" s="61"/>
      <c r="C2884" s="61"/>
    </row>
    <row r="2885">
      <c r="A2885" s="50"/>
      <c r="B2885" s="61"/>
      <c r="C2885" s="61"/>
    </row>
    <row r="2886">
      <c r="A2886" s="50"/>
      <c r="B2886" s="61"/>
      <c r="C2886" s="61"/>
    </row>
    <row r="2887">
      <c r="A2887" s="50"/>
      <c r="B2887" s="61"/>
      <c r="C2887" s="61"/>
    </row>
    <row r="2888">
      <c r="A2888" s="50"/>
      <c r="B2888" s="61"/>
      <c r="C2888" s="61"/>
    </row>
    <row r="2889">
      <c r="A2889" s="50"/>
      <c r="B2889" s="61"/>
      <c r="C2889" s="61"/>
    </row>
    <row r="2890">
      <c r="A2890" s="50"/>
      <c r="B2890" s="61"/>
      <c r="C2890" s="61"/>
    </row>
    <row r="2891">
      <c r="A2891" s="50"/>
      <c r="B2891" s="61"/>
      <c r="C2891" s="61"/>
    </row>
    <row r="2892">
      <c r="A2892" s="50"/>
      <c r="B2892" s="61"/>
      <c r="C2892" s="61"/>
    </row>
    <row r="2893">
      <c r="A2893" s="50"/>
      <c r="B2893" s="61"/>
      <c r="C2893" s="61"/>
    </row>
    <row r="2894">
      <c r="A2894" s="50"/>
      <c r="B2894" s="61"/>
      <c r="C2894" s="61"/>
    </row>
    <row r="2895">
      <c r="A2895" s="50"/>
      <c r="B2895" s="61"/>
      <c r="C2895" s="61"/>
    </row>
    <row r="2896">
      <c r="A2896" s="50"/>
      <c r="B2896" s="61"/>
      <c r="C2896" s="61"/>
    </row>
    <row r="2897">
      <c r="A2897" s="50"/>
      <c r="B2897" s="61"/>
      <c r="C2897" s="61"/>
    </row>
    <row r="2898">
      <c r="A2898" s="50"/>
      <c r="B2898" s="61"/>
      <c r="C2898" s="61"/>
    </row>
    <row r="2899">
      <c r="A2899" s="50"/>
      <c r="B2899" s="61"/>
      <c r="C2899" s="61"/>
    </row>
    <row r="2900">
      <c r="A2900" s="50"/>
      <c r="B2900" s="61"/>
      <c r="C2900" s="61"/>
    </row>
    <row r="2901">
      <c r="A2901" s="50"/>
      <c r="B2901" s="61"/>
      <c r="C2901" s="61"/>
    </row>
    <row r="2902">
      <c r="A2902" s="50"/>
      <c r="B2902" s="61"/>
      <c r="C2902" s="61"/>
    </row>
    <row r="2903">
      <c r="A2903" s="50"/>
      <c r="B2903" s="61"/>
      <c r="C2903" s="61"/>
    </row>
    <row r="2904">
      <c r="A2904" s="50"/>
      <c r="B2904" s="61"/>
      <c r="C2904" s="61"/>
    </row>
    <row r="2905">
      <c r="A2905" s="50"/>
      <c r="B2905" s="61"/>
      <c r="C2905" s="61"/>
    </row>
    <row r="2906">
      <c r="A2906" s="50"/>
      <c r="B2906" s="61"/>
      <c r="C2906" s="61"/>
    </row>
    <row r="2907">
      <c r="A2907" s="50"/>
      <c r="B2907" s="61"/>
      <c r="C2907" s="61"/>
    </row>
    <row r="2908">
      <c r="A2908" s="50"/>
      <c r="B2908" s="61"/>
      <c r="C2908" s="61"/>
    </row>
    <row r="2909">
      <c r="A2909" s="50"/>
      <c r="B2909" s="61"/>
      <c r="C2909" s="61"/>
    </row>
    <row r="2910">
      <c r="A2910" s="50"/>
      <c r="B2910" s="61"/>
      <c r="C2910" s="61"/>
    </row>
    <row r="2911">
      <c r="A2911" s="50"/>
      <c r="B2911" s="61"/>
      <c r="C2911" s="61"/>
    </row>
    <row r="2912">
      <c r="A2912" s="50"/>
      <c r="B2912" s="61"/>
      <c r="C2912" s="61"/>
    </row>
    <row r="2913">
      <c r="A2913" s="50"/>
      <c r="B2913" s="61"/>
      <c r="C2913" s="61"/>
    </row>
    <row r="2914">
      <c r="A2914" s="50"/>
      <c r="B2914" s="61"/>
      <c r="C2914" s="61"/>
    </row>
    <row r="2915">
      <c r="A2915" s="50"/>
      <c r="B2915" s="61"/>
      <c r="C2915" s="61"/>
    </row>
    <row r="2916">
      <c r="A2916" s="50"/>
      <c r="B2916" s="61"/>
      <c r="C2916" s="61"/>
    </row>
    <row r="2917">
      <c r="A2917" s="50"/>
      <c r="B2917" s="61"/>
      <c r="C2917" s="61"/>
    </row>
    <row r="2918">
      <c r="A2918" s="50"/>
      <c r="B2918" s="61"/>
      <c r="C2918" s="61"/>
    </row>
    <row r="2919">
      <c r="A2919" s="50"/>
      <c r="B2919" s="61"/>
      <c r="C2919" s="61"/>
    </row>
    <row r="2920">
      <c r="A2920" s="50"/>
      <c r="B2920" s="61"/>
      <c r="C2920" s="61"/>
    </row>
    <row r="2921">
      <c r="A2921" s="50"/>
      <c r="B2921" s="61"/>
      <c r="C2921" s="61"/>
    </row>
    <row r="2922">
      <c r="A2922" s="50"/>
      <c r="B2922" s="61"/>
      <c r="C2922" s="61"/>
    </row>
    <row r="2923">
      <c r="A2923" s="50"/>
      <c r="B2923" s="61"/>
      <c r="C2923" s="61"/>
    </row>
    <row r="2924">
      <c r="A2924" s="50"/>
      <c r="B2924" s="61"/>
      <c r="C2924" s="61"/>
    </row>
    <row r="2925">
      <c r="A2925" s="50"/>
      <c r="B2925" s="61"/>
      <c r="C2925" s="61"/>
    </row>
    <row r="2926">
      <c r="A2926" s="50"/>
      <c r="B2926" s="61"/>
      <c r="C2926" s="61"/>
    </row>
    <row r="2927">
      <c r="A2927" s="50"/>
      <c r="B2927" s="61"/>
      <c r="C2927" s="61"/>
    </row>
    <row r="2928">
      <c r="A2928" s="50"/>
      <c r="B2928" s="61"/>
      <c r="C2928" s="61"/>
    </row>
    <row r="2929">
      <c r="A2929" s="50"/>
      <c r="B2929" s="61"/>
      <c r="C2929" s="61"/>
    </row>
    <row r="2930">
      <c r="A2930" s="50"/>
      <c r="B2930" s="61"/>
      <c r="C2930" s="61"/>
    </row>
    <row r="2931">
      <c r="A2931" s="50"/>
      <c r="B2931" s="61"/>
      <c r="C2931" s="61"/>
    </row>
    <row r="2932">
      <c r="A2932" s="50"/>
      <c r="B2932" s="61"/>
      <c r="C2932" s="61"/>
    </row>
    <row r="2933">
      <c r="A2933" s="50"/>
      <c r="B2933" s="61"/>
      <c r="C2933" s="61"/>
    </row>
    <row r="2934">
      <c r="A2934" s="50"/>
      <c r="B2934" s="61"/>
      <c r="C2934" s="61"/>
    </row>
    <row r="2935">
      <c r="A2935" s="50"/>
      <c r="B2935" s="61"/>
      <c r="C2935" s="61"/>
    </row>
    <row r="2936">
      <c r="A2936" s="50"/>
      <c r="B2936" s="61"/>
      <c r="C2936" s="61"/>
    </row>
    <row r="2937">
      <c r="A2937" s="50"/>
      <c r="B2937" s="61"/>
      <c r="C2937" s="61"/>
    </row>
    <row r="2938">
      <c r="A2938" s="50"/>
      <c r="B2938" s="61"/>
      <c r="C2938" s="61"/>
    </row>
    <row r="2939">
      <c r="A2939" s="50"/>
      <c r="B2939" s="61"/>
      <c r="C2939" s="61"/>
    </row>
    <row r="2940">
      <c r="A2940" s="50"/>
      <c r="B2940" s="61"/>
      <c r="C2940" s="61"/>
    </row>
    <row r="2941">
      <c r="A2941" s="50"/>
      <c r="B2941" s="61"/>
      <c r="C2941" s="61"/>
    </row>
    <row r="2942">
      <c r="A2942" s="50"/>
      <c r="B2942" s="61"/>
      <c r="C2942" s="61"/>
    </row>
    <row r="2943">
      <c r="A2943" s="50"/>
      <c r="B2943" s="61"/>
      <c r="C2943" s="61"/>
    </row>
    <row r="2944">
      <c r="A2944" s="50"/>
      <c r="B2944" s="61"/>
      <c r="C2944" s="61"/>
    </row>
    <row r="2945">
      <c r="A2945" s="50"/>
      <c r="B2945" s="61"/>
      <c r="C2945" s="61"/>
    </row>
    <row r="2946">
      <c r="A2946" s="50"/>
      <c r="B2946" s="61"/>
      <c r="C2946" s="61"/>
    </row>
    <row r="2947">
      <c r="A2947" s="50"/>
      <c r="B2947" s="61"/>
      <c r="C2947" s="61"/>
    </row>
    <row r="2948">
      <c r="A2948" s="50"/>
      <c r="B2948" s="61"/>
      <c r="C2948" s="61"/>
    </row>
    <row r="2949">
      <c r="A2949" s="50"/>
      <c r="B2949" s="61"/>
      <c r="C2949" s="61"/>
    </row>
    <row r="2950">
      <c r="A2950" s="50"/>
      <c r="B2950" s="61"/>
      <c r="C2950" s="61"/>
    </row>
    <row r="2951">
      <c r="A2951" s="50"/>
      <c r="B2951" s="61"/>
      <c r="C2951" s="61"/>
    </row>
    <row r="2952">
      <c r="A2952" s="50"/>
      <c r="B2952" s="61"/>
      <c r="C2952" s="61"/>
    </row>
    <row r="2953">
      <c r="A2953" s="50"/>
      <c r="B2953" s="61"/>
      <c r="C2953" s="61"/>
    </row>
    <row r="2954">
      <c r="A2954" s="50"/>
      <c r="B2954" s="61"/>
      <c r="C2954" s="61"/>
    </row>
    <row r="2955">
      <c r="A2955" s="50"/>
      <c r="B2955" s="61"/>
      <c r="C2955" s="61"/>
    </row>
    <row r="2956">
      <c r="A2956" s="50"/>
      <c r="B2956" s="61"/>
      <c r="C2956" s="61"/>
    </row>
    <row r="2957">
      <c r="A2957" s="50"/>
      <c r="B2957" s="61"/>
      <c r="C2957" s="61"/>
    </row>
    <row r="2958">
      <c r="A2958" s="50"/>
      <c r="B2958" s="61"/>
      <c r="C2958" s="61"/>
    </row>
    <row r="2959">
      <c r="A2959" s="50"/>
      <c r="B2959" s="61"/>
      <c r="C2959" s="61"/>
    </row>
    <row r="2960">
      <c r="A2960" s="50"/>
      <c r="B2960" s="61"/>
      <c r="C2960" s="61"/>
    </row>
    <row r="2961">
      <c r="A2961" s="50"/>
      <c r="B2961" s="61"/>
      <c r="C2961" s="61"/>
    </row>
    <row r="2962">
      <c r="A2962" s="50"/>
      <c r="B2962" s="61"/>
      <c r="C2962" s="61"/>
    </row>
    <row r="2963">
      <c r="A2963" s="50"/>
      <c r="B2963" s="61"/>
      <c r="C2963" s="61"/>
    </row>
    <row r="2964">
      <c r="A2964" s="50"/>
      <c r="B2964" s="61"/>
      <c r="C2964" s="61"/>
    </row>
    <row r="2965">
      <c r="A2965" s="50"/>
      <c r="B2965" s="61"/>
      <c r="C2965" s="61"/>
    </row>
    <row r="2966">
      <c r="A2966" s="50"/>
      <c r="B2966" s="61"/>
      <c r="C2966" s="61"/>
    </row>
    <row r="2967">
      <c r="A2967" s="50"/>
      <c r="B2967" s="61"/>
      <c r="C2967" s="61"/>
    </row>
    <row r="2968">
      <c r="A2968" s="50"/>
      <c r="B2968" s="61"/>
      <c r="C2968" s="61"/>
    </row>
    <row r="2969">
      <c r="A2969" s="50"/>
      <c r="B2969" s="61"/>
      <c r="C2969" s="61"/>
    </row>
    <row r="2970">
      <c r="A2970" s="50"/>
      <c r="B2970" s="61"/>
      <c r="C2970" s="61"/>
    </row>
    <row r="2971">
      <c r="A2971" s="50"/>
      <c r="B2971" s="61"/>
      <c r="C2971" s="61"/>
    </row>
    <row r="2972">
      <c r="A2972" s="50"/>
      <c r="B2972" s="61"/>
      <c r="C2972" s="61"/>
    </row>
    <row r="2973">
      <c r="A2973" s="50"/>
      <c r="B2973" s="61"/>
      <c r="C2973" s="61"/>
    </row>
    <row r="2974">
      <c r="A2974" s="50"/>
      <c r="B2974" s="61"/>
      <c r="C2974" s="61"/>
    </row>
    <row r="2975">
      <c r="A2975" s="50"/>
      <c r="B2975" s="61"/>
      <c r="C2975" s="61"/>
    </row>
    <row r="2976">
      <c r="A2976" s="50"/>
      <c r="B2976" s="61"/>
      <c r="C2976" s="61"/>
    </row>
    <row r="2977">
      <c r="A2977" s="50"/>
      <c r="B2977" s="61"/>
      <c r="C2977" s="61"/>
    </row>
    <row r="2978">
      <c r="A2978" s="50"/>
      <c r="B2978" s="61"/>
      <c r="C2978" s="61"/>
    </row>
    <row r="2979">
      <c r="A2979" s="50"/>
      <c r="B2979" s="61"/>
      <c r="C2979" s="61"/>
    </row>
    <row r="2980">
      <c r="A2980" s="50"/>
      <c r="B2980" s="61"/>
      <c r="C2980" s="61"/>
    </row>
    <row r="2981">
      <c r="A2981" s="50"/>
      <c r="B2981" s="61"/>
      <c r="C2981" s="61"/>
    </row>
    <row r="2982">
      <c r="A2982" s="50"/>
      <c r="B2982" s="61"/>
      <c r="C2982" s="61"/>
    </row>
    <row r="2983">
      <c r="A2983" s="50"/>
      <c r="B2983" s="61"/>
      <c r="C2983" s="61"/>
    </row>
    <row r="2984">
      <c r="A2984" s="50"/>
      <c r="B2984" s="61"/>
      <c r="C2984" s="61"/>
    </row>
    <row r="2985">
      <c r="A2985" s="50"/>
      <c r="B2985" s="61"/>
      <c r="C2985" s="61"/>
    </row>
    <row r="2986">
      <c r="A2986" s="50"/>
      <c r="B2986" s="61"/>
      <c r="C2986" s="61"/>
    </row>
    <row r="2987">
      <c r="A2987" s="50"/>
      <c r="B2987" s="61"/>
      <c r="C2987" s="61"/>
    </row>
    <row r="2988">
      <c r="A2988" s="50"/>
      <c r="B2988" s="61"/>
      <c r="C2988" s="61"/>
    </row>
    <row r="2989">
      <c r="A2989" s="50"/>
      <c r="B2989" s="61"/>
      <c r="C2989" s="61"/>
    </row>
    <row r="2990">
      <c r="A2990" s="50"/>
      <c r="B2990" s="61"/>
      <c r="C2990" s="61"/>
    </row>
    <row r="2991">
      <c r="A2991" s="50"/>
      <c r="B2991" s="61"/>
      <c r="C2991" s="61"/>
    </row>
    <row r="2992">
      <c r="A2992" s="50"/>
      <c r="B2992" s="61"/>
      <c r="C2992" s="61"/>
    </row>
    <row r="2993">
      <c r="A2993" s="50"/>
      <c r="B2993" s="61"/>
      <c r="C2993" s="61"/>
    </row>
    <row r="2994">
      <c r="A2994" s="50"/>
      <c r="B2994" s="61"/>
      <c r="C2994" s="61"/>
    </row>
    <row r="2995">
      <c r="A2995" s="50"/>
      <c r="B2995" s="61"/>
      <c r="C2995" s="61"/>
    </row>
    <row r="2996">
      <c r="A2996" s="50"/>
      <c r="B2996" s="61"/>
      <c r="C2996" s="61"/>
    </row>
    <row r="2997">
      <c r="A2997" s="50"/>
      <c r="B2997" s="61"/>
      <c r="C2997" s="61"/>
    </row>
    <row r="2998">
      <c r="A2998" s="50"/>
      <c r="B2998" s="61"/>
      <c r="C2998" s="61"/>
    </row>
    <row r="2999">
      <c r="A2999" s="50"/>
      <c r="B2999" s="61"/>
      <c r="C2999" s="61"/>
    </row>
    <row r="3000">
      <c r="A3000" s="50"/>
      <c r="B3000" s="61"/>
      <c r="C3000" s="61"/>
    </row>
    <row r="3001">
      <c r="A3001" s="50"/>
      <c r="B3001" s="61"/>
      <c r="C3001" s="61"/>
    </row>
    <row r="3002">
      <c r="A3002" s="50"/>
      <c r="B3002" s="61"/>
      <c r="C3002" s="61"/>
    </row>
    <row r="3003">
      <c r="A3003" s="50"/>
      <c r="B3003" s="61"/>
      <c r="C3003" s="61"/>
    </row>
    <row r="3004">
      <c r="A3004" s="50"/>
      <c r="B3004" s="61"/>
      <c r="C3004" s="61"/>
    </row>
    <row r="3005">
      <c r="A3005" s="50"/>
      <c r="B3005" s="61"/>
      <c r="C3005" s="61"/>
    </row>
    <row r="3006">
      <c r="A3006" s="50"/>
      <c r="B3006" s="61"/>
      <c r="C3006" s="61"/>
    </row>
    <row r="3007">
      <c r="A3007" s="50"/>
      <c r="B3007" s="61"/>
      <c r="C3007" s="61"/>
    </row>
    <row r="3008">
      <c r="A3008" s="50"/>
      <c r="B3008" s="61"/>
      <c r="C3008" s="61"/>
    </row>
    <row r="3009">
      <c r="A3009" s="50"/>
      <c r="B3009" s="61"/>
      <c r="C3009" s="61"/>
    </row>
    <row r="3010">
      <c r="A3010" s="50"/>
      <c r="B3010" s="61"/>
      <c r="C3010" s="61"/>
    </row>
    <row r="3011">
      <c r="A3011" s="50"/>
      <c r="B3011" s="61"/>
      <c r="C3011" s="61"/>
    </row>
    <row r="3012">
      <c r="A3012" s="50"/>
      <c r="B3012" s="61"/>
      <c r="C3012" s="61"/>
    </row>
    <row r="3013">
      <c r="A3013" s="50"/>
      <c r="B3013" s="61"/>
      <c r="C3013" s="61"/>
    </row>
    <row r="3014">
      <c r="A3014" s="50"/>
      <c r="B3014" s="61"/>
      <c r="C3014" s="61"/>
    </row>
    <row r="3015">
      <c r="A3015" s="50"/>
      <c r="B3015" s="61"/>
      <c r="C3015" s="61"/>
    </row>
    <row r="3016">
      <c r="A3016" s="50"/>
      <c r="B3016" s="61"/>
      <c r="C3016" s="61"/>
    </row>
    <row r="3017">
      <c r="A3017" s="50"/>
      <c r="B3017" s="61"/>
      <c r="C3017" s="61"/>
    </row>
    <row r="3018">
      <c r="A3018" s="50"/>
      <c r="B3018" s="61"/>
      <c r="C3018" s="61"/>
    </row>
    <row r="3019">
      <c r="A3019" s="50"/>
      <c r="B3019" s="61"/>
      <c r="C3019" s="61"/>
    </row>
    <row r="3020">
      <c r="A3020" s="50"/>
      <c r="B3020" s="61"/>
      <c r="C3020" s="61"/>
    </row>
    <row r="3021">
      <c r="A3021" s="50"/>
      <c r="B3021" s="61"/>
      <c r="C3021" s="61"/>
    </row>
    <row r="3022">
      <c r="A3022" s="50"/>
      <c r="B3022" s="61"/>
      <c r="C3022" s="61"/>
    </row>
    <row r="3023">
      <c r="A3023" s="50"/>
      <c r="B3023" s="61"/>
      <c r="C3023" s="61"/>
    </row>
    <row r="3024">
      <c r="A3024" s="50"/>
      <c r="B3024" s="61"/>
      <c r="C3024" s="61"/>
    </row>
    <row r="3025">
      <c r="A3025" s="50"/>
      <c r="B3025" s="61"/>
      <c r="C3025" s="61"/>
    </row>
    <row r="3026">
      <c r="A3026" s="50"/>
      <c r="B3026" s="61"/>
      <c r="C3026" s="61"/>
    </row>
    <row r="3027">
      <c r="A3027" s="50"/>
      <c r="B3027" s="61"/>
      <c r="C3027" s="61"/>
    </row>
    <row r="3028">
      <c r="A3028" s="50"/>
      <c r="B3028" s="61"/>
      <c r="C3028" s="61"/>
    </row>
    <row r="3029">
      <c r="A3029" s="50"/>
      <c r="B3029" s="61"/>
      <c r="C3029" s="61"/>
    </row>
    <row r="3030">
      <c r="A3030" s="50"/>
      <c r="B3030" s="61"/>
      <c r="C3030" s="61"/>
    </row>
    <row r="3031">
      <c r="A3031" s="50"/>
      <c r="B3031" s="61"/>
      <c r="C3031" s="61"/>
    </row>
    <row r="3032">
      <c r="A3032" s="50"/>
      <c r="B3032" s="61"/>
      <c r="C3032" s="61"/>
    </row>
    <row r="3033">
      <c r="A3033" s="50"/>
      <c r="B3033" s="61"/>
      <c r="C3033" s="61"/>
    </row>
    <row r="3034">
      <c r="A3034" s="50"/>
      <c r="B3034" s="61"/>
      <c r="C3034" s="61"/>
    </row>
    <row r="3035">
      <c r="A3035" s="50"/>
      <c r="B3035" s="61"/>
      <c r="C3035" s="61"/>
    </row>
    <row r="3036">
      <c r="A3036" s="50"/>
      <c r="B3036" s="61"/>
      <c r="C3036" s="61"/>
    </row>
    <row r="3037">
      <c r="A3037" s="50"/>
      <c r="B3037" s="61"/>
      <c r="C3037" s="61"/>
    </row>
    <row r="3038">
      <c r="A3038" s="50"/>
      <c r="B3038" s="61"/>
      <c r="C3038" s="61"/>
    </row>
    <row r="3039">
      <c r="A3039" s="50"/>
      <c r="B3039" s="61"/>
      <c r="C3039" s="61"/>
    </row>
    <row r="3040">
      <c r="A3040" s="50"/>
      <c r="B3040" s="61"/>
      <c r="C3040" s="61"/>
    </row>
    <row r="3041">
      <c r="A3041" s="50"/>
      <c r="B3041" s="61"/>
      <c r="C3041" s="61"/>
    </row>
    <row r="3042">
      <c r="A3042" s="50"/>
      <c r="B3042" s="61"/>
      <c r="C3042" s="61"/>
    </row>
    <row r="3043">
      <c r="A3043" s="50"/>
      <c r="B3043" s="61"/>
      <c r="C3043" s="61"/>
    </row>
    <row r="3044">
      <c r="A3044" s="50"/>
      <c r="B3044" s="61"/>
      <c r="C3044" s="61"/>
    </row>
    <row r="3045">
      <c r="A3045" s="50"/>
      <c r="B3045" s="61"/>
      <c r="C3045" s="61"/>
    </row>
    <row r="3046">
      <c r="A3046" s="50"/>
      <c r="B3046" s="61"/>
      <c r="C3046" s="61"/>
    </row>
    <row r="3047">
      <c r="A3047" s="50"/>
      <c r="B3047" s="61"/>
      <c r="C3047" s="61"/>
    </row>
    <row r="3048">
      <c r="A3048" s="50"/>
      <c r="B3048" s="61"/>
      <c r="C3048" s="61"/>
    </row>
    <row r="3049">
      <c r="A3049" s="50"/>
      <c r="B3049" s="61"/>
      <c r="C3049" s="61"/>
    </row>
    <row r="3050">
      <c r="A3050" s="50"/>
      <c r="B3050" s="61"/>
      <c r="C3050" s="61"/>
    </row>
    <row r="3051">
      <c r="A3051" s="50"/>
      <c r="B3051" s="61"/>
      <c r="C3051" s="61"/>
    </row>
    <row r="3052">
      <c r="A3052" s="50"/>
      <c r="B3052" s="61"/>
      <c r="C3052" s="61"/>
    </row>
    <row r="3053">
      <c r="A3053" s="50"/>
      <c r="B3053" s="61"/>
      <c r="C3053" s="61"/>
    </row>
    <row r="3054">
      <c r="A3054" s="50"/>
      <c r="B3054" s="61"/>
      <c r="C3054" s="61"/>
    </row>
    <row r="3055">
      <c r="A3055" s="50"/>
      <c r="B3055" s="61"/>
      <c r="C3055" s="61"/>
    </row>
    <row r="3056">
      <c r="A3056" s="50"/>
      <c r="B3056" s="61"/>
      <c r="C3056" s="61"/>
    </row>
    <row r="3057">
      <c r="A3057" s="50"/>
      <c r="B3057" s="61"/>
      <c r="C3057" s="61"/>
    </row>
    <row r="3058">
      <c r="A3058" s="50"/>
      <c r="B3058" s="61"/>
      <c r="C3058" s="61"/>
    </row>
    <row r="3059">
      <c r="A3059" s="50"/>
      <c r="B3059" s="61"/>
      <c r="C3059" s="61"/>
    </row>
    <row r="3060">
      <c r="A3060" s="50"/>
      <c r="B3060" s="61"/>
      <c r="C3060" s="61"/>
    </row>
    <row r="3061">
      <c r="A3061" s="50"/>
      <c r="B3061" s="61"/>
      <c r="C3061" s="61"/>
    </row>
    <row r="3062">
      <c r="A3062" s="50"/>
      <c r="B3062" s="61"/>
      <c r="C3062" s="61"/>
    </row>
    <row r="3063">
      <c r="A3063" s="50"/>
      <c r="B3063" s="61"/>
      <c r="C3063" s="61"/>
    </row>
    <row r="3064">
      <c r="A3064" s="50"/>
      <c r="B3064" s="61"/>
      <c r="C3064" s="61"/>
    </row>
    <row r="3065">
      <c r="A3065" s="50"/>
      <c r="B3065" s="61"/>
      <c r="C3065" s="61"/>
    </row>
    <row r="3066">
      <c r="A3066" s="50"/>
      <c r="B3066" s="61"/>
      <c r="C3066" s="61"/>
    </row>
    <row r="3067">
      <c r="A3067" s="50"/>
      <c r="B3067" s="61"/>
      <c r="C3067" s="61"/>
    </row>
    <row r="3068">
      <c r="A3068" s="50"/>
      <c r="B3068" s="61"/>
      <c r="C3068" s="61"/>
    </row>
    <row r="3069">
      <c r="A3069" s="50"/>
      <c r="B3069" s="61"/>
      <c r="C3069" s="61"/>
    </row>
    <row r="3070">
      <c r="A3070" s="50"/>
      <c r="B3070" s="61"/>
      <c r="C3070" s="61"/>
    </row>
    <row r="3071">
      <c r="A3071" s="50"/>
      <c r="B3071" s="61"/>
      <c r="C3071" s="61"/>
    </row>
    <row r="3072">
      <c r="A3072" s="50"/>
      <c r="B3072" s="61"/>
      <c r="C3072" s="61"/>
    </row>
    <row r="3073">
      <c r="A3073" s="50"/>
      <c r="B3073" s="61"/>
      <c r="C3073" s="61"/>
    </row>
    <row r="3074">
      <c r="A3074" s="50"/>
      <c r="B3074" s="61"/>
      <c r="C3074" s="61"/>
    </row>
    <row r="3075">
      <c r="A3075" s="50"/>
      <c r="B3075" s="61"/>
      <c r="C3075" s="61"/>
    </row>
    <row r="3076">
      <c r="A3076" s="50"/>
      <c r="B3076" s="61"/>
      <c r="C3076" s="61"/>
    </row>
    <row r="3077">
      <c r="A3077" s="50"/>
      <c r="B3077" s="61"/>
      <c r="C3077" s="61"/>
    </row>
    <row r="3078">
      <c r="A3078" s="50"/>
      <c r="B3078" s="61"/>
      <c r="C3078" s="61"/>
    </row>
    <row r="3079">
      <c r="A3079" s="50"/>
      <c r="B3079" s="61"/>
      <c r="C3079" s="61"/>
    </row>
    <row r="3080">
      <c r="A3080" s="50"/>
      <c r="B3080" s="61"/>
      <c r="C3080" s="61"/>
    </row>
    <row r="3081">
      <c r="A3081" s="50"/>
      <c r="B3081" s="61"/>
      <c r="C3081" s="61"/>
    </row>
    <row r="3082">
      <c r="A3082" s="50"/>
      <c r="B3082" s="61"/>
      <c r="C3082" s="61"/>
    </row>
    <row r="3083">
      <c r="A3083" s="50"/>
      <c r="B3083" s="61"/>
      <c r="C3083" s="61"/>
    </row>
    <row r="3084">
      <c r="A3084" s="50"/>
      <c r="B3084" s="61"/>
      <c r="C3084" s="61"/>
    </row>
    <row r="3085">
      <c r="A3085" s="50"/>
      <c r="B3085" s="61"/>
      <c r="C3085" s="61"/>
    </row>
    <row r="3086">
      <c r="A3086" s="50"/>
      <c r="B3086" s="61"/>
      <c r="C3086" s="61"/>
    </row>
    <row r="3087">
      <c r="A3087" s="50"/>
      <c r="B3087" s="61"/>
      <c r="C3087" s="61"/>
    </row>
    <row r="3088">
      <c r="A3088" s="50"/>
      <c r="B3088" s="61"/>
      <c r="C3088" s="61"/>
    </row>
    <row r="3089">
      <c r="A3089" s="50"/>
      <c r="B3089" s="61"/>
      <c r="C3089" s="61"/>
    </row>
    <row r="3090">
      <c r="A3090" s="50"/>
      <c r="B3090" s="61"/>
      <c r="C3090" s="61"/>
    </row>
    <row r="3091">
      <c r="A3091" s="50"/>
      <c r="B3091" s="61"/>
      <c r="C3091" s="61"/>
    </row>
    <row r="3092">
      <c r="A3092" s="50"/>
      <c r="B3092" s="61"/>
      <c r="C3092" s="61"/>
    </row>
    <row r="3093">
      <c r="A3093" s="50"/>
      <c r="B3093" s="61"/>
      <c r="C3093" s="61"/>
    </row>
    <row r="3094">
      <c r="A3094" s="50"/>
      <c r="B3094" s="61"/>
      <c r="C3094" s="61"/>
    </row>
    <row r="3095">
      <c r="A3095" s="50"/>
      <c r="B3095" s="61"/>
      <c r="C3095" s="61"/>
    </row>
    <row r="3096">
      <c r="A3096" s="50"/>
      <c r="B3096" s="61"/>
      <c r="C3096" s="61"/>
    </row>
    <row r="3097">
      <c r="A3097" s="50"/>
      <c r="B3097" s="61"/>
      <c r="C3097" s="61"/>
    </row>
    <row r="3098">
      <c r="A3098" s="50"/>
      <c r="B3098" s="61"/>
      <c r="C3098" s="61"/>
    </row>
    <row r="3099">
      <c r="A3099" s="50"/>
      <c r="B3099" s="61"/>
      <c r="C3099" s="61"/>
    </row>
    <row r="3100">
      <c r="A3100" s="50"/>
      <c r="B3100" s="61"/>
      <c r="C3100" s="61"/>
    </row>
    <row r="3101">
      <c r="A3101" s="50"/>
      <c r="B3101" s="61"/>
      <c r="C3101" s="61"/>
    </row>
    <row r="3102">
      <c r="A3102" s="50"/>
      <c r="B3102" s="61"/>
      <c r="C3102" s="61"/>
    </row>
    <row r="3103">
      <c r="A3103" s="50"/>
      <c r="B3103" s="61"/>
      <c r="C3103" s="61"/>
    </row>
    <row r="3104">
      <c r="A3104" s="50"/>
      <c r="B3104" s="61"/>
      <c r="C3104" s="61"/>
    </row>
    <row r="3105">
      <c r="A3105" s="50"/>
      <c r="B3105" s="61"/>
      <c r="C3105" s="61"/>
    </row>
    <row r="3106">
      <c r="A3106" s="50"/>
      <c r="B3106" s="61"/>
      <c r="C3106" s="61"/>
    </row>
    <row r="3107">
      <c r="A3107" s="50"/>
      <c r="B3107" s="61"/>
      <c r="C3107" s="61"/>
    </row>
    <row r="3108">
      <c r="A3108" s="50"/>
      <c r="B3108" s="61"/>
      <c r="C3108" s="61"/>
    </row>
    <row r="3109">
      <c r="A3109" s="50"/>
      <c r="B3109" s="61"/>
      <c r="C3109" s="61"/>
    </row>
    <row r="3110">
      <c r="A3110" s="50"/>
      <c r="B3110" s="61"/>
      <c r="C3110" s="61"/>
    </row>
    <row r="3111">
      <c r="A3111" s="50"/>
      <c r="B3111" s="61"/>
      <c r="C3111" s="61"/>
    </row>
    <row r="3112">
      <c r="A3112" s="50"/>
      <c r="B3112" s="61"/>
      <c r="C3112" s="61"/>
    </row>
    <row r="3113">
      <c r="A3113" s="50"/>
      <c r="B3113" s="61"/>
      <c r="C3113" s="61"/>
    </row>
    <row r="3114">
      <c r="A3114" s="50"/>
      <c r="B3114" s="61"/>
      <c r="C3114" s="61"/>
    </row>
    <row r="3115">
      <c r="A3115" s="50"/>
      <c r="B3115" s="61"/>
      <c r="C3115" s="61"/>
    </row>
    <row r="3116">
      <c r="A3116" s="50"/>
      <c r="B3116" s="61"/>
      <c r="C3116" s="61"/>
    </row>
    <row r="3117">
      <c r="A3117" s="50"/>
      <c r="B3117" s="61"/>
      <c r="C3117" s="61"/>
    </row>
    <row r="3118">
      <c r="A3118" s="50"/>
      <c r="B3118" s="61"/>
      <c r="C3118" s="61"/>
    </row>
    <row r="3119">
      <c r="A3119" s="50"/>
      <c r="B3119" s="61"/>
      <c r="C3119" s="61"/>
    </row>
    <row r="3120">
      <c r="A3120" s="50"/>
      <c r="B3120" s="61"/>
      <c r="C3120" s="61"/>
    </row>
    <row r="3121">
      <c r="A3121" s="50"/>
      <c r="B3121" s="61"/>
      <c r="C3121" s="61"/>
    </row>
    <row r="3122">
      <c r="A3122" s="50"/>
      <c r="B3122" s="61"/>
      <c r="C3122" s="61"/>
    </row>
    <row r="3123">
      <c r="A3123" s="50"/>
      <c r="B3123" s="61"/>
      <c r="C3123" s="61"/>
    </row>
    <row r="3124">
      <c r="A3124" s="50"/>
      <c r="B3124" s="61"/>
      <c r="C3124" s="61"/>
    </row>
    <row r="3125">
      <c r="A3125" s="50"/>
      <c r="B3125" s="61"/>
      <c r="C3125" s="61"/>
    </row>
    <row r="3126">
      <c r="A3126" s="50"/>
      <c r="B3126" s="61"/>
      <c r="C3126" s="61"/>
    </row>
    <row r="3127">
      <c r="A3127" s="50"/>
      <c r="B3127" s="61"/>
      <c r="C3127" s="61"/>
    </row>
    <row r="3128">
      <c r="A3128" s="50"/>
      <c r="B3128" s="61"/>
      <c r="C3128" s="61"/>
    </row>
    <row r="3129">
      <c r="A3129" s="50"/>
      <c r="B3129" s="61"/>
      <c r="C3129" s="61"/>
    </row>
    <row r="3130">
      <c r="A3130" s="50"/>
      <c r="B3130" s="61"/>
      <c r="C3130" s="61"/>
    </row>
    <row r="3131">
      <c r="A3131" s="50"/>
      <c r="B3131" s="61"/>
      <c r="C3131" s="61"/>
    </row>
    <row r="3132">
      <c r="A3132" s="50"/>
      <c r="B3132" s="61"/>
      <c r="C3132" s="61"/>
    </row>
    <row r="3133">
      <c r="A3133" s="50"/>
      <c r="B3133" s="61"/>
      <c r="C3133" s="61"/>
    </row>
    <row r="3134">
      <c r="A3134" s="50"/>
      <c r="B3134" s="61"/>
      <c r="C3134" s="61"/>
    </row>
    <row r="3135">
      <c r="A3135" s="50"/>
      <c r="B3135" s="61"/>
      <c r="C3135" s="61"/>
    </row>
    <row r="3136">
      <c r="A3136" s="50"/>
      <c r="B3136" s="61"/>
      <c r="C3136" s="61"/>
    </row>
    <row r="3137">
      <c r="A3137" s="50"/>
      <c r="B3137" s="61"/>
      <c r="C3137" s="61"/>
    </row>
    <row r="3138">
      <c r="A3138" s="50"/>
      <c r="B3138" s="61"/>
      <c r="C3138" s="61"/>
    </row>
    <row r="3139">
      <c r="A3139" s="50"/>
      <c r="B3139" s="61"/>
      <c r="C3139" s="61"/>
    </row>
    <row r="3140">
      <c r="A3140" s="50"/>
      <c r="B3140" s="61"/>
      <c r="C3140" s="61"/>
    </row>
    <row r="3141">
      <c r="A3141" s="50"/>
      <c r="B3141" s="61"/>
      <c r="C3141" s="61"/>
    </row>
    <row r="3142">
      <c r="A3142" s="50"/>
      <c r="B3142" s="61"/>
      <c r="C3142" s="61"/>
    </row>
    <row r="3143">
      <c r="A3143" s="50"/>
      <c r="B3143" s="61"/>
      <c r="C3143" s="61"/>
    </row>
    <row r="3144">
      <c r="A3144" s="50"/>
      <c r="B3144" s="61"/>
      <c r="C3144" s="61"/>
    </row>
    <row r="3145">
      <c r="A3145" s="50"/>
      <c r="B3145" s="61"/>
      <c r="C3145" s="61"/>
    </row>
    <row r="3146">
      <c r="A3146" s="50"/>
      <c r="B3146" s="61"/>
      <c r="C3146" s="61"/>
    </row>
    <row r="3147">
      <c r="A3147" s="50"/>
      <c r="B3147" s="61"/>
      <c r="C3147" s="61"/>
    </row>
    <row r="3148">
      <c r="A3148" s="50"/>
      <c r="B3148" s="61"/>
      <c r="C3148" s="61"/>
    </row>
    <row r="3149">
      <c r="A3149" s="50"/>
      <c r="B3149" s="61"/>
      <c r="C3149" s="61"/>
    </row>
    <row r="3150">
      <c r="A3150" s="50"/>
      <c r="B3150" s="61"/>
      <c r="C3150" s="61"/>
    </row>
    <row r="3151">
      <c r="A3151" s="50"/>
      <c r="B3151" s="61"/>
      <c r="C3151" s="61"/>
    </row>
    <row r="3152">
      <c r="A3152" s="50"/>
      <c r="B3152" s="61"/>
      <c r="C3152" s="61"/>
    </row>
    <row r="3153">
      <c r="A3153" s="50"/>
      <c r="B3153" s="61"/>
      <c r="C3153" s="61"/>
    </row>
    <row r="3154">
      <c r="A3154" s="50"/>
      <c r="B3154" s="61"/>
      <c r="C3154" s="61"/>
    </row>
    <row r="3155">
      <c r="A3155" s="50"/>
      <c r="B3155" s="61"/>
      <c r="C3155" s="61"/>
    </row>
    <row r="3156">
      <c r="A3156" s="50"/>
      <c r="B3156" s="61"/>
      <c r="C3156" s="61"/>
    </row>
    <row r="3157">
      <c r="A3157" s="50"/>
      <c r="B3157" s="61"/>
      <c r="C3157" s="61"/>
    </row>
    <row r="3158">
      <c r="A3158" s="50"/>
      <c r="B3158" s="61"/>
      <c r="C3158" s="61"/>
    </row>
    <row r="3159">
      <c r="A3159" s="50"/>
      <c r="B3159" s="61"/>
      <c r="C3159" s="61"/>
    </row>
    <row r="3160">
      <c r="A3160" s="50"/>
      <c r="B3160" s="61"/>
      <c r="C3160" s="61"/>
    </row>
    <row r="3161">
      <c r="A3161" s="50"/>
      <c r="B3161" s="61"/>
      <c r="C3161" s="61"/>
    </row>
    <row r="3162">
      <c r="A3162" s="50"/>
      <c r="B3162" s="61"/>
      <c r="C3162" s="61"/>
    </row>
    <row r="3163">
      <c r="A3163" s="50"/>
      <c r="B3163" s="61"/>
      <c r="C3163" s="61"/>
    </row>
    <row r="3164">
      <c r="A3164" s="50"/>
      <c r="B3164" s="61"/>
      <c r="C3164" s="61"/>
    </row>
    <row r="3165">
      <c r="A3165" s="50"/>
      <c r="B3165" s="61"/>
      <c r="C3165" s="61"/>
    </row>
    <row r="3166">
      <c r="A3166" s="50"/>
      <c r="B3166" s="61"/>
      <c r="C3166" s="61"/>
    </row>
    <row r="3167">
      <c r="A3167" s="50"/>
      <c r="B3167" s="61"/>
      <c r="C3167" s="61"/>
    </row>
    <row r="3168">
      <c r="A3168" s="50"/>
      <c r="B3168" s="61"/>
      <c r="C3168" s="61"/>
    </row>
    <row r="3169">
      <c r="A3169" s="50"/>
      <c r="B3169" s="61"/>
      <c r="C3169" s="61"/>
    </row>
    <row r="3170">
      <c r="A3170" s="50"/>
      <c r="B3170" s="61"/>
      <c r="C3170" s="61"/>
    </row>
    <row r="3171">
      <c r="A3171" s="50"/>
      <c r="B3171" s="61"/>
      <c r="C3171" s="61"/>
    </row>
    <row r="3172">
      <c r="A3172" s="50"/>
      <c r="B3172" s="61"/>
      <c r="C3172" s="61"/>
    </row>
    <row r="3173">
      <c r="A3173" s="50"/>
      <c r="B3173" s="61"/>
      <c r="C3173" s="61"/>
    </row>
    <row r="3174">
      <c r="A3174" s="50"/>
      <c r="B3174" s="61"/>
      <c r="C3174" s="61"/>
    </row>
    <row r="3175">
      <c r="A3175" s="50"/>
      <c r="B3175" s="61"/>
      <c r="C3175" s="61"/>
    </row>
    <row r="3176">
      <c r="A3176" s="50"/>
      <c r="B3176" s="61"/>
      <c r="C3176" s="61"/>
    </row>
    <row r="3177">
      <c r="A3177" s="50"/>
      <c r="B3177" s="61"/>
      <c r="C3177" s="61"/>
    </row>
    <row r="3178">
      <c r="A3178" s="50"/>
      <c r="B3178" s="61"/>
      <c r="C3178" s="61"/>
    </row>
    <row r="3179">
      <c r="A3179" s="50"/>
      <c r="B3179" s="61"/>
      <c r="C3179" s="61"/>
    </row>
    <row r="3180">
      <c r="A3180" s="50"/>
      <c r="B3180" s="61"/>
      <c r="C3180" s="61"/>
    </row>
    <row r="3181">
      <c r="A3181" s="50"/>
      <c r="B3181" s="61"/>
      <c r="C3181" s="61"/>
    </row>
    <row r="3182">
      <c r="A3182" s="50"/>
      <c r="B3182" s="61"/>
      <c r="C3182" s="61"/>
    </row>
    <row r="3183">
      <c r="A3183" s="50"/>
      <c r="B3183" s="61"/>
      <c r="C3183" s="61"/>
    </row>
    <row r="3184">
      <c r="A3184" s="50"/>
      <c r="B3184" s="61"/>
      <c r="C3184" s="61"/>
    </row>
    <row r="3185">
      <c r="A3185" s="50"/>
      <c r="B3185" s="61"/>
      <c r="C3185" s="61"/>
    </row>
    <row r="3186">
      <c r="A3186" s="50"/>
      <c r="B3186" s="61"/>
      <c r="C3186" s="61"/>
    </row>
    <row r="3187">
      <c r="A3187" s="50"/>
      <c r="B3187" s="61"/>
      <c r="C3187" s="61"/>
    </row>
    <row r="3188">
      <c r="A3188" s="50"/>
      <c r="B3188" s="61"/>
      <c r="C3188" s="61"/>
    </row>
    <row r="3189">
      <c r="A3189" s="50"/>
      <c r="B3189" s="61"/>
      <c r="C3189" s="61"/>
    </row>
    <row r="3190">
      <c r="A3190" s="50"/>
      <c r="B3190" s="61"/>
      <c r="C3190" s="61"/>
    </row>
    <row r="3191">
      <c r="A3191" s="50"/>
      <c r="B3191" s="61"/>
      <c r="C3191" s="61"/>
    </row>
    <row r="3192">
      <c r="A3192" s="50"/>
      <c r="B3192" s="61"/>
      <c r="C3192" s="61"/>
    </row>
    <row r="3193">
      <c r="A3193" s="50"/>
      <c r="B3193" s="61"/>
      <c r="C3193" s="61"/>
    </row>
    <row r="3194">
      <c r="A3194" s="50"/>
      <c r="B3194" s="61"/>
      <c r="C3194" s="61"/>
    </row>
    <row r="3195">
      <c r="A3195" s="50"/>
      <c r="B3195" s="61"/>
      <c r="C3195" s="61"/>
    </row>
    <row r="3196">
      <c r="A3196" s="50"/>
      <c r="B3196" s="61"/>
      <c r="C3196" s="61"/>
    </row>
    <row r="3197">
      <c r="A3197" s="50"/>
      <c r="B3197" s="61"/>
      <c r="C3197" s="61"/>
    </row>
    <row r="3198">
      <c r="A3198" s="50"/>
      <c r="B3198" s="61"/>
      <c r="C3198" s="61"/>
    </row>
    <row r="3199">
      <c r="A3199" s="50"/>
      <c r="B3199" s="61"/>
      <c r="C3199" s="61"/>
    </row>
    <row r="3200">
      <c r="A3200" s="50"/>
      <c r="B3200" s="61"/>
      <c r="C3200" s="61"/>
    </row>
    <row r="3201">
      <c r="A3201" s="50"/>
      <c r="B3201" s="61"/>
      <c r="C3201" s="61"/>
    </row>
    <row r="3202">
      <c r="A3202" s="50"/>
      <c r="B3202" s="61"/>
      <c r="C3202" s="61"/>
    </row>
    <row r="3203">
      <c r="A3203" s="50"/>
      <c r="B3203" s="61"/>
      <c r="C3203" s="61"/>
    </row>
    <row r="3204">
      <c r="A3204" s="50"/>
      <c r="B3204" s="61"/>
      <c r="C3204" s="61"/>
    </row>
    <row r="3205">
      <c r="A3205" s="50"/>
      <c r="B3205" s="61"/>
      <c r="C3205" s="61"/>
    </row>
    <row r="3206">
      <c r="A3206" s="50"/>
      <c r="B3206" s="61"/>
      <c r="C3206" s="61"/>
    </row>
    <row r="3207">
      <c r="A3207" s="50"/>
      <c r="B3207" s="61"/>
      <c r="C3207" s="61"/>
    </row>
    <row r="3208">
      <c r="A3208" s="50"/>
      <c r="B3208" s="61"/>
      <c r="C3208" s="61"/>
    </row>
    <row r="3209">
      <c r="A3209" s="50"/>
      <c r="B3209" s="61"/>
      <c r="C3209" s="61"/>
    </row>
    <row r="3210">
      <c r="A3210" s="50"/>
      <c r="B3210" s="61"/>
      <c r="C3210" s="61"/>
    </row>
    <row r="3211">
      <c r="A3211" s="50"/>
      <c r="B3211" s="61"/>
      <c r="C3211" s="61"/>
    </row>
    <row r="3212">
      <c r="A3212" s="50"/>
      <c r="B3212" s="61"/>
      <c r="C3212" s="61"/>
    </row>
    <row r="3213">
      <c r="A3213" s="50"/>
      <c r="B3213" s="61"/>
      <c r="C3213" s="61"/>
    </row>
    <row r="3214">
      <c r="A3214" s="50"/>
      <c r="B3214" s="61"/>
      <c r="C3214" s="61"/>
    </row>
    <row r="3215">
      <c r="A3215" s="50"/>
      <c r="B3215" s="61"/>
      <c r="C3215" s="61"/>
    </row>
    <row r="3216">
      <c r="A3216" s="50"/>
      <c r="B3216" s="61"/>
      <c r="C3216" s="61"/>
    </row>
    <row r="3217">
      <c r="A3217" s="50"/>
      <c r="B3217" s="61"/>
      <c r="C3217" s="61"/>
    </row>
    <row r="3218">
      <c r="A3218" s="50"/>
      <c r="B3218" s="61"/>
      <c r="C3218" s="61"/>
    </row>
    <row r="3219">
      <c r="A3219" s="50"/>
      <c r="B3219" s="61"/>
      <c r="C3219" s="61"/>
    </row>
    <row r="3220">
      <c r="A3220" s="50"/>
      <c r="B3220" s="61"/>
      <c r="C3220" s="61"/>
    </row>
    <row r="3221">
      <c r="A3221" s="50"/>
      <c r="B3221" s="61"/>
      <c r="C3221" s="61"/>
    </row>
    <row r="3222">
      <c r="A3222" s="50"/>
      <c r="B3222" s="61"/>
      <c r="C3222" s="61"/>
    </row>
    <row r="3223">
      <c r="A3223" s="50"/>
      <c r="B3223" s="61"/>
      <c r="C3223" s="61"/>
    </row>
    <row r="3224">
      <c r="A3224" s="50"/>
      <c r="B3224" s="61"/>
      <c r="C3224" s="61"/>
    </row>
    <row r="3225">
      <c r="A3225" s="50"/>
      <c r="B3225" s="61"/>
      <c r="C3225" s="61"/>
    </row>
    <row r="3226">
      <c r="A3226" s="50"/>
      <c r="B3226" s="61"/>
      <c r="C3226" s="61"/>
    </row>
    <row r="3227">
      <c r="A3227" s="50"/>
      <c r="B3227" s="61"/>
      <c r="C3227" s="61"/>
    </row>
    <row r="3228">
      <c r="A3228" s="50"/>
      <c r="B3228" s="61"/>
      <c r="C3228" s="61"/>
    </row>
    <row r="3229">
      <c r="A3229" s="50"/>
      <c r="B3229" s="61"/>
      <c r="C3229" s="61"/>
    </row>
    <row r="3230">
      <c r="A3230" s="50"/>
      <c r="B3230" s="61"/>
      <c r="C3230" s="61"/>
    </row>
    <row r="3231">
      <c r="A3231" s="50"/>
      <c r="B3231" s="61"/>
      <c r="C3231" s="61"/>
    </row>
    <row r="3232">
      <c r="A3232" s="50"/>
      <c r="B3232" s="61"/>
      <c r="C3232" s="61"/>
    </row>
    <row r="3233">
      <c r="A3233" s="50"/>
      <c r="B3233" s="61"/>
      <c r="C3233" s="61"/>
    </row>
    <row r="3234">
      <c r="A3234" s="50"/>
      <c r="B3234" s="61"/>
      <c r="C3234" s="61"/>
    </row>
    <row r="3235">
      <c r="A3235" s="50"/>
      <c r="B3235" s="61"/>
      <c r="C3235" s="61"/>
    </row>
    <row r="3236">
      <c r="A3236" s="50"/>
      <c r="B3236" s="61"/>
      <c r="C3236" s="61"/>
    </row>
    <row r="3237">
      <c r="A3237" s="50"/>
      <c r="B3237" s="61"/>
      <c r="C3237" s="61"/>
    </row>
    <row r="3238">
      <c r="A3238" s="50"/>
      <c r="B3238" s="61"/>
      <c r="C3238" s="61"/>
    </row>
    <row r="3239">
      <c r="A3239" s="50"/>
      <c r="B3239" s="61"/>
      <c r="C3239" s="61"/>
    </row>
    <row r="3240">
      <c r="A3240" s="50"/>
      <c r="B3240" s="61"/>
      <c r="C3240" s="61"/>
    </row>
    <row r="3241">
      <c r="A3241" s="50"/>
      <c r="B3241" s="61"/>
      <c r="C3241" s="61"/>
    </row>
    <row r="3242">
      <c r="A3242" s="50"/>
      <c r="B3242" s="61"/>
      <c r="C3242" s="61"/>
    </row>
    <row r="3243">
      <c r="A3243" s="50"/>
      <c r="B3243" s="61"/>
      <c r="C3243" s="61"/>
    </row>
    <row r="3244">
      <c r="A3244" s="50"/>
      <c r="B3244" s="61"/>
      <c r="C3244" s="61"/>
    </row>
    <row r="3245">
      <c r="A3245" s="50"/>
      <c r="B3245" s="61"/>
      <c r="C3245" s="61"/>
    </row>
    <row r="3246">
      <c r="A3246" s="50"/>
      <c r="B3246" s="61"/>
      <c r="C3246" s="61"/>
    </row>
    <row r="3247">
      <c r="A3247" s="50"/>
      <c r="B3247" s="61"/>
      <c r="C3247" s="61"/>
    </row>
    <row r="3248">
      <c r="A3248" s="50"/>
      <c r="B3248" s="61"/>
      <c r="C3248" s="61"/>
    </row>
    <row r="3249">
      <c r="A3249" s="50"/>
      <c r="B3249" s="61"/>
      <c r="C3249" s="61"/>
    </row>
    <row r="3250">
      <c r="A3250" s="50"/>
      <c r="B3250" s="61"/>
      <c r="C3250" s="61"/>
    </row>
    <row r="3251">
      <c r="A3251" s="50"/>
      <c r="B3251" s="61"/>
      <c r="C3251" s="61"/>
    </row>
    <row r="3252">
      <c r="A3252" s="50"/>
      <c r="B3252" s="61"/>
      <c r="C3252" s="61"/>
    </row>
    <row r="3253">
      <c r="A3253" s="50"/>
      <c r="B3253" s="61"/>
      <c r="C3253" s="61"/>
    </row>
    <row r="3254">
      <c r="A3254" s="50"/>
      <c r="B3254" s="61"/>
      <c r="C3254" s="61"/>
    </row>
    <row r="3255">
      <c r="A3255" s="50"/>
      <c r="B3255" s="61"/>
      <c r="C3255" s="61"/>
    </row>
    <row r="3256">
      <c r="A3256" s="50"/>
      <c r="B3256" s="61"/>
      <c r="C3256" s="61"/>
    </row>
    <row r="3257">
      <c r="A3257" s="50"/>
      <c r="B3257" s="61"/>
      <c r="C3257" s="61"/>
    </row>
    <row r="3258">
      <c r="A3258" s="50"/>
      <c r="B3258" s="61"/>
      <c r="C3258" s="61"/>
    </row>
    <row r="3259">
      <c r="A3259" s="50"/>
      <c r="B3259" s="61"/>
      <c r="C3259" s="61"/>
    </row>
    <row r="3260">
      <c r="A3260" s="50"/>
      <c r="B3260" s="61"/>
      <c r="C3260" s="61"/>
    </row>
    <row r="3261">
      <c r="A3261" s="50"/>
      <c r="B3261" s="61"/>
      <c r="C3261" s="61"/>
    </row>
    <row r="3262">
      <c r="A3262" s="50"/>
      <c r="B3262" s="61"/>
      <c r="C3262" s="61"/>
    </row>
    <row r="3263">
      <c r="A3263" s="50"/>
      <c r="B3263" s="61"/>
      <c r="C3263" s="61"/>
    </row>
    <row r="3264">
      <c r="A3264" s="50"/>
      <c r="B3264" s="61"/>
      <c r="C3264" s="61"/>
    </row>
    <row r="3265">
      <c r="A3265" s="50"/>
      <c r="B3265" s="61"/>
      <c r="C3265" s="61"/>
    </row>
    <row r="3266">
      <c r="A3266" s="50"/>
      <c r="B3266" s="61"/>
      <c r="C3266" s="61"/>
    </row>
    <row r="3267">
      <c r="A3267" s="50"/>
      <c r="B3267" s="61"/>
      <c r="C3267" s="61"/>
    </row>
    <row r="3268">
      <c r="A3268" s="50"/>
      <c r="B3268" s="61"/>
      <c r="C3268" s="61"/>
    </row>
    <row r="3269">
      <c r="A3269" s="50"/>
      <c r="B3269" s="61"/>
      <c r="C3269" s="61"/>
    </row>
    <row r="3270">
      <c r="A3270" s="50"/>
      <c r="B3270" s="61"/>
      <c r="C3270" s="61"/>
    </row>
    <row r="3271">
      <c r="A3271" s="50"/>
      <c r="B3271" s="61"/>
      <c r="C3271" s="61"/>
    </row>
    <row r="3272">
      <c r="A3272" s="50"/>
      <c r="B3272" s="61"/>
      <c r="C3272" s="61"/>
    </row>
    <row r="3273">
      <c r="A3273" s="50"/>
      <c r="B3273" s="61"/>
      <c r="C3273" s="61"/>
    </row>
    <row r="3274">
      <c r="A3274" s="50"/>
      <c r="B3274" s="61"/>
      <c r="C3274" s="61"/>
    </row>
    <row r="3275">
      <c r="A3275" s="50"/>
      <c r="B3275" s="61"/>
      <c r="C3275" s="61"/>
    </row>
    <row r="3276">
      <c r="A3276" s="50"/>
      <c r="B3276" s="61"/>
      <c r="C3276" s="61"/>
    </row>
    <row r="3277">
      <c r="A3277" s="50"/>
      <c r="B3277" s="61"/>
      <c r="C3277" s="61"/>
    </row>
    <row r="3278">
      <c r="A3278" s="50"/>
      <c r="B3278" s="61"/>
      <c r="C3278" s="61"/>
    </row>
    <row r="3279">
      <c r="A3279" s="50"/>
      <c r="B3279" s="61"/>
      <c r="C3279" s="61"/>
    </row>
    <row r="3280">
      <c r="A3280" s="50"/>
      <c r="B3280" s="61"/>
      <c r="C3280" s="61"/>
    </row>
    <row r="3281">
      <c r="A3281" s="50"/>
      <c r="B3281" s="61"/>
      <c r="C3281" s="61"/>
    </row>
    <row r="3282">
      <c r="A3282" s="50"/>
      <c r="B3282" s="61"/>
      <c r="C3282" s="61"/>
    </row>
    <row r="3283">
      <c r="A3283" s="50"/>
      <c r="B3283" s="61"/>
      <c r="C3283" s="61"/>
    </row>
    <row r="3284">
      <c r="A3284" s="50"/>
      <c r="B3284" s="61"/>
      <c r="C3284" s="61"/>
    </row>
    <row r="3285">
      <c r="A3285" s="50"/>
      <c r="B3285" s="61"/>
      <c r="C3285" s="61"/>
    </row>
    <row r="3286">
      <c r="A3286" s="50"/>
      <c r="B3286" s="61"/>
      <c r="C3286" s="61"/>
    </row>
    <row r="3287">
      <c r="A3287" s="50"/>
      <c r="B3287" s="61"/>
      <c r="C3287" s="61"/>
    </row>
    <row r="3288">
      <c r="A3288" s="50"/>
      <c r="B3288" s="61"/>
      <c r="C3288" s="61"/>
    </row>
    <row r="3289">
      <c r="A3289" s="50"/>
      <c r="B3289" s="61"/>
      <c r="C3289" s="61"/>
    </row>
    <row r="3290">
      <c r="A3290" s="50"/>
      <c r="B3290" s="61"/>
      <c r="C3290" s="61"/>
    </row>
    <row r="3291">
      <c r="A3291" s="50"/>
      <c r="B3291" s="61"/>
      <c r="C3291" s="61"/>
    </row>
    <row r="3292">
      <c r="A3292" s="50"/>
      <c r="B3292" s="61"/>
      <c r="C3292" s="61"/>
    </row>
    <row r="3293">
      <c r="A3293" s="50"/>
      <c r="B3293" s="61"/>
      <c r="C3293" s="61"/>
    </row>
    <row r="3294">
      <c r="A3294" s="50"/>
      <c r="B3294" s="61"/>
      <c r="C3294" s="61"/>
    </row>
    <row r="3295">
      <c r="A3295" s="50"/>
      <c r="B3295" s="61"/>
      <c r="C3295" s="61"/>
    </row>
    <row r="3296">
      <c r="A3296" s="50"/>
      <c r="B3296" s="61"/>
      <c r="C3296" s="61"/>
    </row>
    <row r="3297">
      <c r="A3297" s="50"/>
      <c r="B3297" s="61"/>
      <c r="C3297" s="61"/>
    </row>
    <row r="3298">
      <c r="A3298" s="50"/>
      <c r="B3298" s="61"/>
      <c r="C3298" s="61"/>
    </row>
    <row r="3299">
      <c r="A3299" s="50"/>
      <c r="B3299" s="61"/>
      <c r="C3299" s="61"/>
    </row>
    <row r="3300">
      <c r="A3300" s="50"/>
      <c r="B3300" s="61"/>
      <c r="C3300" s="61"/>
    </row>
    <row r="3301">
      <c r="A3301" s="50"/>
      <c r="B3301" s="61"/>
      <c r="C3301" s="61"/>
    </row>
    <row r="3302">
      <c r="A3302" s="50"/>
      <c r="B3302" s="61"/>
      <c r="C3302" s="61"/>
    </row>
    <row r="3303">
      <c r="A3303" s="50"/>
      <c r="B3303" s="61"/>
      <c r="C3303" s="61"/>
    </row>
    <row r="3304">
      <c r="A3304" s="50"/>
      <c r="B3304" s="61"/>
      <c r="C3304" s="61"/>
    </row>
    <row r="3305">
      <c r="A3305" s="50"/>
      <c r="B3305" s="61"/>
      <c r="C3305" s="61"/>
    </row>
    <row r="3306">
      <c r="A3306" s="50"/>
      <c r="B3306" s="61"/>
      <c r="C3306" s="61"/>
    </row>
    <row r="3307">
      <c r="A3307" s="50"/>
      <c r="B3307" s="61"/>
      <c r="C3307" s="61"/>
    </row>
    <row r="3308">
      <c r="A3308" s="50"/>
      <c r="B3308" s="61"/>
      <c r="C3308" s="61"/>
    </row>
    <row r="3309">
      <c r="A3309" s="50"/>
      <c r="B3309" s="61"/>
      <c r="C3309" s="61"/>
    </row>
    <row r="3310">
      <c r="A3310" s="50"/>
      <c r="B3310" s="61"/>
      <c r="C3310" s="61"/>
    </row>
    <row r="3311">
      <c r="A3311" s="50"/>
      <c r="B3311" s="61"/>
      <c r="C3311" s="61"/>
    </row>
    <row r="3312">
      <c r="A3312" s="50"/>
      <c r="B3312" s="61"/>
      <c r="C3312" s="61"/>
    </row>
  </sheetData>
  <mergeCells count="3">
    <mergeCell ref="K2:N2"/>
    <mergeCell ref="F5:I5"/>
    <mergeCell ref="K7:N7"/>
  </mergeCells>
  <drawing r:id="rId1"/>
  <tableParts count="2">
    <tablePart r:id="rId4"/>
    <tablePart r:id="rId5"/>
  </tableParts>
</worksheet>
</file>