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Nazar\Downloads\"/>
    </mc:Choice>
  </mc:AlternateContent>
  <xr:revisionPtr revIDLastSave="0" documentId="8_{91EC24DC-D0AB-4060-A0DC-5F7798EEB5B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CF" sheetId="1" r:id="rId1"/>
    <sheet name="WACC cal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H2" i="1"/>
  <c r="B23" i="1"/>
  <c r="B20" i="1"/>
  <c r="J8" i="1"/>
  <c r="I8" i="1"/>
  <c r="G8" i="1"/>
  <c r="C26" i="1"/>
  <c r="F26" i="1"/>
  <c r="E26" i="1"/>
  <c r="D26" i="1"/>
  <c r="B26" i="1"/>
  <c r="I10" i="1"/>
  <c r="C23" i="1"/>
  <c r="C16" i="1"/>
  <c r="I4" i="1"/>
  <c r="J4" i="1"/>
  <c r="H4" i="1"/>
  <c r="Q2" i="1"/>
  <c r="Q5" i="1"/>
  <c r="R5" i="1"/>
  <c r="R2" i="1"/>
  <c r="C17" i="1"/>
  <c r="C15" i="1"/>
  <c r="I3" i="1"/>
  <c r="H3" i="1"/>
  <c r="B6" i="2"/>
  <c r="B7" i="2" s="1"/>
  <c r="B3" i="1"/>
  <c r="F9" i="1"/>
  <c r="G7" i="1"/>
  <c r="H7" i="1" s="1"/>
  <c r="I7" i="1" s="1"/>
  <c r="J11" i="1"/>
  <c r="I2" i="1"/>
  <c r="M4" i="1"/>
  <c r="M3" i="1"/>
  <c r="G9" i="1"/>
  <c r="G10" i="1" s="1"/>
  <c r="B16" i="1"/>
  <c r="G6" i="1"/>
  <c r="C20" i="1" l="1"/>
  <c r="D23" i="1"/>
  <c r="H5" i="1"/>
  <c r="I5" i="1"/>
  <c r="I9" i="1" s="1"/>
  <c r="I6" i="1"/>
  <c r="H6" i="1"/>
  <c r="B14" i="1"/>
  <c r="J2" i="1"/>
  <c r="B15" i="1"/>
  <c r="J3" i="1"/>
  <c r="C18" i="1"/>
  <c r="C14" i="1"/>
  <c r="C21" i="1" s="1"/>
  <c r="C22" i="1" s="1"/>
  <c r="C27" i="1" s="1"/>
  <c r="B19" i="1"/>
  <c r="C19" i="1" s="1"/>
  <c r="D19" i="1" s="1"/>
  <c r="E19" i="1" s="1"/>
  <c r="F19" i="1" s="1"/>
  <c r="J7" i="1"/>
  <c r="D20" i="1" l="1"/>
  <c r="E23" i="1"/>
  <c r="D16" i="1"/>
  <c r="D15" i="1"/>
  <c r="D18" i="1"/>
  <c r="D17" i="1"/>
  <c r="D14" i="1"/>
  <c r="D21" i="1" s="1"/>
  <c r="B18" i="1"/>
  <c r="J6" i="1"/>
  <c r="B17" i="1"/>
  <c r="J5" i="1"/>
  <c r="H9" i="1"/>
  <c r="B21" i="1" l="1"/>
  <c r="J9" i="1"/>
  <c r="J10" i="1" s="1"/>
  <c r="D22" i="1"/>
  <c r="D27" i="1" s="1"/>
  <c r="E20" i="1"/>
  <c r="F23" i="1"/>
  <c r="F20" i="1" s="1"/>
  <c r="E16" i="1"/>
  <c r="E15" i="1"/>
  <c r="H10" i="1"/>
  <c r="B22" i="1" s="1"/>
  <c r="E18" i="1"/>
  <c r="E17" i="1"/>
  <c r="E14" i="1"/>
  <c r="E21" i="1" s="1"/>
  <c r="E22" i="1" s="1"/>
  <c r="E27" i="1" s="1"/>
  <c r="F16" i="1" l="1"/>
  <c r="F15" i="1"/>
  <c r="F18" i="1"/>
  <c r="F17" i="1"/>
  <c r="F14" i="1"/>
  <c r="F21" i="1" s="1"/>
  <c r="B27" i="1"/>
  <c r="F22" i="1" l="1"/>
  <c r="F27" i="1" s="1"/>
  <c r="G27" i="1" l="1"/>
  <c r="B28" i="1" s="1"/>
  <c r="B29" i="1" s="1"/>
  <c r="B31" i="1" s="1"/>
  <c r="B32" i="1" s="1"/>
  <c r="B35" i="1" s="1"/>
</calcChain>
</file>

<file path=xl/sharedStrings.xml><?xml version="1.0" encoding="utf-8"?>
<sst xmlns="http://schemas.openxmlformats.org/spreadsheetml/2006/main" count="87" uniqueCount="73">
  <si>
    <t>Adobe numbers</t>
  </si>
  <si>
    <t>Assumptions</t>
  </si>
  <si>
    <t>Q1</t>
  </si>
  <si>
    <t>Q2</t>
  </si>
  <si>
    <t>Q3 (guide)</t>
  </si>
  <si>
    <t>Q4(guide)</t>
  </si>
  <si>
    <t>25FY</t>
  </si>
  <si>
    <t>Margins</t>
  </si>
  <si>
    <t>Comments</t>
  </si>
  <si>
    <t>25FY margins</t>
  </si>
  <si>
    <t>Shares outstanding (mm)</t>
  </si>
  <si>
    <t>WACC</t>
  </si>
  <si>
    <t>Gross (mln)</t>
  </si>
  <si>
    <t xml:space="preserve">Gross </t>
  </si>
  <si>
    <t>margins-historical context</t>
  </si>
  <si>
    <t>R&amp;D</t>
  </si>
  <si>
    <t>NET debt</t>
  </si>
  <si>
    <t>terminal growth</t>
  </si>
  <si>
    <t>OPEX:R&amp;D(mln)</t>
  </si>
  <si>
    <t>G&amp;A</t>
  </si>
  <si>
    <t>delWC used 2024 avg</t>
  </si>
  <si>
    <t>Effective Tax rate</t>
  </si>
  <si>
    <t>OPEX:S&amp;M(mln)</t>
  </si>
  <si>
    <t>D&amp;a</t>
  </si>
  <si>
    <t>net debt - from balance sheet. Short/Long debt - cash</t>
  </si>
  <si>
    <t>Beta</t>
  </si>
  <si>
    <t>OPEX:G&amp;A(mln)</t>
  </si>
  <si>
    <t>CapEx(acc gr rate)</t>
  </si>
  <si>
    <t>revenue - guidance from transcript</t>
  </si>
  <si>
    <t>S&amp;M</t>
  </si>
  <si>
    <t>revenue growth</t>
  </si>
  <si>
    <t>D&amp;A(mln)</t>
  </si>
  <si>
    <t>delWC</t>
  </si>
  <si>
    <t xml:space="preserve">Guidance on R&amp;D was increasing, hence will take 19% of rev </t>
  </si>
  <si>
    <t>CapEx(mln)</t>
  </si>
  <si>
    <t>valuation assumes no substantial increase from AI implementation</t>
  </si>
  <si>
    <t>delWC(*-1)</t>
  </si>
  <si>
    <t>Revenue growth - assume same growth as recent years (no AI improvements)</t>
  </si>
  <si>
    <t>taxed</t>
  </si>
  <si>
    <t>UFCF</t>
  </si>
  <si>
    <t>revenue</t>
  </si>
  <si>
    <t>Projections (5Y)</t>
  </si>
  <si>
    <t>26FY</t>
  </si>
  <si>
    <t>27FY</t>
  </si>
  <si>
    <t>28FY</t>
  </si>
  <si>
    <t>29FY</t>
  </si>
  <si>
    <t>30FY (g)</t>
  </si>
  <si>
    <t>Gross</t>
  </si>
  <si>
    <t>delWC (*-1)</t>
  </si>
  <si>
    <t>Discount</t>
  </si>
  <si>
    <t>DCF</t>
  </si>
  <si>
    <t>TV(discounted)</t>
  </si>
  <si>
    <t>EV</t>
  </si>
  <si>
    <t>Equity value</t>
  </si>
  <si>
    <t>Stock price</t>
  </si>
  <si>
    <t>sensitivity grid</t>
  </si>
  <si>
    <t>Notes</t>
  </si>
  <si>
    <t xml:space="preserve">beta </t>
  </si>
  <si>
    <t>(for the past 2y to exlude irrelevant transitions, covid bubble etc)</t>
  </si>
  <si>
    <t>R_f (risk free rate, %)</t>
  </si>
  <si>
    <t>(US 10-y treasury bond)</t>
  </si>
  <si>
    <t>R_m(market risk,%)</t>
  </si>
  <si>
    <t>historical return of US equities</t>
  </si>
  <si>
    <t>R_d (cost of debt, %)</t>
  </si>
  <si>
    <t>(weighted avg of bonds by market value)</t>
  </si>
  <si>
    <t>R_e (cost of equity)</t>
  </si>
  <si>
    <t>WACC %</t>
  </si>
  <si>
    <t>(1-0.2) - tax shield. Insignifact anyway | disregard calc. use consensus</t>
  </si>
  <si>
    <t>Net debt (mln)</t>
  </si>
  <si>
    <t>(balance sheet Q2)</t>
  </si>
  <si>
    <t>E(market cap, mln)</t>
  </si>
  <si>
    <t>Current price * current shares outstanding</t>
  </si>
  <si>
    <t>g/WACC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</si>
</sst>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1"/>
      <color rgb="FF000000"/>
      <name val="Aptos Narrow"/>
    </font>
    <font>
      <b/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B35" sqref="B35"/>
    </sheetView>
  </sheetViews>
  <sheetFormatPr defaultRowHeight="14.5" x14ac:dyDescent="0.35"/>
  <cols>
    <col min="1" max="1" width="22.26953125" customWidth="1"/>
    <col min="2" max="2" width="18.7265625" customWidth="1"/>
    <col min="3" max="3" width="23.1796875" customWidth="1"/>
    <col min="4" max="4" width="19.54296875" customWidth="1"/>
    <col min="5" max="5" width="20" customWidth="1"/>
    <col min="6" max="6" width="16.453125" customWidth="1"/>
    <col min="12" max="12" width="15.81640625" customWidth="1"/>
    <col min="15" max="15" width="68.54296875" customWidth="1"/>
    <col min="16" max="16" width="14.1796875" customWidth="1"/>
  </cols>
  <sheetData>
    <row r="1" spans="1:18" x14ac:dyDescent="0.35">
      <c r="A1" s="5" t="s">
        <v>0</v>
      </c>
      <c r="B1" s="2"/>
      <c r="C1" s="3" t="s">
        <v>1</v>
      </c>
      <c r="D1" s="3"/>
      <c r="F1" t="s">
        <v>2</v>
      </c>
      <c r="G1" t="s">
        <v>3</v>
      </c>
      <c r="H1" t="s">
        <v>4</v>
      </c>
      <c r="I1" t="s">
        <v>5</v>
      </c>
      <c r="J1" t="s">
        <v>6</v>
      </c>
      <c r="M1" t="s">
        <v>7</v>
      </c>
      <c r="O1" t="s">
        <v>8</v>
      </c>
      <c r="P1" t="s">
        <v>9</v>
      </c>
      <c r="Q1" t="s">
        <v>2</v>
      </c>
      <c r="R1" t="s">
        <v>3</v>
      </c>
    </row>
    <row r="2" spans="1:18" x14ac:dyDescent="0.35">
      <c r="A2" t="s">
        <v>10</v>
      </c>
      <c r="B2">
        <v>427</v>
      </c>
      <c r="C2" t="s">
        <v>11</v>
      </c>
      <c r="D2">
        <v>9.7299999999999998E-2</v>
      </c>
      <c r="E2" t="s">
        <v>12</v>
      </c>
      <c r="F2" s="4">
        <v>5092</v>
      </c>
      <c r="G2">
        <v>5235</v>
      </c>
      <c r="H2">
        <f>H11*$M2</f>
        <v>5192</v>
      </c>
      <c r="I2">
        <f>I11*$M2</f>
        <v>6444.24</v>
      </c>
      <c r="J2" s="4">
        <f>SUM(F2:I2)</f>
        <v>21963.239999999998</v>
      </c>
      <c r="L2" t="s">
        <v>13</v>
      </c>
      <c r="M2">
        <v>0.88</v>
      </c>
      <c r="O2" t="s">
        <v>14</v>
      </c>
      <c r="P2" t="s">
        <v>15</v>
      </c>
      <c r="Q2">
        <f>1026/5714</f>
        <v>0.17955897794889744</v>
      </c>
      <c r="R2">
        <f>1082/5873</f>
        <v>0.18423293035927124</v>
      </c>
    </row>
    <row r="3" spans="1:18" x14ac:dyDescent="0.35">
      <c r="A3" t="s">
        <v>16</v>
      </c>
      <c r="B3">
        <f>6166-4931-782</f>
        <v>453</v>
      </c>
      <c r="C3" t="s">
        <v>17</v>
      </c>
      <c r="D3">
        <v>2.5000000000000001E-2</v>
      </c>
      <c r="E3" t="s">
        <v>18</v>
      </c>
      <c r="F3" s="4">
        <v>1026</v>
      </c>
      <c r="G3" s="1">
        <v>1082</v>
      </c>
      <c r="H3">
        <f>H11*$M7</f>
        <v>1121</v>
      </c>
      <c r="I3">
        <f>I11*$M7</f>
        <v>1391.3700000000001</v>
      </c>
      <c r="J3" s="4">
        <f>SUM($F$3:$I$3)</f>
        <v>4620.37</v>
      </c>
      <c r="L3" t="s">
        <v>19</v>
      </c>
      <c r="M3">
        <f>(367+377)/(5714+5873)</f>
        <v>6.4209890394407526E-2</v>
      </c>
      <c r="O3" t="s">
        <v>20</v>
      </c>
    </row>
    <row r="4" spans="1:18" x14ac:dyDescent="0.35">
      <c r="C4" s="1" t="s">
        <v>21</v>
      </c>
      <c r="D4">
        <v>0.19500000000000001</v>
      </c>
      <c r="E4" t="s">
        <v>22</v>
      </c>
      <c r="F4">
        <v>1495</v>
      </c>
      <c r="G4">
        <v>1626</v>
      </c>
      <c r="H4">
        <f>H11*$M8</f>
        <v>1652.0000000000002</v>
      </c>
      <c r="I4">
        <f>I11*$M8</f>
        <v>2050.44</v>
      </c>
      <c r="J4" s="4">
        <f>SUM($F$4:$I$4)</f>
        <v>6823.4400000000005</v>
      </c>
      <c r="L4" t="s">
        <v>23</v>
      </c>
      <c r="M4">
        <f>(217+209)/(5714+5873)</f>
        <v>3.6765340467765598E-2</v>
      </c>
      <c r="O4" t="s">
        <v>24</v>
      </c>
    </row>
    <row r="5" spans="1:18" x14ac:dyDescent="0.35">
      <c r="C5" t="s">
        <v>25</v>
      </c>
      <c r="D5">
        <v>1.1499999999999999</v>
      </c>
      <c r="E5" t="s">
        <v>26</v>
      </c>
      <c r="F5">
        <v>367</v>
      </c>
      <c r="G5">
        <v>377</v>
      </c>
      <c r="H5">
        <f>H11*$M3</f>
        <v>378.83835332700443</v>
      </c>
      <c r="I5">
        <f>I11*$M3</f>
        <v>470.20902735824632</v>
      </c>
      <c r="J5" s="4">
        <f>SUM($F$5:$I$5)</f>
        <v>1593.0473806852506</v>
      </c>
      <c r="L5" t="s">
        <v>27</v>
      </c>
      <c r="M5">
        <v>0.02</v>
      </c>
      <c r="O5" t="s">
        <v>28</v>
      </c>
      <c r="P5" t="s">
        <v>29</v>
      </c>
      <c r="Q5">
        <f>1495/5714</f>
        <v>0.26163808190409521</v>
      </c>
      <c r="R5">
        <f>1626/5873</f>
        <v>0.27686020773029119</v>
      </c>
    </row>
    <row r="6" spans="1:18" x14ac:dyDescent="0.35">
      <c r="C6" t="s">
        <v>30</v>
      </c>
      <c r="D6">
        <v>0.11</v>
      </c>
      <c r="E6" t="s">
        <v>31</v>
      </c>
      <c r="F6">
        <v>217</v>
      </c>
      <c r="G6">
        <f>426-217</f>
        <v>209</v>
      </c>
      <c r="H6">
        <f>H11*$M4</f>
        <v>216.91550875981702</v>
      </c>
      <c r="I6">
        <f>I11*$M4</f>
        <v>269.23258824544746</v>
      </c>
      <c r="J6" s="4">
        <f>SUM($F$6:$I$6)</f>
        <v>912.1480970052645</v>
      </c>
      <c r="L6" t="s">
        <v>32</v>
      </c>
      <c r="M6">
        <v>0.02</v>
      </c>
      <c r="O6" t="s">
        <v>33</v>
      </c>
    </row>
    <row r="7" spans="1:18" x14ac:dyDescent="0.35">
      <c r="E7" t="s">
        <v>34</v>
      </c>
      <c r="F7">
        <v>-26</v>
      </c>
      <c r="G7">
        <f>-(73-26)</f>
        <v>-47</v>
      </c>
      <c r="H7">
        <f>G7*(1+$M5)</f>
        <v>-47.94</v>
      </c>
      <c r="I7">
        <f>H7*(1+$M5)</f>
        <v>-48.898800000000001</v>
      </c>
      <c r="J7" s="4">
        <f>SUM($F$7:$I$7)</f>
        <v>-169.83879999999999</v>
      </c>
      <c r="L7" t="s">
        <v>15</v>
      </c>
      <c r="M7">
        <v>0.19</v>
      </c>
      <c r="O7" t="s">
        <v>35</v>
      </c>
    </row>
    <row r="8" spans="1:18" x14ac:dyDescent="0.35">
      <c r="E8" t="s">
        <v>36</v>
      </c>
      <c r="F8">
        <v>-131</v>
      </c>
      <c r="G8">
        <f>-42+131</f>
        <v>89</v>
      </c>
      <c r="H8">
        <v>-144</v>
      </c>
      <c r="I8">
        <f>-144*(1+$M6)</f>
        <v>-146.88</v>
      </c>
      <c r="J8" s="4">
        <f>SUM($F$8:$I$8)</f>
        <v>-332.88</v>
      </c>
      <c r="L8" t="s">
        <v>29</v>
      </c>
      <c r="M8">
        <v>0.28000000000000003</v>
      </c>
      <c r="O8" t="s">
        <v>37</v>
      </c>
    </row>
    <row r="9" spans="1:18" x14ac:dyDescent="0.35">
      <c r="E9" t="s">
        <v>38</v>
      </c>
      <c r="F9" s="4">
        <f>(F2-(F3+F4+F5))*(1-$D4)</f>
        <v>1774.2199999999998</v>
      </c>
      <c r="G9" s="4">
        <f>(G2-(G3+G4+G5))*(1-$D4)</f>
        <v>1730.7499999999998</v>
      </c>
      <c r="H9" s="4">
        <f>(H2-(H3+H4+H5))*(1-$D4)</f>
        <v>1642.3301255717613</v>
      </c>
      <c r="I9" s="4">
        <f>(I2-(I3+I4+I5))*(1-$D4)</f>
        <v>2038.4378829766113</v>
      </c>
      <c r="J9" s="4">
        <f>SUM($F$9:$I$9)</f>
        <v>7185.7380085483719</v>
      </c>
    </row>
    <row r="10" spans="1:18" x14ac:dyDescent="0.35">
      <c r="E10" s="2" t="s">
        <v>39</v>
      </c>
      <c r="F10" s="4">
        <f>F9+F6+F7+F8</f>
        <v>1834.2199999999998</v>
      </c>
      <c r="G10" s="4">
        <f>G9+G6+G7+G8</f>
        <v>1981.7499999999998</v>
      </c>
      <c r="H10" s="4">
        <f>H9+H6+H7+H8</f>
        <v>1667.3056343315782</v>
      </c>
      <c r="I10" s="4">
        <f>I9+I6+I7+I8</f>
        <v>2111.8916712220589</v>
      </c>
      <c r="J10" s="4">
        <f>J9+J6+J7+J8</f>
        <v>7595.1673055536367</v>
      </c>
    </row>
    <row r="11" spans="1:18" x14ac:dyDescent="0.35">
      <c r="E11" t="s">
        <v>40</v>
      </c>
      <c r="F11">
        <v>5714</v>
      </c>
      <c r="G11">
        <v>5873</v>
      </c>
      <c r="H11">
        <v>5900</v>
      </c>
      <c r="I11">
        <v>7323</v>
      </c>
      <c r="J11" s="4">
        <f>SUM($F$11:$I$11)</f>
        <v>24810</v>
      </c>
    </row>
    <row r="13" spans="1:18" x14ac:dyDescent="0.35">
      <c r="A13" t="s">
        <v>41</v>
      </c>
      <c r="B13" t="s">
        <v>6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</row>
    <row r="14" spans="1:18" x14ac:dyDescent="0.35">
      <c r="A14" t="s">
        <v>47</v>
      </c>
      <c r="B14" s="4">
        <f>SUM(F2:I2)</f>
        <v>21963.239999999998</v>
      </c>
      <c r="C14">
        <f>C23*$M2</f>
        <v>24234.408000000003</v>
      </c>
      <c r="D14">
        <f>D23*$M2</f>
        <v>26900.192880000006</v>
      </c>
      <c r="E14">
        <f t="shared" ref="E14:F14" si="0">E23*$M2</f>
        <v>29859.214096800009</v>
      </c>
      <c r="F14">
        <f t="shared" si="0"/>
        <v>33143.72764744801</v>
      </c>
    </row>
    <row r="15" spans="1:18" x14ac:dyDescent="0.35">
      <c r="A15" t="s">
        <v>18</v>
      </c>
      <c r="B15" s="4">
        <f>SUM($F$3:$I$3)</f>
        <v>4620.37</v>
      </c>
      <c r="C15">
        <f>C23*$M7</f>
        <v>5232.4290000000001</v>
      </c>
      <c r="D15">
        <f t="shared" ref="D15:F15" si="1">D23*$M7</f>
        <v>5807.9961900000008</v>
      </c>
      <c r="E15">
        <f t="shared" si="1"/>
        <v>6446.875770900002</v>
      </c>
      <c r="F15">
        <f t="shared" si="1"/>
        <v>7156.0321056990024</v>
      </c>
    </row>
    <row r="16" spans="1:18" x14ac:dyDescent="0.35">
      <c r="A16" t="s">
        <v>22</v>
      </c>
      <c r="B16" s="4">
        <f>SUM($F$4:$I$4)</f>
        <v>6823.4400000000005</v>
      </c>
      <c r="C16">
        <f>C23*$M8</f>
        <v>7710.9480000000012</v>
      </c>
      <c r="D16">
        <f t="shared" ref="D16:F16" si="2">D23*$M8</f>
        <v>8559.1522800000021</v>
      </c>
      <c r="E16">
        <f t="shared" si="2"/>
        <v>9500.6590308000032</v>
      </c>
      <c r="F16">
        <f t="shared" si="2"/>
        <v>10545.731524188004</v>
      </c>
    </row>
    <row r="17" spans="1:7" x14ac:dyDescent="0.35">
      <c r="A17" t="s">
        <v>26</v>
      </c>
      <c r="B17" s="4">
        <f>SUM($F$5:$I$5)</f>
        <v>1593.0473806852506</v>
      </c>
      <c r="C17">
        <f>C23*$M3</f>
        <v>1768.2825925606285</v>
      </c>
      <c r="D17">
        <f t="shared" ref="D17:F17" si="3">D23*$M3</f>
        <v>1962.7936777422979</v>
      </c>
      <c r="E17">
        <f t="shared" si="3"/>
        <v>2178.7009822939508</v>
      </c>
      <c r="F17">
        <f t="shared" si="3"/>
        <v>2418.3580903462853</v>
      </c>
    </row>
    <row r="18" spans="1:7" x14ac:dyDescent="0.35">
      <c r="A18" t="s">
        <v>31</v>
      </c>
      <c r="B18" s="4">
        <f>SUM($F$6:$I$6)</f>
        <v>912.1480970052645</v>
      </c>
      <c r="C18">
        <f>C23*$M4</f>
        <v>1012.4843876758437</v>
      </c>
      <c r="D18">
        <f t="shared" ref="D18:F18" si="4">D23*$M4</f>
        <v>1123.8576703201866</v>
      </c>
      <c r="E18">
        <f t="shared" si="4"/>
        <v>1247.4820140554073</v>
      </c>
      <c r="F18">
        <f t="shared" si="4"/>
        <v>1384.705035601502</v>
      </c>
    </row>
    <row r="19" spans="1:7" x14ac:dyDescent="0.35">
      <c r="A19" t="s">
        <v>34</v>
      </c>
      <c r="B19" s="4">
        <f>SUM($F$7:$I$7)</f>
        <v>-169.83879999999999</v>
      </c>
      <c r="C19">
        <f>B19*(1+$M5)</f>
        <v>-173.23557600000001</v>
      </c>
      <c r="D19">
        <f>C19*(1+$M5)</f>
        <v>-176.70028752000002</v>
      </c>
      <c r="E19">
        <f t="shared" ref="E19:F19" si="5">D19*(1+$M5)</f>
        <v>-180.23429327040003</v>
      </c>
      <c r="F19">
        <f t="shared" si="5"/>
        <v>-183.83897913580805</v>
      </c>
    </row>
    <row r="20" spans="1:7" x14ac:dyDescent="0.35">
      <c r="A20" t="s">
        <v>48</v>
      </c>
      <c r="B20" s="4">
        <f>-SUM($F$8:$I$8)</f>
        <v>332.88</v>
      </c>
      <c r="C20">
        <f>-C23*$M6</f>
        <v>-550.78200000000004</v>
      </c>
      <c r="D20">
        <f>-D23*$M6</f>
        <v>-611.36802000000012</v>
      </c>
      <c r="E20">
        <f>-E23*$M6</f>
        <v>-678.61850220000019</v>
      </c>
      <c r="F20">
        <f>-F23*$M6</f>
        <v>-753.2665374420003</v>
      </c>
    </row>
    <row r="21" spans="1:7" x14ac:dyDescent="0.35">
      <c r="A21" t="s">
        <v>38</v>
      </c>
      <c r="B21" s="4">
        <f>SUM($F$9:$I$9)</f>
        <v>7185.7380085483719</v>
      </c>
      <c r="C21">
        <f>(C14-(C15+C16+C17))*(1-$D4)</f>
        <v>7665.812467988696</v>
      </c>
      <c r="D21">
        <f>(D14-(D15+D16+D17))*(1-$D4)</f>
        <v>8509.0518394674509</v>
      </c>
      <c r="E21">
        <f t="shared" ref="E21:F21" si="6">(E14-(E15+E16+E17))*(1-$D4)</f>
        <v>9445.0475418088718</v>
      </c>
      <c r="F21">
        <f t="shared" si="6"/>
        <v>10484.002771407846</v>
      </c>
    </row>
    <row r="22" spans="1:7" x14ac:dyDescent="0.35">
      <c r="A22" s="2" t="s">
        <v>39</v>
      </c>
      <c r="B22" s="4">
        <f>SUM($F$10:$I$10)</f>
        <v>7595.1673055536367</v>
      </c>
      <c r="C22">
        <f>C21+SUM(C18:C20)</f>
        <v>7954.2792796645399</v>
      </c>
      <c r="D22">
        <f>D21+SUM(D18:D20)</f>
        <v>8844.8412022676366</v>
      </c>
      <c r="E22">
        <f t="shared" ref="E22" si="7">E21+SUM(E18:E20)</f>
        <v>9833.6767603938788</v>
      </c>
      <c r="F22">
        <f>F21+SUM(F18:F20)</f>
        <v>10931.60229043154</v>
      </c>
    </row>
    <row r="23" spans="1:7" x14ac:dyDescent="0.35">
      <c r="A23" t="s">
        <v>40</v>
      </c>
      <c r="B23" s="4">
        <f>SUM($F$11:$I$11)</f>
        <v>24810</v>
      </c>
      <c r="C23">
        <f>B23*(1+$D6)</f>
        <v>27539.100000000002</v>
      </c>
      <c r="D23">
        <f>C23*(1+$D6)</f>
        <v>30568.401000000005</v>
      </c>
      <c r="E23">
        <f>D23*(1+$D6)</f>
        <v>33930.925110000011</v>
      </c>
      <c r="F23">
        <f>E23*(1+$D6)</f>
        <v>37663.326872100013</v>
      </c>
    </row>
    <row r="26" spans="1:7" x14ac:dyDescent="0.35">
      <c r="A26" t="s">
        <v>49</v>
      </c>
      <c r="B26">
        <f>(1+D2)^(0.5)</f>
        <v>1.0475208828467335</v>
      </c>
      <c r="C26">
        <f>(1+D2)^(1.5)</f>
        <v>1.1494446647477206</v>
      </c>
      <c r="D26">
        <f>(1+D2)^(2.5)</f>
        <v>1.2612856306276736</v>
      </c>
      <c r="E26">
        <f>(1+D2)^(3.5)</f>
        <v>1.3840087224877462</v>
      </c>
      <c r="F26">
        <f>(1+D2)^(4.5)</f>
        <v>1.5186727711858039</v>
      </c>
    </row>
    <row r="27" spans="1:7" x14ac:dyDescent="0.35">
      <c r="A27" t="s">
        <v>50</v>
      </c>
      <c r="B27">
        <f>B22/B26</f>
        <v>7250.611830203401</v>
      </c>
      <c r="C27">
        <f>C22/C26</f>
        <v>6920.1063118687325</v>
      </c>
      <c r="D27">
        <f t="shared" ref="D27:F27" si="8">D22/D26</f>
        <v>7012.5600319937348</v>
      </c>
      <c r="E27">
        <f t="shared" si="8"/>
        <v>7105.2129951304878</v>
      </c>
      <c r="F27">
        <f t="shared" si="8"/>
        <v>7198.128851612958</v>
      </c>
      <c r="G27">
        <f>F27*(1+$D3)</f>
        <v>7378.0820729032812</v>
      </c>
    </row>
    <row r="28" spans="1:7" x14ac:dyDescent="0.35">
      <c r="A28" t="s">
        <v>51</v>
      </c>
      <c r="B28">
        <f>G27/((1+$D2)^0.5*($D2-$D3))</f>
        <v>97418.737060037616</v>
      </c>
    </row>
    <row r="29" spans="1:7" x14ac:dyDescent="0.35">
      <c r="A29" t="s">
        <v>52</v>
      </c>
      <c r="B29">
        <f>SUM(B27:F27)+$B28</f>
        <v>132905.35708084694</v>
      </c>
    </row>
    <row r="31" spans="1:7" x14ac:dyDescent="0.35">
      <c r="A31" t="s">
        <v>53</v>
      </c>
      <c r="B31">
        <f>B29-B3</f>
        <v>132452.35708084694</v>
      </c>
    </row>
    <row r="32" spans="1:7" x14ac:dyDescent="0.35">
      <c r="A32" s="2" t="s">
        <v>54</v>
      </c>
      <c r="B32">
        <f>B31/(B2)</f>
        <v>310.19287372563684</v>
      </c>
    </row>
    <row r="34" spans="1:6" x14ac:dyDescent="0.35">
      <c r="B34" t="s">
        <v>72</v>
      </c>
    </row>
    <row r="35" spans="1:6" x14ac:dyDescent="0.35">
      <c r="A35" t="s">
        <v>55</v>
      </c>
      <c r="B35">
        <f>B32</f>
        <v>310.19287372563684</v>
      </c>
      <c r="C35">
        <v>0.08</v>
      </c>
      <c r="D35">
        <v>0.09</v>
      </c>
      <c r="E35">
        <v>0.1</v>
      </c>
      <c r="F35">
        <v>0.11</v>
      </c>
    </row>
    <row r="36" spans="1:6" x14ac:dyDescent="0.35">
      <c r="B36">
        <v>0.02</v>
      </c>
      <c r="C36">
        <f t="dataTable" ref="C36:F39" dt2D="1" dtr="1" r1="D2" r2="D3"/>
        <v>381.64007145315463</v>
      </c>
      <c r="D36">
        <v>325.90139613966039</v>
      </c>
      <c r="E36">
        <v>284.21313804131773</v>
      </c>
      <c r="F36">
        <v>251.88422422507134</v>
      </c>
    </row>
    <row r="37" spans="1:6" x14ac:dyDescent="0.35">
      <c r="B37">
        <v>2.5000000000000001E-2</v>
      </c>
      <c r="C37">
        <v>410.15136952414053</v>
      </c>
      <c r="D37">
        <v>345.83145419838775</v>
      </c>
      <c r="E37">
        <v>298.78462799655642</v>
      </c>
      <c r="F37">
        <v>262.90653373470951</v>
      </c>
    </row>
    <row r="38" spans="1:6" x14ac:dyDescent="0.35">
      <c r="B38">
        <v>0.03</v>
      </c>
      <c r="C38">
        <v>444.36492720932375</v>
      </c>
      <c r="D38">
        <v>369.08318860023661</v>
      </c>
      <c r="E38">
        <v>315.43775937397226</v>
      </c>
      <c r="F38">
        <v>275.30663193305236</v>
      </c>
    </row>
    <row r="39" spans="1:6" x14ac:dyDescent="0.35">
      <c r="B39">
        <v>3.5000000000000003E-2</v>
      </c>
      <c r="C39">
        <v>486.1814977134365</v>
      </c>
      <c r="D39">
        <v>396.56251107514873</v>
      </c>
      <c r="E39">
        <v>334.65291096329821</v>
      </c>
      <c r="F39">
        <v>289.36007655784101</v>
      </c>
    </row>
  </sheetData>
  <scenarios current="0" show="0">
    <scenario name="Sensitivity grid" locked="1" count="25" user="nazar lutskiv" comment="Created by nazar lutskiv on 8/24/2025">
      <inputCells r="B36" val=""/>
      <inputCells r="C36" val="0.08"/>
      <inputCells r="D36" val="0.09"/>
      <inputCells r="E36" val="0.1"/>
      <inputCells r="F36" val="0.11"/>
      <inputCells r="B37" val="0.015"/>
      <inputCells r="C37" val="0"/>
      <inputCells r="D37" val="0"/>
      <inputCells r="E37" val="0"/>
      <inputCells r="F37" val="0"/>
      <inputCells r="B38" val="0.02"/>
      <inputCells r="C38" val="0"/>
      <inputCells r="D38" val="0"/>
      <inputCells r="E38" val="0"/>
      <inputCells r="F38" val="0"/>
      <inputCells r="B39" val="0.025"/>
      <inputCells r="C39" val="0"/>
      <inputCells r="D39" val="0"/>
      <inputCells r="E39" val="0"/>
      <inputCells r="F39" val="0"/>
      <inputCells r="B40" val="0.03"/>
      <inputCells r="C40" val="0"/>
      <inputCells r="D40" val="0"/>
      <inputCells r="E40" val="0"/>
      <inputCells r="F40" val="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34B6-EFD6-4CA5-8DDB-A0FB98C14F71}">
  <dimension ref="A1:C9"/>
  <sheetViews>
    <sheetView workbookViewId="0">
      <selection activeCell="C8" sqref="C8"/>
    </sheetView>
  </sheetViews>
  <sheetFormatPr defaultRowHeight="14.5" x14ac:dyDescent="0.35"/>
  <cols>
    <col min="1" max="1" width="17.81640625" customWidth="1"/>
    <col min="2" max="2" width="17.26953125" customWidth="1"/>
    <col min="3" max="3" width="54" customWidth="1"/>
  </cols>
  <sheetData>
    <row r="1" spans="1:3" x14ac:dyDescent="0.35">
      <c r="A1" t="s">
        <v>1</v>
      </c>
      <c r="C1" t="s">
        <v>56</v>
      </c>
    </row>
    <row r="2" spans="1:3" x14ac:dyDescent="0.35">
      <c r="A2" t="s">
        <v>57</v>
      </c>
      <c r="B2">
        <v>1.1499999999999999</v>
      </c>
      <c r="C2" t="s">
        <v>58</v>
      </c>
    </row>
    <row r="3" spans="1:3" x14ac:dyDescent="0.35">
      <c r="A3" t="s">
        <v>59</v>
      </c>
      <c r="B3">
        <v>4</v>
      </c>
      <c r="C3" t="s">
        <v>60</v>
      </c>
    </row>
    <row r="4" spans="1:3" x14ac:dyDescent="0.35">
      <c r="A4" t="s">
        <v>61</v>
      </c>
      <c r="B4">
        <v>9</v>
      </c>
      <c r="C4" t="s">
        <v>62</v>
      </c>
    </row>
    <row r="5" spans="1:3" x14ac:dyDescent="0.35">
      <c r="A5" t="s">
        <v>63</v>
      </c>
      <c r="B5">
        <v>4.46</v>
      </c>
      <c r="C5" t="s">
        <v>64</v>
      </c>
    </row>
    <row r="6" spans="1:3" x14ac:dyDescent="0.35">
      <c r="A6" t="s">
        <v>65</v>
      </c>
      <c r="B6">
        <f>B3 + B2 * (B4-B3)</f>
        <v>9.75</v>
      </c>
    </row>
    <row r="7" spans="1:3" x14ac:dyDescent="0.35">
      <c r="A7" s="2" t="s">
        <v>66</v>
      </c>
      <c r="B7">
        <f>(B6*B9) / (B9+B8) + (1-0.2)*B5 * B8 / (B9+B8)</f>
        <v>9.7316005860594075</v>
      </c>
      <c r="C7" t="s">
        <v>67</v>
      </c>
    </row>
    <row r="8" spans="1:3" x14ac:dyDescent="0.35">
      <c r="A8" t="s">
        <v>68</v>
      </c>
      <c r="B8">
        <v>453</v>
      </c>
      <c r="C8" t="s">
        <v>69</v>
      </c>
    </row>
    <row r="9" spans="1:3" x14ac:dyDescent="0.35">
      <c r="A9" t="s">
        <v>70</v>
      </c>
      <c r="B9">
        <v>151750</v>
      </c>
      <c r="C9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40FEF9303BCD4193DCE166922E2298" ma:contentTypeVersion="15" ma:contentTypeDescription="Create a new document." ma:contentTypeScope="" ma:versionID="9b7d079b0ca3daf4500222f1ab95aa89">
  <xsd:schema xmlns:xsd="http://www.w3.org/2001/XMLSchema" xmlns:xs="http://www.w3.org/2001/XMLSchema" xmlns:p="http://schemas.microsoft.com/office/2006/metadata/properties" xmlns:ns3="1aa056f0-200b-435d-b5fa-ef9f2592682d" xmlns:ns4="ce8c2a78-1b66-4054-91a5-093ef0c6e8e7" targetNamespace="http://schemas.microsoft.com/office/2006/metadata/properties" ma:root="true" ma:fieldsID="86b85d653d0f39ad3eddf495c3af5648" ns3:_="" ns4:_="">
    <xsd:import namespace="1aa056f0-200b-435d-b5fa-ef9f2592682d"/>
    <xsd:import namespace="ce8c2a78-1b66-4054-91a5-093ef0c6e8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056f0-200b-435d-b5fa-ef9f2592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2a78-1b66-4054-91a5-093ef0c6e8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a056f0-200b-435d-b5fa-ef9f2592682d" xsi:nil="true"/>
  </documentManagement>
</p:properties>
</file>

<file path=customXml/itemProps1.xml><?xml version="1.0" encoding="utf-8"?>
<ds:datastoreItem xmlns:ds="http://schemas.openxmlformats.org/officeDocument/2006/customXml" ds:itemID="{834BE0B0-C533-4A97-A482-8D83A5973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056f0-200b-435d-b5fa-ef9f2592682d"/>
    <ds:schemaRef ds:uri="ce8c2a78-1b66-4054-91a5-093ef0c6e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91880E-FA86-4892-AF9D-B8F61E4088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0BE0A-E3D0-4699-A93F-43595E2619DA}">
  <ds:schemaRefs>
    <ds:schemaRef ds:uri="1aa056f0-200b-435d-b5fa-ef9f2592682d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ce8c2a78-1b66-4054-91a5-093ef0c6e8e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</vt:lpstr>
      <vt:lpstr>WACC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nazar lutskiv</dc:creator>
  <cp:keywords/>
  <dc:description/>
  <cp:lastModifiedBy>Lutskiv, Nazar</cp:lastModifiedBy>
  <cp:revision/>
  <dcterms:created xsi:type="dcterms:W3CDTF">2025-08-18T14:40:27Z</dcterms:created>
  <dcterms:modified xsi:type="dcterms:W3CDTF">2025-08-24T13:09:31Z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0x0101004340FEF9303BCD4193DCE166922E2298</vt:lpwstr>
  </property>
</Properties>
</file>