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_Projects\21000_series\21343 Active Security Glass\40 Qualification &amp; Verification\QRD21343-0007\"/>
    </mc:Choice>
  </mc:AlternateContent>
  <xr:revisionPtr revIDLastSave="0" documentId="13_ncr:1_{2EA0A3CD-5667-4101-B00F-89AAC7AF44CA}" xr6:coauthVersionLast="47" xr6:coauthVersionMax="47" xr10:uidLastSave="{00000000-0000-0000-0000-000000000000}"/>
  <bookViews>
    <workbookView xWindow="-28920" yWindow="3375" windowWidth="29040" windowHeight="15990" activeTab="2" xr2:uid="{795EBCE0-A0C9-4D3B-885B-B580913E2EC7}"/>
  </bookViews>
  <sheets>
    <sheet name="2L &amp; 4L" sheetId="1" r:id="rId1"/>
    <sheet name="6L" sheetId="6" r:id="rId2"/>
    <sheet name="new constant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3" i="1" l="1" a="1"/>
  <c r="V13" i="1" s="1"/>
  <c r="AF25" i="7" a="1"/>
  <c r="AF25" i="7" s="1"/>
  <c r="L29" i="7"/>
  <c r="N88" i="7" s="1"/>
  <c r="I61" i="7" a="1"/>
  <c r="I61" i="7" s="1"/>
  <c r="K17" i="7"/>
  <c r="J17" i="7"/>
  <c r="I17" i="7"/>
  <c r="C17" i="7" a="1"/>
  <c r="C17" i="7" s="1"/>
  <c r="Z61" i="7" a="1"/>
  <c r="Z61" i="7" s="1"/>
  <c r="Y61" i="7" a="1"/>
  <c r="Y61" i="7" s="1"/>
  <c r="K61" i="7" a="1"/>
  <c r="K61" i="7" s="1"/>
  <c r="J83" i="7" a="1"/>
  <c r="J83" i="7" s="1"/>
  <c r="C61" i="7" a="1"/>
  <c r="C61" i="7" s="1"/>
  <c r="P40" i="1"/>
  <c r="P41" i="1"/>
  <c r="P42" i="1"/>
  <c r="P39" i="1"/>
  <c r="Z105" i="7" a="1"/>
  <c r="Z105" i="7" s="1"/>
  <c r="Z93" i="7" a="1"/>
  <c r="Z93" i="7" s="1"/>
  <c r="Z92" i="7"/>
  <c r="Z91" i="7"/>
  <c r="Y105" i="7" a="1"/>
  <c r="Y105" i="7" s="1"/>
  <c r="Y93" i="7" a="1"/>
  <c r="Y93" i="7" s="1"/>
  <c r="Y92" i="7"/>
  <c r="Y30" i="6"/>
  <c r="Y29" i="6"/>
  <c r="Y28" i="6"/>
  <c r="Y27" i="6"/>
  <c r="Y26" i="6"/>
  <c r="Y25" i="6"/>
  <c r="Y24" i="6"/>
  <c r="Y23" i="6"/>
  <c r="Y22" i="6"/>
  <c r="Y21" i="6"/>
  <c r="Y20" i="6"/>
  <c r="Y19" i="6"/>
  <c r="Y18" i="6"/>
  <c r="Y17" i="6"/>
  <c r="Y16" i="6"/>
  <c r="Y91" i="7"/>
  <c r="Y43" i="1"/>
  <c r="Y42" i="1"/>
  <c r="Y41" i="1"/>
  <c r="Y40" i="1"/>
  <c r="Y39" i="1"/>
  <c r="Y38" i="1"/>
  <c r="Y37" i="1"/>
  <c r="Y36" i="1"/>
  <c r="Y35" i="1"/>
  <c r="Y14" i="1"/>
  <c r="Y12" i="1"/>
  <c r="Y13" i="1"/>
  <c r="Y11" i="1"/>
  <c r="J19" i="7"/>
  <c r="M29" i="7"/>
  <c r="N89" i="7" s="1"/>
  <c r="L27" i="7"/>
  <c r="K105" i="7" a="1"/>
  <c r="K105" i="7" s="1"/>
  <c r="J105" i="7" a="1"/>
  <c r="J105" i="7" s="1"/>
  <c r="C105" i="7" a="1"/>
  <c r="C105" i="7" s="1"/>
  <c r="K91" i="7"/>
  <c r="J91" i="7"/>
  <c r="C91" i="7" a="1"/>
  <c r="C91" i="7" s="1"/>
  <c r="K19" i="7"/>
  <c r="K51" i="7"/>
  <c r="I51" i="7" a="1"/>
  <c r="I51" i="7" s="1"/>
  <c r="N51" i="7" s="1"/>
  <c r="C51" i="7" a="1"/>
  <c r="C51" i="7" s="1"/>
  <c r="N83" i="7" l="1"/>
  <c r="AB66" i="7"/>
  <c r="AC62" i="7"/>
  <c r="AC63" i="7"/>
  <c r="AB68" i="7"/>
  <c r="AC69" i="7"/>
  <c r="AB67" i="7"/>
  <c r="R106" i="7"/>
  <c r="AB72" i="7"/>
  <c r="AC70" i="7"/>
  <c r="AB74" i="7"/>
  <c r="AC71" i="7"/>
  <c r="AB75" i="7"/>
  <c r="AC77" i="7"/>
  <c r="AC61" i="7"/>
  <c r="AB76" i="7"/>
  <c r="AC78" i="7"/>
  <c r="AB64" i="7"/>
  <c r="AB82" i="7"/>
  <c r="AC79" i="7"/>
  <c r="AC86" i="7"/>
  <c r="AM33" i="7"/>
  <c r="AB89" i="7" s="1"/>
  <c r="AB80" i="7"/>
  <c r="AC67" i="7"/>
  <c r="AC75" i="7"/>
  <c r="AC83" i="7"/>
  <c r="AC91" i="7"/>
  <c r="AB65" i="7"/>
  <c r="AB73" i="7"/>
  <c r="AB81" i="7"/>
  <c r="AC68" i="7"/>
  <c r="AC76" i="7"/>
  <c r="AC84" i="7"/>
  <c r="AB61" i="7"/>
  <c r="AB69" i="7"/>
  <c r="AB77" i="7"/>
  <c r="AC64" i="7"/>
  <c r="AC72" i="7"/>
  <c r="AC80" i="7"/>
  <c r="AC88" i="7"/>
  <c r="AC85" i="7"/>
  <c r="AL31" i="7"/>
  <c r="AB62" i="7"/>
  <c r="AB70" i="7"/>
  <c r="AB78" i="7"/>
  <c r="AC65" i="7"/>
  <c r="AC73" i="7"/>
  <c r="AC81" i="7"/>
  <c r="AC89" i="7"/>
  <c r="AC105" i="7"/>
  <c r="AC87" i="7"/>
  <c r="AL33" i="7"/>
  <c r="AB88" i="7" s="1"/>
  <c r="AB63" i="7"/>
  <c r="AB71" i="7"/>
  <c r="AB79" i="7"/>
  <c r="AC66" i="7"/>
  <c r="AC74" i="7"/>
  <c r="AC82" i="7"/>
  <c r="AC90" i="7"/>
  <c r="AC106" i="7"/>
  <c r="R105" i="7"/>
  <c r="N52" i="7"/>
  <c r="M51" i="7"/>
  <c r="M17" i="7"/>
  <c r="M91" i="7"/>
  <c r="M83" i="7"/>
  <c r="M61" i="7"/>
  <c r="M65" i="7"/>
  <c r="M73" i="7"/>
  <c r="M81" i="7"/>
  <c r="M89" i="7"/>
  <c r="M105" i="7"/>
  <c r="M66" i="7"/>
  <c r="M74" i="7"/>
  <c r="M82" i="7"/>
  <c r="M90" i="7"/>
  <c r="M106" i="7"/>
  <c r="M68" i="7"/>
  <c r="M76" i="7"/>
  <c r="M84" i="7"/>
  <c r="M67" i="7"/>
  <c r="M69" i="7"/>
  <c r="M77" i="7"/>
  <c r="M85" i="7"/>
  <c r="M75" i="7"/>
  <c r="M62" i="7"/>
  <c r="M70" i="7"/>
  <c r="M78" i="7"/>
  <c r="M86" i="7"/>
  <c r="M63" i="7"/>
  <c r="M71" i="7"/>
  <c r="M79" i="7"/>
  <c r="M87" i="7"/>
  <c r="M64" i="7"/>
  <c r="M72" i="7"/>
  <c r="M80" i="7"/>
  <c r="M88" i="7"/>
  <c r="R89" i="7"/>
  <c r="S89" i="7" s="1"/>
  <c r="R90" i="7"/>
  <c r="R88" i="7"/>
  <c r="S88" i="7" s="1"/>
  <c r="R87" i="7"/>
  <c r="R73" i="7"/>
  <c r="R65" i="7"/>
  <c r="R61" i="7"/>
  <c r="R80" i="7"/>
  <c r="R72" i="7"/>
  <c r="R64" i="7"/>
  <c r="R81" i="7"/>
  <c r="R91" i="7"/>
  <c r="R79" i="7"/>
  <c r="R71" i="7"/>
  <c r="R63" i="7"/>
  <c r="R86" i="7"/>
  <c r="R78" i="7"/>
  <c r="R70" i="7"/>
  <c r="R62" i="7"/>
  <c r="R85" i="7"/>
  <c r="R77" i="7"/>
  <c r="R69" i="7"/>
  <c r="R84" i="7"/>
  <c r="R76" i="7"/>
  <c r="R68" i="7"/>
  <c r="R83" i="7"/>
  <c r="R75" i="7"/>
  <c r="R67" i="7"/>
  <c r="R82" i="7"/>
  <c r="R74" i="7"/>
  <c r="R66" i="7"/>
  <c r="N90" i="7"/>
  <c r="AD79" i="7" l="1"/>
  <c r="AE79" i="7" s="1"/>
  <c r="AD71" i="7"/>
  <c r="AE71" i="7" s="1"/>
  <c r="AD63" i="7"/>
  <c r="AE63" i="7" s="1"/>
  <c r="AD67" i="7"/>
  <c r="AE67" i="7" s="1"/>
  <c r="AD76" i="7"/>
  <c r="AE76" i="7" s="1"/>
  <c r="AD68" i="7"/>
  <c r="AE68" i="7" s="1"/>
  <c r="AD61" i="7"/>
  <c r="AE61" i="7" s="1"/>
  <c r="AD66" i="7"/>
  <c r="AE66" i="7" s="1"/>
  <c r="AD72" i="7"/>
  <c r="AE72" i="7" s="1"/>
  <c r="AD89" i="7"/>
  <c r="AE89" i="7" s="1"/>
  <c r="AD77" i="7"/>
  <c r="AE77" i="7" s="1"/>
  <c r="AD78" i="7"/>
  <c r="AE78" i="7" s="1"/>
  <c r="AD81" i="7"/>
  <c r="AE81" i="7" s="1"/>
  <c r="AD75" i="7"/>
  <c r="AE75" i="7" s="1"/>
  <c r="AD88" i="7"/>
  <c r="AE88" i="7" s="1"/>
  <c r="AD69" i="7"/>
  <c r="AE69" i="7" s="1"/>
  <c r="AD82" i="7"/>
  <c r="AE82" i="7" s="1"/>
  <c r="AD62" i="7"/>
  <c r="AE62" i="7" s="1"/>
  <c r="AD70" i="7"/>
  <c r="AE70" i="7" s="1"/>
  <c r="AD74" i="7"/>
  <c r="AE74" i="7" s="1"/>
  <c r="AD64" i="7"/>
  <c r="AE64" i="7" s="1"/>
  <c r="AD80" i="7"/>
  <c r="AE80" i="7" s="1"/>
  <c r="AB90" i="7"/>
  <c r="AB83" i="7"/>
  <c r="AD73" i="7"/>
  <c r="AE73" i="7" s="1"/>
  <c r="AD65" i="7"/>
  <c r="AE65" i="7" s="1"/>
  <c r="S90" i="7"/>
  <c r="S83" i="7"/>
  <c r="K93" i="7" a="1"/>
  <c r="K92" i="7"/>
  <c r="J93" i="7" a="1"/>
  <c r="J92" i="7"/>
  <c r="B92" i="7" a="1"/>
  <c r="AC92" i="7" s="1"/>
  <c r="B93" i="7" a="1"/>
  <c r="AC98" i="7" l="1"/>
  <c r="AC103" i="7"/>
  <c r="AC95" i="7"/>
  <c r="AC97" i="7"/>
  <c r="AC102" i="7"/>
  <c r="AC101" i="7"/>
  <c r="AC104" i="7"/>
  <c r="AC96" i="7"/>
  <c r="AC100" i="7"/>
  <c r="AC94" i="7"/>
  <c r="AC93" i="7"/>
  <c r="AC99" i="7"/>
  <c r="AD83" i="7"/>
  <c r="AE83" i="7" s="1"/>
  <c r="AD90" i="7"/>
  <c r="AE90" i="7" s="1"/>
  <c r="K93" i="7"/>
  <c r="M104" i="7"/>
  <c r="M96" i="7"/>
  <c r="M103" i="7"/>
  <c r="M95" i="7"/>
  <c r="M99" i="7"/>
  <c r="M102" i="7"/>
  <c r="M94" i="7"/>
  <c r="M101" i="7"/>
  <c r="M100" i="7"/>
  <c r="M98" i="7"/>
  <c r="M97" i="7"/>
  <c r="M92" i="7"/>
  <c r="R92" i="7"/>
  <c r="N64" i="7"/>
  <c r="N72" i="7"/>
  <c r="N80" i="7"/>
  <c r="N65" i="7"/>
  <c r="N73" i="7"/>
  <c r="N81" i="7"/>
  <c r="N71" i="7"/>
  <c r="N66" i="7"/>
  <c r="N74" i="7"/>
  <c r="N82" i="7"/>
  <c r="N67" i="7"/>
  <c r="N75" i="7"/>
  <c r="N69" i="7"/>
  <c r="N77" i="7"/>
  <c r="N68" i="7"/>
  <c r="N76" i="7"/>
  <c r="N63" i="7"/>
  <c r="N62" i="7"/>
  <c r="N70" i="7"/>
  <c r="N78" i="7"/>
  <c r="N79" i="7"/>
  <c r="R96" i="7"/>
  <c r="R104" i="7"/>
  <c r="R101" i="7"/>
  <c r="R94" i="7"/>
  <c r="R95" i="7"/>
  <c r="R97" i="7"/>
  <c r="R98" i="7"/>
  <c r="R99" i="7"/>
  <c r="R100" i="7"/>
  <c r="R93" i="7"/>
  <c r="R102" i="7"/>
  <c r="R103" i="7"/>
  <c r="J93" i="7"/>
  <c r="N61" i="7"/>
  <c r="B92" i="7"/>
  <c r="B93" i="7"/>
  <c r="T87" i="7"/>
  <c r="T86" i="7"/>
  <c r="T85" i="7"/>
  <c r="T91" i="7"/>
  <c r="T84" i="7"/>
  <c r="T61" i="7"/>
  <c r="T90" i="7"/>
  <c r="T89" i="7"/>
  <c r="T88" i="7"/>
  <c r="T76" i="7"/>
  <c r="T68" i="7"/>
  <c r="T83" i="7"/>
  <c r="T75" i="7"/>
  <c r="T67" i="7"/>
  <c r="T66" i="7"/>
  <c r="T81" i="7"/>
  <c r="T73" i="7"/>
  <c r="T65" i="7"/>
  <c r="T80" i="7"/>
  <c r="T72" i="7"/>
  <c r="T64" i="7"/>
  <c r="T79" i="7"/>
  <c r="T71" i="7"/>
  <c r="T63" i="7"/>
  <c r="T82" i="7"/>
  <c r="T78" i="7"/>
  <c r="T70" i="7"/>
  <c r="T62" i="7"/>
  <c r="T74" i="7"/>
  <c r="T77" i="7"/>
  <c r="T69" i="7"/>
  <c r="K54" i="7"/>
  <c r="J54" i="7"/>
  <c r="C54" i="7" a="1"/>
  <c r="C54" i="7" s="1"/>
  <c r="K32" i="7"/>
  <c r="C31" i="7"/>
  <c r="C33" i="7"/>
  <c r="C29" i="7"/>
  <c r="C35" i="7"/>
  <c r="C27" i="7"/>
  <c r="C36" i="7"/>
  <c r="C34" i="7"/>
  <c r="C32" i="7"/>
  <c r="C30" i="7"/>
  <c r="C28" i="7"/>
  <c r="C26" i="7"/>
  <c r="O29" i="6"/>
  <c r="B45" i="7" a="1"/>
  <c r="B45" i="7" s="1"/>
  <c r="K48" i="7"/>
  <c r="J48" i="7"/>
  <c r="B48" i="7" a="1"/>
  <c r="B48" i="7" s="1"/>
  <c r="K47" i="7"/>
  <c r="J47" i="7"/>
  <c r="B47" i="7" a="1"/>
  <c r="B47" i="7" s="1"/>
  <c r="K46" i="7"/>
  <c r="J46" i="7"/>
  <c r="B46" i="7" a="1"/>
  <c r="K45" i="7"/>
  <c r="J45" i="7"/>
  <c r="O45" i="1"/>
  <c r="O44" i="1"/>
  <c r="O42" i="1"/>
  <c r="O41" i="1"/>
  <c r="O40" i="1"/>
  <c r="I20" i="7"/>
  <c r="O39" i="1"/>
  <c r="O38" i="1"/>
  <c r="O37" i="1"/>
  <c r="O36" i="1"/>
  <c r="O35" i="1"/>
  <c r="O30" i="6"/>
  <c r="I13" i="7" s="1"/>
  <c r="O28" i="6"/>
  <c r="I15" i="7" s="1"/>
  <c r="O27" i="6"/>
  <c r="I14" i="7" s="1"/>
  <c r="O16" i="6"/>
  <c r="O22" i="6"/>
  <c r="O21" i="6"/>
  <c r="O20" i="6"/>
  <c r="O19" i="6"/>
  <c r="I7" i="7" s="1" a="1"/>
  <c r="J53" i="7"/>
  <c r="J52" i="7"/>
  <c r="J50" i="7"/>
  <c r="J43" i="7"/>
  <c r="J42" i="7"/>
  <c r="J41" i="7"/>
  <c r="D40" i="7"/>
  <c r="I6" i="7"/>
  <c r="J21" i="7"/>
  <c r="J20" i="7"/>
  <c r="J15" i="7"/>
  <c r="J14" i="7"/>
  <c r="J13" i="7"/>
  <c r="J11" i="7"/>
  <c r="J7" i="7" a="1"/>
  <c r="C41" i="7" a="1"/>
  <c r="C41" i="7" s="1"/>
  <c r="K50" i="7"/>
  <c r="K53" i="7"/>
  <c r="K52" i="7"/>
  <c r="K15" i="7"/>
  <c r="K14" i="7"/>
  <c r="K13" i="7"/>
  <c r="K11" i="7"/>
  <c r="K7" i="7" a="1"/>
  <c r="K21" i="7"/>
  <c r="K20" i="7"/>
  <c r="C20" i="7" a="1"/>
  <c r="C20" i="7" s="1"/>
  <c r="I19" i="7"/>
  <c r="I21" i="7"/>
  <c r="C19" i="7" a="1"/>
  <c r="C21" i="7" a="1"/>
  <c r="C21" i="7" s="1"/>
  <c r="B15" i="7" a="1"/>
  <c r="B15" i="7" s="1"/>
  <c r="B14" i="7" a="1"/>
  <c r="B14" i="7" s="1"/>
  <c r="B13" i="7" a="1"/>
  <c r="B13" i="7" s="1"/>
  <c r="I11" i="7"/>
  <c r="B11" i="7" a="1"/>
  <c r="B11" i="7" s="1"/>
  <c r="B7" i="7" a="1"/>
  <c r="B7" i="7" s="1"/>
  <c r="K43" i="7"/>
  <c r="K42" i="7"/>
  <c r="K41" i="7"/>
  <c r="C53" i="7" a="1"/>
  <c r="C53" i="7" s="1"/>
  <c r="C52" i="7" a="1"/>
  <c r="C52" i="7" s="1"/>
  <c r="C50" i="7" a="1"/>
  <c r="C50" i="7" s="1"/>
  <c r="B43" i="7" a="1"/>
  <c r="B43" i="7" s="1"/>
  <c r="B42" i="7" a="1"/>
  <c r="B42" i="7" s="1"/>
  <c r="W13" i="1"/>
  <c r="Y57" i="1"/>
  <c r="A51" i="1"/>
  <c r="C44" i="6"/>
  <c r="O34" i="6"/>
  <c r="C37" i="7" l="1"/>
  <c r="L31" i="7"/>
  <c r="AL35" i="7" s="1"/>
  <c r="AB87" i="7" s="1"/>
  <c r="K33" i="7"/>
  <c r="M14" i="7"/>
  <c r="M43" i="7"/>
  <c r="M42" i="7"/>
  <c r="M11" i="7"/>
  <c r="M13" i="7"/>
  <c r="M52" i="7"/>
  <c r="M48" i="7"/>
  <c r="J7" i="7"/>
  <c r="S82" i="7"/>
  <c r="S76" i="7"/>
  <c r="S66" i="7"/>
  <c r="M10" i="7"/>
  <c r="M8" i="7"/>
  <c r="M9" i="7"/>
  <c r="S67" i="7"/>
  <c r="S62" i="7"/>
  <c r="S74" i="7"/>
  <c r="S64" i="7"/>
  <c r="M15" i="7"/>
  <c r="M45" i="7"/>
  <c r="S68" i="7"/>
  <c r="S71" i="7"/>
  <c r="S81" i="7"/>
  <c r="M20" i="7"/>
  <c r="M53" i="7"/>
  <c r="M54" i="7"/>
  <c r="S79" i="7"/>
  <c r="S69" i="7"/>
  <c r="S73" i="7"/>
  <c r="S61" i="7"/>
  <c r="S72" i="7"/>
  <c r="M19" i="7"/>
  <c r="M47" i="7"/>
  <c r="S63" i="7"/>
  <c r="S77" i="7"/>
  <c r="M21" i="7"/>
  <c r="M46" i="7"/>
  <c r="S78" i="7"/>
  <c r="S75" i="7"/>
  <c r="S65" i="7"/>
  <c r="S70" i="7"/>
  <c r="S80" i="7"/>
  <c r="M93" i="7"/>
  <c r="T93" i="7" s="1"/>
  <c r="C19" i="7"/>
  <c r="K7" i="7"/>
  <c r="D33" i="7"/>
  <c r="AD33" i="7" s="1"/>
  <c r="AB96" i="7" s="1"/>
  <c r="T92" i="7"/>
  <c r="T95" i="7"/>
  <c r="T99" i="7"/>
  <c r="T100" i="7"/>
  <c r="T98" i="7"/>
  <c r="T97" i="7"/>
  <c r="T103" i="7"/>
  <c r="T94" i="7"/>
  <c r="T102" i="7"/>
  <c r="T101" i="7"/>
  <c r="T96" i="7"/>
  <c r="T104" i="7"/>
  <c r="G35" i="7"/>
  <c r="AG35" i="7" s="1"/>
  <c r="G33" i="7"/>
  <c r="AG33" i="7" s="1"/>
  <c r="F33" i="7"/>
  <c r="AF33" i="7" s="1"/>
  <c r="F35" i="7"/>
  <c r="AF35" i="7" s="1"/>
  <c r="F31" i="7"/>
  <c r="AF31" i="7" s="1"/>
  <c r="AB104" i="7" s="1"/>
  <c r="E31" i="7"/>
  <c r="AE31" i="7" s="1"/>
  <c r="E33" i="7"/>
  <c r="AE33" i="7" s="1"/>
  <c r="AB102" i="7" s="1"/>
  <c r="E35" i="7"/>
  <c r="AE35" i="7" s="1"/>
  <c r="E29" i="7"/>
  <c r="AE29" i="7" s="1"/>
  <c r="AB101" i="7" s="1"/>
  <c r="M31" i="7"/>
  <c r="AM35" i="7" s="1"/>
  <c r="N31" i="7"/>
  <c r="AN35" i="7" s="1"/>
  <c r="D31" i="7"/>
  <c r="AD31" i="7" s="1"/>
  <c r="AB95" i="7" s="1"/>
  <c r="D35" i="7"/>
  <c r="AD35" i="7" s="1"/>
  <c r="AB92" i="7" s="1"/>
  <c r="D29" i="7"/>
  <c r="AD29" i="7" s="1"/>
  <c r="D27" i="7"/>
  <c r="AD27" i="7" s="1"/>
  <c r="H35" i="7"/>
  <c r="AH35" i="7" s="1"/>
  <c r="I7" i="7"/>
  <c r="B46" i="7"/>
  <c r="Q11" i="1"/>
  <c r="AB86" i="7" l="1"/>
  <c r="AD86" i="7" s="1"/>
  <c r="AE86" i="7" s="1"/>
  <c r="N96" i="7"/>
  <c r="S96" i="7" s="1"/>
  <c r="AB85" i="7"/>
  <c r="AD85" i="7" s="1"/>
  <c r="AE85" i="7" s="1"/>
  <c r="AB98" i="7"/>
  <c r="AB99" i="7"/>
  <c r="AB93" i="7"/>
  <c r="AB100" i="7"/>
  <c r="AB97" i="7"/>
  <c r="AB105" i="7"/>
  <c r="AB106" i="7"/>
  <c r="AD92" i="7"/>
  <c r="AE92" i="7" s="1"/>
  <c r="AB84" i="7"/>
  <c r="AD104" i="7"/>
  <c r="AE104" i="7" s="1"/>
  <c r="AB91" i="7"/>
  <c r="AD96" i="7"/>
  <c r="AE96" i="7" s="1"/>
  <c r="AD87" i="7"/>
  <c r="AE87" i="7" s="1"/>
  <c r="AB103" i="7"/>
  <c r="AB94" i="7"/>
  <c r="AD102" i="7"/>
  <c r="AE102" i="7" s="1"/>
  <c r="AD95" i="7"/>
  <c r="AE95" i="7" s="1"/>
  <c r="AD101" i="7"/>
  <c r="AE101" i="7" s="1"/>
  <c r="N102" i="7"/>
  <c r="S102" i="7" s="1"/>
  <c r="N54" i="7"/>
  <c r="N101" i="7"/>
  <c r="S101" i="7" s="1"/>
  <c r="N92" i="7"/>
  <c r="S92" i="7" s="1"/>
  <c r="N95" i="7"/>
  <c r="S95" i="7" s="1"/>
  <c r="N104" i="7"/>
  <c r="S104" i="7" s="1"/>
  <c r="M7" i="7"/>
  <c r="N47" i="7"/>
  <c r="N46" i="7"/>
  <c r="N45" i="7"/>
  <c r="N48" i="7"/>
  <c r="N53" i="7"/>
  <c r="N42" i="7"/>
  <c r="N43" i="7"/>
  <c r="O5" i="7" a="1"/>
  <c r="O5" i="7" s="1"/>
  <c r="N5" i="7" a="1"/>
  <c r="N5" i="7" s="1"/>
  <c r="N94" i="7"/>
  <c r="N103" i="7"/>
  <c r="N84" i="7"/>
  <c r="N87" i="7"/>
  <c r="N105" i="7"/>
  <c r="N106" i="7"/>
  <c r="N85" i="7"/>
  <c r="N91" i="7"/>
  <c r="N86" i="7"/>
  <c r="N93" i="7"/>
  <c r="N97" i="7"/>
  <c r="N98" i="7"/>
  <c r="N99" i="7"/>
  <c r="N100" i="7"/>
  <c r="O56" i="7" l="1"/>
  <c r="D169" i="7"/>
  <c r="D177" i="7"/>
  <c r="D185" i="7"/>
  <c r="D193" i="7"/>
  <c r="D188" i="7"/>
  <c r="D170" i="7"/>
  <c r="D178" i="7"/>
  <c r="D186" i="7"/>
  <c r="D194" i="7"/>
  <c r="D172" i="7"/>
  <c r="D196" i="7"/>
  <c r="D171" i="7"/>
  <c r="D179" i="7"/>
  <c r="D187" i="7"/>
  <c r="D195" i="7"/>
  <c r="D180" i="7"/>
  <c r="D173" i="7"/>
  <c r="D181" i="7"/>
  <c r="D189" i="7"/>
  <c r="D197" i="7"/>
  <c r="D175" i="7"/>
  <c r="D199" i="7"/>
  <c r="D176" i="7"/>
  <c r="D192" i="7"/>
  <c r="D174" i="7"/>
  <c r="D182" i="7"/>
  <c r="D190" i="7"/>
  <c r="D198" i="7"/>
  <c r="D183" i="7"/>
  <c r="D191" i="7"/>
  <c r="D184" i="7"/>
  <c r="D168" i="7"/>
  <c r="AD97" i="7"/>
  <c r="AE97" i="7" s="1"/>
  <c r="AD103" i="7"/>
  <c r="AE103" i="7" s="1"/>
  <c r="AD100" i="7"/>
  <c r="AE100" i="7" s="1"/>
  <c r="AD84" i="7"/>
  <c r="AE84" i="7" s="1"/>
  <c r="AD93" i="7"/>
  <c r="AE93" i="7" s="1"/>
  <c r="AD105" i="7"/>
  <c r="AE105" i="7" s="1"/>
  <c r="AD99" i="7"/>
  <c r="AE99" i="7" s="1"/>
  <c r="AD91" i="7"/>
  <c r="AE91" i="7" s="1"/>
  <c r="AD98" i="7"/>
  <c r="AE98" i="7" s="1"/>
  <c r="AD106" i="7"/>
  <c r="AE106" i="7" s="1"/>
  <c r="AD94" i="7"/>
  <c r="AE94" i="7" s="1"/>
  <c r="O102" i="7"/>
  <c r="P102" i="7" s="1"/>
  <c r="O87" i="7"/>
  <c r="P87" i="7" s="1"/>
  <c r="O54" i="7"/>
  <c r="S84" i="7"/>
  <c r="O84" i="7"/>
  <c r="P84" i="7" s="1"/>
  <c r="O48" i="7"/>
  <c r="O95" i="7"/>
  <c r="P95" i="7" s="1"/>
  <c r="O46" i="7"/>
  <c r="O98" i="7"/>
  <c r="P98" i="7" s="1"/>
  <c r="O53" i="7"/>
  <c r="O97" i="7"/>
  <c r="P97" i="7" s="1"/>
  <c r="O92" i="7"/>
  <c r="P92" i="7" s="1"/>
  <c r="O93" i="7"/>
  <c r="P93" i="7" s="1"/>
  <c r="O103" i="7"/>
  <c r="P103" i="7" s="1"/>
  <c r="O96" i="7"/>
  <c r="P96" i="7" s="1"/>
  <c r="O94" i="7"/>
  <c r="P94" i="7" s="1"/>
  <c r="O45" i="7"/>
  <c r="O100" i="7"/>
  <c r="P100" i="7" s="1"/>
  <c r="O106" i="7"/>
  <c r="P106" i="7" s="1"/>
  <c r="O43" i="7"/>
  <c r="O88" i="7"/>
  <c r="P88" i="7" s="1"/>
  <c r="O51" i="7"/>
  <c r="P51" i="7" s="1"/>
  <c r="O89" i="7"/>
  <c r="P89" i="7" s="1"/>
  <c r="O83" i="7"/>
  <c r="P83" i="7" s="1"/>
  <c r="N17" i="7"/>
  <c r="O17" i="7" s="1"/>
  <c r="O90" i="7"/>
  <c r="P90" i="7" s="1"/>
  <c r="N9" i="7"/>
  <c r="O68" i="7"/>
  <c r="P68" i="7" s="1"/>
  <c r="O78" i="7"/>
  <c r="P78" i="7" s="1"/>
  <c r="O81" i="7"/>
  <c r="P81" i="7" s="1"/>
  <c r="O76" i="7"/>
  <c r="P76" i="7" s="1"/>
  <c r="O69" i="7"/>
  <c r="P69" i="7" s="1"/>
  <c r="N13" i="7"/>
  <c r="N8" i="7"/>
  <c r="O64" i="7"/>
  <c r="P64" i="7" s="1"/>
  <c r="O73" i="7"/>
  <c r="P73" i="7" s="1"/>
  <c r="N19" i="7"/>
  <c r="O19" i="7" s="1"/>
  <c r="O77" i="7"/>
  <c r="P77" i="7" s="1"/>
  <c r="O70" i="7"/>
  <c r="P70" i="7" s="1"/>
  <c r="N10" i="7"/>
  <c r="O10" i="7" s="1"/>
  <c r="O62" i="7"/>
  <c r="P62" i="7" s="1"/>
  <c r="O63" i="7"/>
  <c r="P63" i="7" s="1"/>
  <c r="O52" i="7"/>
  <c r="N14" i="7"/>
  <c r="O14" i="7" s="1"/>
  <c r="O71" i="7"/>
  <c r="P71" i="7" s="1"/>
  <c r="O79" i="7"/>
  <c r="P79" i="7" s="1"/>
  <c r="O61" i="7"/>
  <c r="P61" i="7" s="1"/>
  <c r="O75" i="7"/>
  <c r="P75" i="7" s="1"/>
  <c r="O80" i="7"/>
  <c r="P80" i="7" s="1"/>
  <c r="N21" i="7"/>
  <c r="O21" i="7" s="1"/>
  <c r="O74" i="7"/>
  <c r="P74" i="7" s="1"/>
  <c r="N15" i="7"/>
  <c r="O15" i="7" s="1"/>
  <c r="O66" i="7"/>
  <c r="P66" i="7" s="1"/>
  <c r="O82" i="7"/>
  <c r="P82" i="7" s="1"/>
  <c r="N20" i="7"/>
  <c r="O20" i="7" s="1"/>
  <c r="O41" i="7"/>
  <c r="P41" i="7" s="1"/>
  <c r="O67" i="7"/>
  <c r="P67" i="7" s="1"/>
  <c r="N11" i="7"/>
  <c r="O72" i="7"/>
  <c r="P72" i="7" s="1"/>
  <c r="O65" i="7"/>
  <c r="P65" i="7" s="1"/>
  <c r="O50" i="7"/>
  <c r="P50" i="7" s="1"/>
  <c r="S86" i="7"/>
  <c r="O86" i="7"/>
  <c r="P86" i="7" s="1"/>
  <c r="S91" i="7"/>
  <c r="O91" i="7"/>
  <c r="P91" i="7" s="1"/>
  <c r="S85" i="7"/>
  <c r="O85" i="7"/>
  <c r="P85" i="7" s="1"/>
  <c r="O104" i="7"/>
  <c r="P104" i="7" s="1"/>
  <c r="O47" i="7"/>
  <c r="O99" i="7"/>
  <c r="P99" i="7" s="1"/>
  <c r="O105" i="7"/>
  <c r="P105" i="7" s="1"/>
  <c r="O42" i="7"/>
  <c r="N7" i="7"/>
  <c r="O101" i="7"/>
  <c r="P101" i="7" s="1"/>
  <c r="S87" i="7"/>
  <c r="S98" i="7"/>
  <c r="S100" i="7"/>
  <c r="S99" i="7"/>
  <c r="S97" i="7"/>
  <c r="S93" i="7"/>
  <c r="S103" i="7"/>
  <c r="S94" i="7"/>
  <c r="E159" i="7" l="1"/>
  <c r="E161" i="7"/>
  <c r="E160" i="7"/>
  <c r="E157" i="7" a="1"/>
  <c r="E157" i="7" s="1"/>
  <c r="E158" i="7" s="1"/>
  <c r="G161" i="7"/>
  <c r="G157" i="7" a="1"/>
  <c r="G157" i="7" s="1"/>
  <c r="G158" i="7" s="1"/>
  <c r="G160" i="7"/>
  <c r="G159" i="7"/>
  <c r="E156" i="7"/>
  <c r="G156" i="7"/>
  <c r="AE59" i="7"/>
  <c r="P59" i="7"/>
  <c r="S59" i="7" a="1"/>
  <c r="S59" i="7" s="1"/>
  <c r="R59" i="7" a="1"/>
  <c r="R59" i="7" s="1"/>
  <c r="O7" i="7"/>
  <c r="O9" i="7"/>
  <c r="O8" i="7"/>
  <c r="O11" i="7"/>
  <c r="O13" i="7"/>
  <c r="I30" i="6"/>
  <c r="I28" i="6"/>
  <c r="I29" i="6"/>
  <c r="I27" i="6"/>
  <c r="I15" i="6"/>
  <c r="I16" i="6"/>
  <c r="I17" i="6"/>
  <c r="J17" i="6" s="1"/>
  <c r="I18" i="6"/>
  <c r="I19" i="6"/>
  <c r="I20" i="6"/>
  <c r="I21" i="6"/>
  <c r="I22" i="6"/>
  <c r="I23" i="6"/>
  <c r="I24" i="6"/>
  <c r="I25" i="6"/>
  <c r="U88" i="7" l="1"/>
  <c r="V88" i="7" s="1"/>
  <c r="W88" i="7" s="1"/>
  <c r="U89" i="7"/>
  <c r="V89" i="7" s="1"/>
  <c r="W89" i="7" s="1"/>
  <c r="U83" i="7"/>
  <c r="V83" i="7" s="1"/>
  <c r="W83" i="7" s="1"/>
  <c r="U90" i="7"/>
  <c r="V90" i="7" s="1"/>
  <c r="W90" i="7" s="1"/>
  <c r="U66" i="7"/>
  <c r="V66" i="7" s="1"/>
  <c r="W66" i="7" s="1"/>
  <c r="U64" i="7"/>
  <c r="V64" i="7" s="1"/>
  <c r="W64" i="7" s="1"/>
  <c r="U73" i="7"/>
  <c r="V73" i="7" s="1"/>
  <c r="W73" i="7" s="1"/>
  <c r="U70" i="7"/>
  <c r="V70" i="7" s="1"/>
  <c r="W70" i="7" s="1"/>
  <c r="U75" i="7"/>
  <c r="V75" i="7" s="1"/>
  <c r="W75" i="7" s="1"/>
  <c r="U71" i="7"/>
  <c r="V71" i="7" s="1"/>
  <c r="W71" i="7" s="1"/>
  <c r="U61" i="7"/>
  <c r="V61" i="7" s="1"/>
  <c r="U72" i="7"/>
  <c r="V72" i="7" s="1"/>
  <c r="W72" i="7" s="1"/>
  <c r="U78" i="7"/>
  <c r="V78" i="7" s="1"/>
  <c r="W78" i="7" s="1"/>
  <c r="U68" i="7"/>
  <c r="V68" i="7" s="1"/>
  <c r="W68" i="7" s="1"/>
  <c r="U81" i="7"/>
  <c r="V81" i="7" s="1"/>
  <c r="W81" i="7" s="1"/>
  <c r="U79" i="7"/>
  <c r="V79" i="7" s="1"/>
  <c r="W79" i="7" s="1"/>
  <c r="U77" i="7"/>
  <c r="V77" i="7" s="1"/>
  <c r="W77" i="7" s="1"/>
  <c r="U80" i="7"/>
  <c r="V80" i="7" s="1"/>
  <c r="W80" i="7" s="1"/>
  <c r="U62" i="7"/>
  <c r="V62" i="7" s="1"/>
  <c r="W62" i="7" s="1"/>
  <c r="U82" i="7"/>
  <c r="V82" i="7" s="1"/>
  <c r="W82" i="7" s="1"/>
  <c r="U76" i="7"/>
  <c r="V76" i="7" s="1"/>
  <c r="W76" i="7" s="1"/>
  <c r="U67" i="7"/>
  <c r="V67" i="7" s="1"/>
  <c r="W67" i="7" s="1"/>
  <c r="U74" i="7"/>
  <c r="V74" i="7" s="1"/>
  <c r="W74" i="7" s="1"/>
  <c r="U69" i="7"/>
  <c r="V69" i="7" s="1"/>
  <c r="W69" i="7" s="1"/>
  <c r="U63" i="7"/>
  <c r="V63" i="7" s="1"/>
  <c r="W63" i="7" s="1"/>
  <c r="U65" i="7"/>
  <c r="V65" i="7" s="1"/>
  <c r="W65" i="7" s="1"/>
  <c r="U101" i="7"/>
  <c r="V101" i="7" s="1"/>
  <c r="W101" i="7" s="1"/>
  <c r="U102" i="7"/>
  <c r="V102" i="7" s="1"/>
  <c r="W102" i="7" s="1"/>
  <c r="U96" i="7"/>
  <c r="V96" i="7" s="1"/>
  <c r="W96" i="7" s="1"/>
  <c r="U92" i="7"/>
  <c r="V92" i="7" s="1"/>
  <c r="W92" i="7" s="1"/>
  <c r="U95" i="7"/>
  <c r="V95" i="7" s="1"/>
  <c r="W95" i="7" s="1"/>
  <c r="U104" i="7"/>
  <c r="V104" i="7" s="1"/>
  <c r="W104" i="7" s="1"/>
  <c r="U87" i="7"/>
  <c r="V87" i="7" s="1"/>
  <c r="W87" i="7" s="1"/>
  <c r="U103" i="7"/>
  <c r="V103" i="7" s="1"/>
  <c r="W103" i="7" s="1"/>
  <c r="U91" i="7"/>
  <c r="V91" i="7" s="1"/>
  <c r="W91" i="7" s="1"/>
  <c r="U84" i="7"/>
  <c r="V84" i="7" s="1"/>
  <c r="W84" i="7" s="1"/>
  <c r="U98" i="7"/>
  <c r="V98" i="7" s="1"/>
  <c r="W98" i="7" s="1"/>
  <c r="U106" i="7"/>
  <c r="U105" i="7"/>
  <c r="U99" i="7"/>
  <c r="V99" i="7" s="1"/>
  <c r="W99" i="7" s="1"/>
  <c r="U97" i="7"/>
  <c r="V97" i="7" s="1"/>
  <c r="W97" i="7" s="1"/>
  <c r="U94" i="7"/>
  <c r="V94" i="7" s="1"/>
  <c r="W94" i="7" s="1"/>
  <c r="U85" i="7"/>
  <c r="V85" i="7" s="1"/>
  <c r="W85" i="7" s="1"/>
  <c r="U86" i="7"/>
  <c r="V86" i="7" s="1"/>
  <c r="W86" i="7" s="1"/>
  <c r="U93" i="7"/>
  <c r="V93" i="7" s="1"/>
  <c r="W93" i="7" s="1"/>
  <c r="U100" i="7"/>
  <c r="V100" i="7" s="1"/>
  <c r="W100" i="7" s="1"/>
  <c r="J28" i="6"/>
  <c r="A42" i="6" s="1" a="1"/>
  <c r="A42" i="6" s="1"/>
  <c r="J27" i="6"/>
  <c r="J18" i="6"/>
  <c r="J30" i="6"/>
  <c r="A40" i="6" a="1"/>
  <c r="A40" i="6" s="1"/>
  <c r="J10" i="6" a="1"/>
  <c r="J10" i="6" s="1"/>
  <c r="J15" i="6"/>
  <c r="A45" i="6" a="1"/>
  <c r="A45" i="6" s="1"/>
  <c r="J12" i="6" a="1"/>
  <c r="J12" i="6" s="1"/>
  <c r="P43" i="7"/>
  <c r="P45" i="7"/>
  <c r="P46" i="7"/>
  <c r="P47" i="7"/>
  <c r="P48" i="7"/>
  <c r="P42" i="7"/>
  <c r="P53" i="7"/>
  <c r="P52" i="7"/>
  <c r="P54" i="7"/>
  <c r="A41" i="6" a="1"/>
  <c r="A41" i="6" s="1"/>
  <c r="T13" i="6"/>
  <c r="M13" i="6"/>
  <c r="T12" i="6"/>
  <c r="J8" i="6"/>
  <c r="A103" i="1"/>
  <c r="A102" i="1"/>
  <c r="K101" i="1"/>
  <c r="J101" i="1"/>
  <c r="A96" i="1"/>
  <c r="G95" i="1"/>
  <c r="A90" i="1"/>
  <c r="F89" i="1"/>
  <c r="A84" i="1"/>
  <c r="E83" i="1"/>
  <c r="A77" i="1"/>
  <c r="A76" i="1"/>
  <c r="A75" i="1"/>
  <c r="O74" i="1"/>
  <c r="A57" i="1"/>
  <c r="D56" i="1"/>
  <c r="A52" i="1"/>
  <c r="C50" i="1"/>
  <c r="W46" i="1"/>
  <c r="V46" i="1" a="1"/>
  <c r="V46" i="1" s="1"/>
  <c r="T46" i="1"/>
  <c r="U46" i="1" s="1"/>
  <c r="O46" i="1"/>
  <c r="W45" i="1"/>
  <c r="V45" i="1" a="1"/>
  <c r="V45" i="1" s="1"/>
  <c r="W44" i="1"/>
  <c r="V44" i="1" a="1"/>
  <c r="V44" i="1" s="1"/>
  <c r="V43" i="1" a="1"/>
  <c r="V43" i="1" s="1"/>
  <c r="W42" i="1"/>
  <c r="V42" i="1" a="1"/>
  <c r="V42" i="1" s="1"/>
  <c r="W41" i="1"/>
  <c r="V41" i="1" a="1"/>
  <c r="V41" i="1" s="1"/>
  <c r="W40" i="1"/>
  <c r="V40" i="1" a="1"/>
  <c r="V40" i="1" s="1"/>
  <c r="W39" i="1"/>
  <c r="V39" i="1" a="1"/>
  <c r="V39" i="1" s="1"/>
  <c r="W38" i="1"/>
  <c r="V38" i="1" a="1"/>
  <c r="V38" i="1" s="1"/>
  <c r="W37" i="1"/>
  <c r="V37" i="1" a="1"/>
  <c r="V37" i="1" s="1"/>
  <c r="W36" i="1"/>
  <c r="V36" i="1" a="1"/>
  <c r="V36" i="1" s="1"/>
  <c r="W35" i="1"/>
  <c r="V35" i="1" a="1"/>
  <c r="V35" i="1" s="1"/>
  <c r="W34" i="1"/>
  <c r="O34" i="1"/>
  <c r="V34" i="1" s="1" a="1"/>
  <c r="V34" i="1" s="1"/>
  <c r="W33" i="1"/>
  <c r="O33" i="1"/>
  <c r="V33" i="1" s="1" a="1"/>
  <c r="V33" i="1" s="1"/>
  <c r="W32" i="1"/>
  <c r="O32" i="1"/>
  <c r="V32" i="1" s="1" a="1"/>
  <c r="V32" i="1" s="1"/>
  <c r="W31" i="1"/>
  <c r="O31" i="1"/>
  <c r="V31" i="1" s="1" a="1"/>
  <c r="V31" i="1" s="1"/>
  <c r="W30" i="1"/>
  <c r="O30" i="1"/>
  <c r="V30" i="1" s="1" a="1"/>
  <c r="V30" i="1" s="1"/>
  <c r="W29" i="1"/>
  <c r="O29" i="1"/>
  <c r="V29" i="1" s="1" a="1"/>
  <c r="V29" i="1" s="1"/>
  <c r="W28" i="1"/>
  <c r="O28" i="1"/>
  <c r="V28" i="1" s="1" a="1"/>
  <c r="V28" i="1" s="1"/>
  <c r="W27" i="1"/>
  <c r="O27" i="1"/>
  <c r="V27" i="1" s="1" a="1"/>
  <c r="V27" i="1" s="1"/>
  <c r="W26" i="1"/>
  <c r="O26" i="1"/>
  <c r="V26" i="1" s="1" a="1"/>
  <c r="V26" i="1" s="1"/>
  <c r="W25" i="1"/>
  <c r="O25" i="1"/>
  <c r="V25" i="1" s="1" a="1"/>
  <c r="V25" i="1" s="1"/>
  <c r="W24" i="1"/>
  <c r="O24" i="1"/>
  <c r="V24" i="1" s="1" a="1"/>
  <c r="V24" i="1" s="1"/>
  <c r="W23" i="1"/>
  <c r="O23" i="1"/>
  <c r="V23" i="1" s="1" a="1"/>
  <c r="V23" i="1" s="1"/>
  <c r="W22" i="1"/>
  <c r="O22" i="1"/>
  <c r="V22" i="1" s="1" a="1"/>
  <c r="V22" i="1" s="1"/>
  <c r="W21" i="1"/>
  <c r="O21" i="1"/>
  <c r="V21" i="1" s="1" a="1"/>
  <c r="V21" i="1" s="1"/>
  <c r="W20" i="1"/>
  <c r="O20" i="1"/>
  <c r="V20" i="1" s="1" a="1"/>
  <c r="V20" i="1" s="1"/>
  <c r="W19" i="1"/>
  <c r="O19" i="1"/>
  <c r="V19" i="1" s="1" a="1"/>
  <c r="V19" i="1" s="1"/>
  <c r="W18" i="1"/>
  <c r="O18" i="1"/>
  <c r="V18" i="1" s="1" a="1"/>
  <c r="V18" i="1" s="1"/>
  <c r="W17" i="1"/>
  <c r="O17" i="1"/>
  <c r="V17" i="1" s="1" a="1"/>
  <c r="V17" i="1" s="1"/>
  <c r="W16" i="1"/>
  <c r="O16" i="1"/>
  <c r="V16" i="1" s="1" a="1"/>
  <c r="V16" i="1" s="1"/>
  <c r="W15" i="1"/>
  <c r="O15" i="1"/>
  <c r="V15" i="1" s="1" a="1"/>
  <c r="V15" i="1" s="1"/>
  <c r="W14" i="1"/>
  <c r="O14" i="1"/>
  <c r="V14" i="1" s="1" a="1"/>
  <c r="V14" i="1" s="1"/>
  <c r="O13" i="1"/>
  <c r="Q12" i="1"/>
  <c r="T12" i="1" s="1"/>
  <c r="U12" i="1" s="1"/>
  <c r="T11" i="1"/>
  <c r="Q10" i="1"/>
  <c r="T10" i="1" s="1"/>
  <c r="U10" i="1" s="1"/>
  <c r="Q9" i="1"/>
  <c r="T9" i="1" s="1"/>
  <c r="U9" i="1" s="1"/>
  <c r="Q8" i="1"/>
  <c r="T8" i="1" s="1"/>
  <c r="U8" i="1" s="1"/>
  <c r="T6" i="1"/>
  <c r="S38" i="1" s="1"/>
  <c r="M6" i="1"/>
  <c r="L46" i="1" s="1"/>
  <c r="AD5" i="1"/>
  <c r="T5" i="1"/>
  <c r="S34" i="1" s="1"/>
  <c r="J4" i="1"/>
  <c r="J20" i="1" s="1"/>
  <c r="H161" i="7" l="1"/>
  <c r="W61" i="7"/>
  <c r="V106" i="7"/>
  <c r="W106" i="7" s="1"/>
  <c r="V105" i="7"/>
  <c r="W105" i="7" s="1"/>
  <c r="J20" i="6"/>
  <c r="J16" i="6"/>
  <c r="A39" i="6" s="1" a="1"/>
  <c r="A39" i="6" s="1"/>
  <c r="J19" i="6"/>
  <c r="A35" i="6" s="1" a="1"/>
  <c r="A35" i="6" s="1"/>
  <c r="J26" i="6"/>
  <c r="J24" i="6"/>
  <c r="J23" i="6"/>
  <c r="J25" i="6"/>
  <c r="J29" i="6"/>
  <c r="A47" i="6" s="1" a="1"/>
  <c r="A47" i="6" s="1"/>
  <c r="J22" i="6"/>
  <c r="A38" i="6" s="1" a="1"/>
  <c r="A38" i="6" s="1"/>
  <c r="J21" i="6"/>
  <c r="A37" i="6" s="1" a="1"/>
  <c r="A37" i="6" s="1"/>
  <c r="Q15" i="1"/>
  <c r="T15" i="1" s="1"/>
  <c r="U15" i="1" s="1"/>
  <c r="Q14" i="1"/>
  <c r="T14" i="1" s="1"/>
  <c r="U14" i="1" s="1"/>
  <c r="L18" i="1"/>
  <c r="L12" i="1"/>
  <c r="L13" i="1"/>
  <c r="L23" i="1"/>
  <c r="L20" i="1"/>
  <c r="M20" i="1" s="1"/>
  <c r="N20" i="1" s="1"/>
  <c r="J16" i="1"/>
  <c r="M16" i="1" s="1"/>
  <c r="N16" i="1" s="1"/>
  <c r="S9" i="1"/>
  <c r="L16" i="1"/>
  <c r="J19" i="1"/>
  <c r="L11" i="1"/>
  <c r="Q23" i="1"/>
  <c r="T23" i="1" s="1"/>
  <c r="U23" i="1" s="1"/>
  <c r="L8" i="1"/>
  <c r="L22" i="1"/>
  <c r="Q22" i="1"/>
  <c r="T22" i="1" s="1"/>
  <c r="U22" i="1" s="1"/>
  <c r="J6" i="1" a="1"/>
  <c r="J6" i="1" s="1"/>
  <c r="L9" i="1"/>
  <c r="S15" i="1"/>
  <c r="L17" i="1"/>
  <c r="L19" i="1"/>
  <c r="L21" i="1"/>
  <c r="J31" i="1"/>
  <c r="J35" i="1"/>
  <c r="B107" i="1" s="1" a="1"/>
  <c r="J43" i="1"/>
  <c r="B108" i="1" s="1" a="1"/>
  <c r="Y108" i="1" s="1"/>
  <c r="Q31" i="1"/>
  <c r="T31" i="1" s="1"/>
  <c r="U31" i="1" s="1"/>
  <c r="S10" i="1"/>
  <c r="L14" i="1"/>
  <c r="L27" i="1"/>
  <c r="L31" i="1"/>
  <c r="L35" i="1"/>
  <c r="L39" i="1"/>
  <c r="L43" i="1"/>
  <c r="Q19" i="1"/>
  <c r="T19" i="1" s="1"/>
  <c r="U19" i="1" s="1"/>
  <c r="S23" i="1"/>
  <c r="L25" i="1"/>
  <c r="L29" i="1"/>
  <c r="L33" i="1"/>
  <c r="L37" i="1"/>
  <c r="L41" i="1"/>
  <c r="L44" i="1"/>
  <c r="S27" i="1"/>
  <c r="S8" i="1"/>
  <c r="L10" i="1"/>
  <c r="L15" i="1"/>
  <c r="J24" i="1"/>
  <c r="L30" i="1"/>
  <c r="L32" i="1"/>
  <c r="L34" i="1"/>
  <c r="J36" i="1"/>
  <c r="L40" i="1"/>
  <c r="L42" i="1"/>
  <c r="L24" i="1"/>
  <c r="L26" i="1"/>
  <c r="L28" i="1"/>
  <c r="L36" i="1"/>
  <c r="L38" i="1"/>
  <c r="L45" i="1"/>
  <c r="Q28" i="1"/>
  <c r="T28" i="1" s="1"/>
  <c r="U28" i="1" s="1"/>
  <c r="Q21" i="1"/>
  <c r="T21" i="1" s="1"/>
  <c r="U21" i="1" s="1"/>
  <c r="Q17" i="1"/>
  <c r="T17" i="1" s="1"/>
  <c r="U17" i="1" s="1"/>
  <c r="Q29" i="1"/>
  <c r="T29" i="1" s="1"/>
  <c r="U29" i="1" s="1"/>
  <c r="Q33" i="1"/>
  <c r="T33" i="1" s="1"/>
  <c r="U33" i="1" s="1"/>
  <c r="Q41" i="1"/>
  <c r="T41" i="1" s="1"/>
  <c r="U41" i="1" s="1"/>
  <c r="Q24" i="1"/>
  <c r="T24" i="1" s="1"/>
  <c r="U24" i="1" s="1"/>
  <c r="Q36" i="1"/>
  <c r="T36" i="1" s="1"/>
  <c r="U36" i="1" s="1"/>
  <c r="Q25" i="1"/>
  <c r="T25" i="1" s="1"/>
  <c r="U25" i="1" s="1"/>
  <c r="Q18" i="1"/>
  <c r="T18" i="1" s="1"/>
  <c r="U18" i="1" s="1"/>
  <c r="Q16" i="1"/>
  <c r="T16" i="1" s="1"/>
  <c r="U16" i="1" s="1"/>
  <c r="Q20" i="1"/>
  <c r="T20" i="1" s="1"/>
  <c r="U20" i="1" s="1"/>
  <c r="Q13" i="1"/>
  <c r="T13" i="1" s="1"/>
  <c r="U13" i="1" s="1"/>
  <c r="Q26" i="1"/>
  <c r="T26" i="1" s="1"/>
  <c r="U26" i="1" s="1"/>
  <c r="J27" i="1"/>
  <c r="J32" i="1"/>
  <c r="Q38" i="1"/>
  <c r="T38" i="1" s="1"/>
  <c r="U38" i="1" s="1"/>
  <c r="S39" i="1"/>
  <c r="Q30" i="1"/>
  <c r="T30" i="1" s="1"/>
  <c r="U30" i="1" s="1"/>
  <c r="Q43" i="1"/>
  <c r="T43" i="1" s="1"/>
  <c r="U43" i="1" s="1"/>
  <c r="S43" i="1"/>
  <c r="S36" i="1"/>
  <c r="S37" i="1"/>
  <c r="S18" i="1"/>
  <c r="S26" i="1"/>
  <c r="J28" i="1"/>
  <c r="S30" i="1"/>
  <c r="Q34" i="1"/>
  <c r="T34" i="1" s="1"/>
  <c r="U34" i="1" s="1"/>
  <c r="S35" i="1"/>
  <c r="Q27" i="1"/>
  <c r="T27" i="1" s="1"/>
  <c r="U27" i="1" s="1"/>
  <c r="S31" i="1"/>
  <c r="Q37" i="1"/>
  <c r="T37" i="1" s="1"/>
  <c r="U37" i="1" s="1"/>
  <c r="Q39" i="1"/>
  <c r="T39" i="1" s="1"/>
  <c r="U39" i="1" s="1"/>
  <c r="Q40" i="1"/>
  <c r="T40" i="1" s="1"/>
  <c r="U40" i="1" s="1"/>
  <c r="Q44" i="1"/>
  <c r="T44" i="1" s="1"/>
  <c r="U44" i="1" s="1"/>
  <c r="Q32" i="1"/>
  <c r="T32" i="1" s="1"/>
  <c r="U32" i="1" s="1"/>
  <c r="Q42" i="1"/>
  <c r="T42" i="1" s="1"/>
  <c r="U42" i="1" s="1"/>
  <c r="J46" i="1"/>
  <c r="M46" i="1" s="1"/>
  <c r="N46" i="1" s="1"/>
  <c r="J41" i="1"/>
  <c r="J37" i="1"/>
  <c r="J33" i="1"/>
  <c r="J29" i="1"/>
  <c r="J25" i="1"/>
  <c r="J21" i="1"/>
  <c r="J17" i="1"/>
  <c r="M17" i="1" s="1"/>
  <c r="N17" i="1" s="1"/>
  <c r="J13" i="1"/>
  <c r="M13" i="1" s="1"/>
  <c r="N13" i="1" s="1"/>
  <c r="J12" i="1"/>
  <c r="M12" i="1" s="1"/>
  <c r="N12" i="1" s="1"/>
  <c r="J44" i="1"/>
  <c r="J42" i="1"/>
  <c r="J38" i="1"/>
  <c r="J34" i="1"/>
  <c r="J30" i="1"/>
  <c r="J26" i="1"/>
  <c r="J22" i="1"/>
  <c r="J18" i="1"/>
  <c r="M18" i="1" s="1"/>
  <c r="N18" i="1" s="1"/>
  <c r="J14" i="1"/>
  <c r="M14" i="1" s="1"/>
  <c r="N14" i="1" s="1"/>
  <c r="J45" i="1"/>
  <c r="J8" i="1"/>
  <c r="J9" i="1"/>
  <c r="J10" i="1"/>
  <c r="M10" i="1" s="1"/>
  <c r="N10" i="1" s="1"/>
  <c r="J15" i="1"/>
  <c r="J23" i="1"/>
  <c r="M23" i="1" s="1"/>
  <c r="N23" i="1" s="1"/>
  <c r="S45" i="1"/>
  <c r="S40" i="1"/>
  <c r="S32" i="1"/>
  <c r="S28" i="1"/>
  <c r="S24" i="1"/>
  <c r="S20" i="1"/>
  <c r="S16" i="1"/>
  <c r="S46" i="1"/>
  <c r="S41" i="1"/>
  <c r="S33" i="1"/>
  <c r="S29" i="1"/>
  <c r="S25" i="1"/>
  <c r="S21" i="1"/>
  <c r="S17" i="1"/>
  <c r="S13" i="1"/>
  <c r="S11" i="1"/>
  <c r="S44" i="1"/>
  <c r="S12" i="1"/>
  <c r="S19" i="1"/>
  <c r="Q35" i="1"/>
  <c r="T35" i="1" s="1"/>
  <c r="U35" i="1" s="1"/>
  <c r="J39" i="1"/>
  <c r="J40" i="1"/>
  <c r="S42" i="1"/>
  <c r="Q45" i="1"/>
  <c r="T45" i="1" s="1"/>
  <c r="U45" i="1" s="1"/>
  <c r="J11" i="1"/>
  <c r="M11" i="1" s="1"/>
  <c r="N11" i="1" s="1"/>
  <c r="S14" i="1"/>
  <c r="S22" i="1"/>
  <c r="U11" i="1"/>
  <c r="H159" i="7" l="1"/>
  <c r="H160" i="7"/>
  <c r="H157" i="7" a="1"/>
  <c r="H157" i="7" s="1"/>
  <c r="H158" i="7" s="1"/>
  <c r="H156" i="7"/>
  <c r="V59" i="7"/>
  <c r="V58" i="7"/>
  <c r="A36" i="6" a="1"/>
  <c r="A36" i="6" s="1"/>
  <c r="A46" i="6" a="1"/>
  <c r="A46" i="6" s="1"/>
  <c r="B109" i="1" a="1"/>
  <c r="M38" i="1"/>
  <c r="N38" i="1" s="1"/>
  <c r="M26" i="1"/>
  <c r="N26" i="1" s="1"/>
  <c r="M35" i="1"/>
  <c r="N35" i="1" s="1"/>
  <c r="M9" i="1"/>
  <c r="N9" i="1" s="1"/>
  <c r="M45" i="1"/>
  <c r="N45" i="1" s="1"/>
  <c r="M36" i="1"/>
  <c r="N36" i="1" s="1"/>
  <c r="M27" i="1"/>
  <c r="N27" i="1" s="1"/>
  <c r="M19" i="1"/>
  <c r="N19" i="1" s="1"/>
  <c r="M43" i="1"/>
  <c r="N43" i="1" s="1"/>
  <c r="M15" i="1"/>
  <c r="N15" i="1" s="1"/>
  <c r="M22" i="1"/>
  <c r="N22" i="1" s="1"/>
  <c r="M44" i="1"/>
  <c r="N44" i="1" s="1"/>
  <c r="M39" i="1"/>
  <c r="N39" i="1" s="1"/>
  <c r="B71" i="1" a="1"/>
  <c r="Y71" i="1" s="1"/>
  <c r="M31" i="1"/>
  <c r="N31" i="1" s="1"/>
  <c r="M24" i="1"/>
  <c r="N24" i="1" s="1"/>
  <c r="B108" i="1"/>
  <c r="M25" i="1"/>
  <c r="N25" i="1" s="1"/>
  <c r="M34" i="1"/>
  <c r="N34" i="1" s="1"/>
  <c r="M8" i="1"/>
  <c r="N8" i="1" s="1"/>
  <c r="M30" i="1"/>
  <c r="N30" i="1" s="1"/>
  <c r="B105" i="1" a="1"/>
  <c r="M33" i="1"/>
  <c r="N33" i="1" s="1"/>
  <c r="B104" i="1" a="1"/>
  <c r="B104" i="1" s="1"/>
  <c r="M40" i="1"/>
  <c r="N40" i="1" s="1"/>
  <c r="B92" i="1" a="1"/>
  <c r="B92" i="1" s="1"/>
  <c r="B86" i="1" a="1"/>
  <c r="B86" i="1" s="1"/>
  <c r="B76" i="1" a="1"/>
  <c r="B76" i="1" s="1"/>
  <c r="B98" i="1" a="1"/>
  <c r="B98" i="1" s="1"/>
  <c r="B102" i="1" a="1"/>
  <c r="B68" i="1" a="1"/>
  <c r="M37" i="1"/>
  <c r="N37" i="1" s="1"/>
  <c r="M29" i="1"/>
  <c r="N29" i="1" s="1"/>
  <c r="B87" i="1" a="1"/>
  <c r="B87" i="1" s="1"/>
  <c r="B51" i="1" a="1"/>
  <c r="B51" i="1" s="1"/>
  <c r="B106" i="1" a="1"/>
  <c r="M41" i="1"/>
  <c r="N41" i="1" s="1"/>
  <c r="M28" i="1"/>
  <c r="N28" i="1" s="1"/>
  <c r="B80" i="1" a="1"/>
  <c r="B93" i="1" a="1"/>
  <c r="B93" i="1" s="1"/>
  <c r="B62" i="1" a="1"/>
  <c r="B99" i="1" a="1"/>
  <c r="B99" i="1" s="1"/>
  <c r="B96" i="1" a="1"/>
  <c r="B96" i="1" s="1"/>
  <c r="B59" i="1" a="1"/>
  <c r="B90" i="1" a="1"/>
  <c r="B90" i="1" s="1"/>
  <c r="B84" i="1" a="1"/>
  <c r="B84" i="1" s="1"/>
  <c r="Y109" i="1"/>
  <c r="B109" i="1"/>
  <c r="M42" i="1"/>
  <c r="N42" i="1" s="1"/>
  <c r="B53" i="1" a="1"/>
  <c r="M32" i="1"/>
  <c r="N32" i="1" s="1"/>
  <c r="B103" i="1" a="1"/>
  <c r="B75" i="1" a="1"/>
  <c r="B75" i="1" s="1"/>
  <c r="B61" i="1" a="1"/>
  <c r="B57" i="1" a="1"/>
  <c r="B85" i="1" a="1"/>
  <c r="B85" i="1" s="1"/>
  <c r="Y107" i="1"/>
  <c r="B107" i="1"/>
  <c r="M21" i="1"/>
  <c r="N21" i="1" s="1"/>
  <c r="V57" i="7" l="1"/>
  <c r="B53" i="1"/>
  <c r="Y53" i="1" a="1"/>
  <c r="Y53" i="1" s="1"/>
  <c r="B91" i="1" a="1"/>
  <c r="B91" i="1" s="1"/>
  <c r="B54" i="1" a="1"/>
  <c r="B72" i="1" a="1"/>
  <c r="B72" i="1" s="1"/>
  <c r="B69" i="1" a="1"/>
  <c r="Y69" i="1" s="1"/>
  <c r="B60" i="1" a="1"/>
  <c r="B60" i="1" s="1"/>
  <c r="B81" i="1" a="1"/>
  <c r="B77" i="1" a="1"/>
  <c r="B77" i="1" s="1"/>
  <c r="B71" i="1"/>
  <c r="B52" i="1" a="1"/>
  <c r="B63" i="1" a="1"/>
  <c r="Y63" i="1" s="1"/>
  <c r="B66" i="1" a="1"/>
  <c r="B64" i="1" a="1"/>
  <c r="B57" i="1"/>
  <c r="B78" i="1" a="1"/>
  <c r="B78" i="1" s="1"/>
  <c r="B79" i="1" a="1"/>
  <c r="Y61" i="1"/>
  <c r="B61" i="1"/>
  <c r="O106" i="1"/>
  <c r="B106" i="1"/>
  <c r="Y105" i="1"/>
  <c r="Z105" i="1" s="1"/>
  <c r="B105" i="1"/>
  <c r="B97" i="1" a="1"/>
  <c r="B97" i="1" s="1"/>
  <c r="B70" i="1" a="1"/>
  <c r="Y68" i="1"/>
  <c r="B68" i="1"/>
  <c r="Y59" i="1"/>
  <c r="B59" i="1"/>
  <c r="B62" i="1"/>
  <c r="Y62" i="1"/>
  <c r="O103" i="1"/>
  <c r="B103" i="1"/>
  <c r="O102" i="1"/>
  <c r="B102" i="1"/>
  <c r="B67" i="1" a="1"/>
  <c r="AC80" i="1" a="1"/>
  <c r="AC80" i="1" s="1"/>
  <c r="Y80" i="1"/>
  <c r="B80" i="1"/>
  <c r="B65" i="1" a="1"/>
  <c r="B58" i="1" a="1"/>
  <c r="Y72" i="1" l="1"/>
  <c r="B69" i="1"/>
  <c r="B54" i="1"/>
  <c r="Y54" i="1" a="1"/>
  <c r="Y54" i="1" s="1"/>
  <c r="B52" i="1"/>
  <c r="Y52" i="1" a="1"/>
  <c r="Y52" i="1" s="1"/>
  <c r="B81" i="1"/>
  <c r="Y81" i="1"/>
  <c r="B63" i="1"/>
  <c r="Y60" i="1"/>
  <c r="AC81" i="1" a="1"/>
  <c r="AC81" i="1" s="1"/>
  <c r="Y66" i="1"/>
  <c r="B66" i="1"/>
  <c r="Z109" i="1"/>
  <c r="Z107" i="1"/>
  <c r="AC79" i="1" a="1"/>
  <c r="AC79" i="1" s="1"/>
  <c r="Y79" i="1"/>
  <c r="Z79" i="1" s="1"/>
  <c r="AA80" i="1" s="1"/>
  <c r="AA81" i="1" s="1"/>
  <c r="B79" i="1"/>
  <c r="P109" i="1"/>
  <c r="AC109" i="1" s="1" a="1"/>
  <c r="AC109" i="1" s="1"/>
  <c r="P108" i="1"/>
  <c r="AC108" i="1" s="1" a="1"/>
  <c r="AC108" i="1" s="1"/>
  <c r="P107" i="1"/>
  <c r="AC107" i="1" s="1" a="1"/>
  <c r="AC107" i="1" s="1"/>
  <c r="P105" i="1"/>
  <c r="AC105" i="1" s="1" a="1"/>
  <c r="AC105" i="1" s="1"/>
  <c r="P104" i="1"/>
  <c r="B70" i="1"/>
  <c r="Y70" i="1"/>
  <c r="Y58" i="1"/>
  <c r="B58" i="1"/>
  <c r="AA107" i="1"/>
  <c r="Y65" i="1"/>
  <c r="B65" i="1"/>
  <c r="Y67" i="1"/>
  <c r="B67" i="1"/>
  <c r="Y64" i="1"/>
  <c r="B64" i="1"/>
  <c r="AA6" i="1" l="1"/>
  <c r="AD6" i="1" s="1"/>
  <c r="AC22" i="1" s="1"/>
  <c r="AD22" i="1" s="1"/>
  <c r="AC40" i="1"/>
  <c r="AD40" i="1" s="1"/>
  <c r="AC19" i="1"/>
  <c r="AD19" i="1" s="1"/>
  <c r="AC35" i="1"/>
  <c r="AD35" i="1" s="1"/>
  <c r="AC36" i="1"/>
  <c r="AD36" i="1" s="1"/>
  <c r="AC33" i="1"/>
  <c r="AD33" i="1" s="1"/>
  <c r="AC26" i="1"/>
  <c r="AD26" i="1" s="1"/>
  <c r="AC41" i="1"/>
  <c r="AD41" i="1" s="1"/>
  <c r="AC25" i="1"/>
  <c r="AD25" i="1" s="1"/>
  <c r="AC27" i="1"/>
  <c r="AD27" i="1" s="1"/>
  <c r="AC15" i="1"/>
  <c r="AD15" i="1" s="1"/>
  <c r="AC32" i="1"/>
  <c r="AD32" i="1" s="1"/>
  <c r="AC39" i="1"/>
  <c r="AD39" i="1" s="1"/>
  <c r="AC42" i="1"/>
  <c r="AD42" i="1" s="1"/>
  <c r="AA109" i="1"/>
  <c r="AB109" i="1"/>
  <c r="Z80" i="1"/>
  <c r="Z81" i="1"/>
  <c r="AB81" i="1"/>
  <c r="Z108" i="1"/>
  <c r="AA108" i="1"/>
  <c r="AC31" i="1" l="1"/>
  <c r="AD31" i="1" s="1"/>
  <c r="AM27" i="7"/>
  <c r="AC38" i="1"/>
  <c r="AD38" i="1" s="1"/>
  <c r="AC21" i="1"/>
  <c r="AD21" i="1" s="1"/>
  <c r="AC20" i="1"/>
  <c r="AD20" i="1" s="1"/>
  <c r="AC45" i="1"/>
  <c r="AD45" i="1" s="1"/>
  <c r="AC24" i="1"/>
  <c r="AD24" i="1" s="1"/>
  <c r="AC13" i="1"/>
  <c r="AD13" i="1" s="1"/>
  <c r="AC30" i="1"/>
  <c r="AD30" i="1" s="1"/>
  <c r="AC28" i="1"/>
  <c r="AD28" i="1" s="1"/>
  <c r="AC29" i="1"/>
  <c r="AD29" i="1" s="1"/>
  <c r="AC23" i="1"/>
  <c r="AD23" i="1" s="1"/>
  <c r="AC17" i="1"/>
  <c r="AD17" i="1" s="1"/>
  <c r="AC16" i="1"/>
  <c r="AD16" i="1" s="1"/>
  <c r="AC37" i="1"/>
  <c r="AD37" i="1" s="1"/>
  <c r="AC34" i="1"/>
  <c r="AD34" i="1" s="1"/>
  <c r="AC18" i="1"/>
  <c r="AD18" i="1" s="1"/>
  <c r="AC14" i="1"/>
  <c r="AD14" i="1" s="1"/>
  <c r="AC44" i="1"/>
  <c r="AD44" i="1" s="1"/>
  <c r="C183" i="7" l="1"/>
  <c r="C168" i="7"/>
  <c r="C191" i="7"/>
  <c r="C176" i="7"/>
  <c r="C199" i="7"/>
  <c r="C192" i="7"/>
  <c r="C175" i="7"/>
  <c r="C184" i="7"/>
  <c r="C182" i="7"/>
  <c r="C180" i="7"/>
  <c r="C178" i="7"/>
  <c r="C177" i="7"/>
  <c r="C194" i="7"/>
  <c r="C174" i="7"/>
  <c r="C172" i="7"/>
  <c r="C170" i="7"/>
  <c r="C179" i="7"/>
  <c r="C171" i="7"/>
  <c r="C186" i="7"/>
  <c r="C197" i="7"/>
  <c r="C195" i="7"/>
  <c r="C193" i="7"/>
  <c r="C181" i="7"/>
  <c r="C173" i="7"/>
  <c r="C196" i="7"/>
  <c r="C188" i="7"/>
  <c r="C189" i="7"/>
  <c r="C187" i="7"/>
  <c r="C185" i="7"/>
  <c r="C169" i="7"/>
  <c r="C198" i="7"/>
  <c r="C190" i="7"/>
  <c r="AF67" i="7"/>
  <c r="AG67" i="7" s="1"/>
  <c r="AH67" i="7" s="1"/>
  <c r="AF74" i="7"/>
  <c r="AG74" i="7" s="1"/>
  <c r="AH74" i="7" s="1"/>
  <c r="AF82" i="7"/>
  <c r="AG82" i="7" s="1"/>
  <c r="AH82" i="7" s="1"/>
  <c r="AF66" i="7"/>
  <c r="AG66" i="7" s="1"/>
  <c r="AH66" i="7" s="1"/>
  <c r="AF63" i="7"/>
  <c r="AG63" i="7" s="1"/>
  <c r="AH63" i="7" s="1"/>
  <c r="AF64" i="7"/>
  <c r="AG64" i="7" s="1"/>
  <c r="AH64" i="7" s="1"/>
  <c r="AF65" i="7"/>
  <c r="AG65" i="7" s="1"/>
  <c r="AH65" i="7" s="1"/>
  <c r="AF61" i="7"/>
  <c r="AG61" i="7" s="1"/>
  <c r="AF71" i="7"/>
  <c r="AG71" i="7" s="1"/>
  <c r="AH71" i="7" s="1"/>
  <c r="AF72" i="7"/>
  <c r="AG72" i="7" s="1"/>
  <c r="AH72" i="7" s="1"/>
  <c r="AF73" i="7"/>
  <c r="AG73" i="7" s="1"/>
  <c r="AH73" i="7" s="1"/>
  <c r="AF69" i="7"/>
  <c r="AG69" i="7" s="1"/>
  <c r="AH69" i="7" s="1"/>
  <c r="AF79" i="7"/>
  <c r="AG79" i="7" s="1"/>
  <c r="AH79" i="7" s="1"/>
  <c r="AF89" i="7"/>
  <c r="AG89" i="7" s="1"/>
  <c r="AH89" i="7" s="1"/>
  <c r="AF68" i="7"/>
  <c r="AG68" i="7" s="1"/>
  <c r="AH68" i="7" s="1"/>
  <c r="AF80" i="7"/>
  <c r="AG80" i="7" s="1"/>
  <c r="AH80" i="7" s="1"/>
  <c r="AF81" i="7"/>
  <c r="AG81" i="7" s="1"/>
  <c r="AH81" i="7" s="1"/>
  <c r="AF77" i="7"/>
  <c r="AG77" i="7" s="1"/>
  <c r="AH77" i="7" s="1"/>
  <c r="AF62" i="7"/>
  <c r="AG62" i="7" s="1"/>
  <c r="AH62" i="7" s="1"/>
  <c r="AF75" i="7"/>
  <c r="AG75" i="7" s="1"/>
  <c r="AH75" i="7" s="1"/>
  <c r="AF78" i="7"/>
  <c r="AG78" i="7" s="1"/>
  <c r="AH78" i="7" s="1"/>
  <c r="AF76" i="7"/>
  <c r="AG76" i="7" s="1"/>
  <c r="AH76" i="7" s="1"/>
  <c r="AF88" i="7"/>
  <c r="AG88" i="7" s="1"/>
  <c r="AH88" i="7" s="1"/>
  <c r="AF70" i="7"/>
  <c r="AG70" i="7" s="1"/>
  <c r="AH70" i="7" s="1"/>
  <c r="AF83" i="7"/>
  <c r="AG83" i="7" s="1"/>
  <c r="AH83" i="7" s="1"/>
  <c r="AF90" i="7"/>
  <c r="AG90" i="7" s="1"/>
  <c r="AH90" i="7" s="1"/>
  <c r="AF102" i="7"/>
  <c r="AG102" i="7" s="1"/>
  <c r="AH102" i="7" s="1"/>
  <c r="AF85" i="7"/>
  <c r="AG85" i="7" s="1"/>
  <c r="AH85" i="7" s="1"/>
  <c r="AF96" i="7"/>
  <c r="AG96" i="7" s="1"/>
  <c r="AH96" i="7" s="1"/>
  <c r="AF92" i="7"/>
  <c r="AG92" i="7" s="1"/>
  <c r="AH92" i="7" s="1"/>
  <c r="AF87" i="7"/>
  <c r="AG87" i="7" s="1"/>
  <c r="AH87" i="7" s="1"/>
  <c r="AF95" i="7"/>
  <c r="AG95" i="7" s="1"/>
  <c r="AH95" i="7" s="1"/>
  <c r="AF101" i="7"/>
  <c r="AG101" i="7" s="1"/>
  <c r="AH101" i="7" s="1"/>
  <c r="AF104" i="7"/>
  <c r="AG104" i="7" s="1"/>
  <c r="AH104" i="7" s="1"/>
  <c r="AF86" i="7"/>
  <c r="AG86" i="7" s="1"/>
  <c r="AH86" i="7" s="1"/>
  <c r="AF97" i="7"/>
  <c r="AG97" i="7" s="1"/>
  <c r="AH97" i="7" s="1"/>
  <c r="AF93" i="7"/>
  <c r="AF98" i="7"/>
  <c r="AG98" i="7" s="1"/>
  <c r="AH98" i="7" s="1"/>
  <c r="AF105" i="7"/>
  <c r="AG105" i="7" s="1"/>
  <c r="AH105" i="7" s="1"/>
  <c r="AF106" i="7"/>
  <c r="AG106" i="7" s="1"/>
  <c r="AH106" i="7" s="1"/>
  <c r="AF103" i="7"/>
  <c r="AG103" i="7" s="1"/>
  <c r="AH103" i="7" s="1"/>
  <c r="AF100" i="7"/>
  <c r="AG100" i="7" s="1"/>
  <c r="AH100" i="7" s="1"/>
  <c r="AF99" i="7"/>
  <c r="AG99" i="7" s="1"/>
  <c r="AH99" i="7" s="1"/>
  <c r="AF94" i="7"/>
  <c r="AG94" i="7" s="1"/>
  <c r="AH94" i="7" s="1"/>
  <c r="AF84" i="7"/>
  <c r="AG84" i="7" s="1"/>
  <c r="AH84" i="7" s="1"/>
  <c r="AF91" i="7"/>
  <c r="AG91" i="7" s="1"/>
  <c r="AH91" i="7" s="1"/>
  <c r="AG93" i="7" l="1"/>
  <c r="AH93" i="7" s="1"/>
  <c r="AH61" i="7"/>
  <c r="AG59" i="7" l="1"/>
  <c r="F156" i="7"/>
  <c r="F161" i="7"/>
  <c r="F157" i="7" a="1"/>
  <c r="F157" i="7" s="1"/>
  <c r="F158" i="7" s="1"/>
  <c r="F160" i="7"/>
  <c r="F159" i="7"/>
  <c r="AG58" i="7"/>
  <c r="AG57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<sst xmlns="http://schemas.openxmlformats.org/spreadsheetml/2006/main" count="352" uniqueCount="183">
  <si>
    <t>Shape:</t>
  </si>
  <si>
    <t>Layers:</t>
  </si>
  <si>
    <t>Turns:</t>
  </si>
  <si>
    <t>Trace width [mm]:</t>
  </si>
  <si>
    <t>Clearance [mm]:</t>
  </si>
  <si>
    <t>Diam. [mm]:</t>
  </si>
  <si>
    <t>Predicted Resistance [mΩ]:</t>
  </si>
  <si>
    <t>Measured Resistance [mΩ]:</t>
  </si>
  <si>
    <t>Square</t>
  </si>
  <si>
    <t>Circular</t>
  </si>
  <si>
    <t>hexagon</t>
  </si>
  <si>
    <t>Calculated trace length [mm]:</t>
  </si>
  <si>
    <r>
      <t>Measurement error [</t>
    </r>
    <r>
      <rPr>
        <b/>
        <sz val="11"/>
        <color theme="1"/>
        <rFont val="Calibri"/>
        <family val="2"/>
      </rPr>
      <t>±mΩ]:</t>
    </r>
  </si>
  <si>
    <t>Prediction error [mΩ]:</t>
  </si>
  <si>
    <t>single-layer on PA</t>
  </si>
  <si>
    <t>2-layer PCB</t>
  </si>
  <si>
    <t>4-layer PCB</t>
  </si>
  <si>
    <t>mes. Tolerance:</t>
  </si>
  <si>
    <t>copper resistivity [Ω*m]:</t>
  </si>
  <si>
    <r>
      <t>Predicted Inductance [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H]:</t>
    </r>
  </si>
  <si>
    <t>Measured Inductance [µH]:</t>
  </si>
  <si>
    <t>Prediction error [µH]:</t>
  </si>
  <si>
    <r>
      <t>inferred copper thickness [</t>
    </r>
    <r>
      <rPr>
        <sz val="11"/>
        <color theme="1"/>
        <rFont val="Calibri"/>
        <family val="2"/>
      </rPr>
      <t>µm</t>
    </r>
    <r>
      <rPr>
        <sz val="11"/>
        <color theme="1"/>
        <rFont val="Calibri"/>
        <family val="2"/>
        <scheme val="minor"/>
      </rPr>
      <t>]:</t>
    </r>
  </si>
  <si>
    <r>
      <t>(predict.) copper thickness [</t>
    </r>
    <r>
      <rPr>
        <sz val="11"/>
        <color theme="1"/>
        <rFont val="Calibri"/>
        <family val="2"/>
      </rPr>
      <t>µm</t>
    </r>
    <r>
      <rPr>
        <sz val="11"/>
        <color theme="1"/>
        <rFont val="Calibri"/>
        <family val="2"/>
        <scheme val="minor"/>
      </rPr>
      <t>]:</t>
    </r>
  </si>
  <si>
    <t>Layer spacing [mm]:</t>
  </si>
  <si>
    <t>PCBthickness [mm]:</t>
  </si>
  <si>
    <t>1-layer Predicted inductance [µH]:</t>
  </si>
  <si>
    <r>
      <t xml:space="preserve">this color indicates the </t>
    </r>
    <r>
      <rPr>
        <b/>
        <sz val="11"/>
        <color theme="1"/>
        <rFont val="Calibri"/>
        <family val="2"/>
        <scheme val="minor"/>
      </rPr>
      <t>circular</t>
    </r>
    <r>
      <rPr>
        <sz val="11"/>
        <color theme="1"/>
        <rFont val="Calibri"/>
        <family val="2"/>
        <scheme val="minor"/>
      </rPr>
      <t xml:space="preserve"> norm (at different numbers of layers)</t>
    </r>
  </si>
  <si>
    <r>
      <t xml:space="preserve">this color indicates the </t>
    </r>
    <r>
      <rPr>
        <b/>
        <sz val="11"/>
        <color theme="1"/>
        <rFont val="Calibri"/>
        <family val="2"/>
        <scheme val="minor"/>
      </rPr>
      <t>square</t>
    </r>
    <r>
      <rPr>
        <sz val="11"/>
        <color theme="1"/>
        <rFont val="Calibri"/>
        <family val="2"/>
        <scheme val="minor"/>
      </rPr>
      <t xml:space="preserve"> norm (at different numbers of layers)</t>
    </r>
  </si>
  <si>
    <r>
      <rPr>
        <b/>
        <sz val="11"/>
        <color rgb="FFFF0000"/>
        <rFont val="Calibri"/>
        <family val="2"/>
        <scheme val="minor"/>
      </rPr>
      <t>red letters</t>
    </r>
    <r>
      <rPr>
        <sz val="11"/>
        <color theme="1"/>
        <rFont val="Calibri"/>
        <family val="2"/>
        <scheme val="minor"/>
      </rPr>
      <t xml:space="preserve"> indicate the variation from the norm (per PCB!)</t>
    </r>
  </si>
  <si>
    <t>PCB:</t>
  </si>
  <si>
    <t>Prediction error [% of measur.]:</t>
  </si>
  <si>
    <t>K_turns:</t>
  </si>
  <si>
    <t>A0:</t>
  </si>
  <si>
    <t>A1:</t>
  </si>
  <si>
    <t>A2:</t>
  </si>
  <si>
    <t>A3:</t>
  </si>
  <si>
    <t>B0:</t>
  </si>
  <si>
    <t>B1:</t>
  </si>
  <si>
    <t>B2:</t>
  </si>
  <si>
    <t>1/C (K_gen):</t>
  </si>
  <si>
    <t>Triangular</t>
  </si>
  <si>
    <t>(top_in1_in2)0,8</t>
  </si>
  <si>
    <t>(top_bot)0,8</t>
  </si>
  <si>
    <t>(top_in2)0,8</t>
  </si>
  <si>
    <t>(in1_in2)0,8</t>
  </si>
  <si>
    <t>(top_in1_bot)0,8</t>
  </si>
  <si>
    <t>(top_in1)0,8</t>
  </si>
  <si>
    <t>multiple</t>
  </si>
  <si>
    <t>K_turns adjusted:</t>
  </si>
  <si>
    <t>new pred [µH]:</t>
  </si>
  <si>
    <t>new pred err [%]:</t>
  </si>
  <si>
    <r>
      <t>Measurement error [</t>
    </r>
    <r>
      <rPr>
        <b/>
        <sz val="11"/>
        <color theme="1"/>
        <rFont val="Calibri"/>
        <family val="2"/>
      </rPr>
      <t>±%]:</t>
    </r>
  </si>
  <si>
    <t>no obvious correlation</t>
  </si>
  <si>
    <t>K_sum real:</t>
  </si>
  <si>
    <t>measurement equipment used:</t>
  </si>
  <si>
    <t>DER EE DE-5000</t>
  </si>
  <si>
    <t>inductance</t>
  </si>
  <si>
    <t>resistance (4-wire)</t>
  </si>
  <si>
    <t>RIGOL DM3058E</t>
  </si>
  <si>
    <t>effect of # turns is too pronounced</t>
  </si>
  <si>
    <t>distance effect curve is too steep</t>
  </si>
  <si>
    <t>B should be a constant &lt; 0.8, A should be a better curve to match the new B, C should be worked into constant B</t>
  </si>
  <si>
    <t>only outer layers</t>
  </si>
  <si>
    <t>1 outer 1 inner</t>
  </si>
  <si>
    <t>only inner layers</t>
  </si>
  <si>
    <t>1 outer 2 inner</t>
  </si>
  <si>
    <t>2 outer 1 inner</t>
  </si>
  <si>
    <t>2 outer 2 inner</t>
  </si>
  <si>
    <t>outer layers:</t>
  </si>
  <si>
    <t>inner layers:</t>
  </si>
  <si>
    <t>one-layer resistance</t>
  </si>
  <si>
    <t>new prediction</t>
  </si>
  <si>
    <t>sample name</t>
  </si>
  <si>
    <t>top bot</t>
  </si>
  <si>
    <t>top</t>
  </si>
  <si>
    <t>in1</t>
  </si>
  <si>
    <t>in2</t>
  </si>
  <si>
    <t>top in1</t>
  </si>
  <si>
    <t>top in2</t>
  </si>
  <si>
    <t>top in3</t>
  </si>
  <si>
    <t>top in4</t>
  </si>
  <si>
    <t>top in1 in2</t>
  </si>
  <si>
    <t>top in1 in2 in3</t>
  </si>
  <si>
    <t>all except bot</t>
  </si>
  <si>
    <t>all 6 layers</t>
  </si>
  <si>
    <t>in1 in2</t>
  </si>
  <si>
    <t>in1 in4</t>
  </si>
  <si>
    <t>top in2 in4</t>
  </si>
  <si>
    <t>in2 in3</t>
  </si>
  <si>
    <t>RELATIVE MODE USED THIS TIME (calibrated by connecting aligator clips together)</t>
  </si>
  <si>
    <t>at 100kHz after calibrating short clamps</t>
  </si>
  <si>
    <t>(top,in1,in2)1.2</t>
  </si>
  <si>
    <t>(top,in1)1.2</t>
  </si>
  <si>
    <t>(top,in2)1.2</t>
  </si>
  <si>
    <t>(top,in3)1.2</t>
  </si>
  <si>
    <t>(top,in4)1.2</t>
  </si>
  <si>
    <t>(top,in1,in2,in3)1.2</t>
  </si>
  <si>
    <t>(top,in1,in2,in3,in4)1.2</t>
  </si>
  <si>
    <t>(in1,in2)1.2</t>
  </si>
  <si>
    <t>(in1,in4)1.2</t>
  </si>
  <si>
    <t>(in2,in3)1.2</t>
  </si>
  <si>
    <t>(top,in2,in4)1.2</t>
  </si>
  <si>
    <t>PCB total (outer)</t>
  </si>
  <si>
    <t>outer layer</t>
  </si>
  <si>
    <t>mm</t>
  </si>
  <si>
    <t>inner layer</t>
  </si>
  <si>
    <t>thicknesses [mm]</t>
  </si>
  <si>
    <t>core</t>
  </si>
  <si>
    <t>prepreg outer</t>
  </si>
  <si>
    <t>prepreg center</t>
  </si>
  <si>
    <t>mixed</t>
  </si>
  <si>
    <t>outer layers</t>
  </si>
  <si>
    <t>inner layers</t>
  </si>
  <si>
    <t>should be constant</t>
  </si>
  <si>
    <t>layer spacing [mm]:</t>
  </si>
  <si>
    <t>6L</t>
  </si>
  <si>
    <t>4L</t>
  </si>
  <si>
    <t>top in1 &amp; in1 in2</t>
  </si>
  <si>
    <t>top &amp; in1 &amp; in2</t>
  </si>
  <si>
    <t>2L</t>
  </si>
  <si>
    <t>all 4</t>
  </si>
  <si>
    <t>D1</t>
  </si>
  <si>
    <t>D0</t>
  </si>
  <si>
    <t>(Lm / Ls) - Nlayers</t>
  </si>
  <si>
    <t>new prediction error [% of measurement]</t>
  </si>
  <si>
    <t>new L predict. [µH]:</t>
  </si>
  <si>
    <t>6L stack</t>
  </si>
  <si>
    <t>4L stack</t>
  </si>
  <si>
    <t>from stack table</t>
  </si>
  <si>
    <t>layer stack: (hidden rows)</t>
  </si>
  <si>
    <t>bot</t>
  </si>
  <si>
    <t>in3</t>
  </si>
  <si>
    <t>in4</t>
  </si>
  <si>
    <t>7628 prepreg</t>
  </si>
  <si>
    <t>3313 prepreg</t>
  </si>
  <si>
    <t>2116 prepreg</t>
  </si>
  <si>
    <t>top in1 bot</t>
  </si>
  <si>
    <t>6-layer PCB</t>
  </si>
  <si>
    <t>sample name:</t>
  </si>
  <si>
    <t>PCB name:</t>
  </si>
  <si>
    <t>4-layer PCB (outliers)</t>
  </si>
  <si>
    <t>sum(s)</t>
  </si>
  <si>
    <t>triang_N</t>
  </si>
  <si>
    <t>x = sum(s) / triang_N</t>
  </si>
  <si>
    <t>got better</t>
  </si>
  <si>
    <t>got worse</t>
  </si>
  <si>
    <t>inner diam [mm]</t>
  </si>
  <si>
    <t>trace length [mm]</t>
  </si>
  <si>
    <t>avg err [abs%]:</t>
  </si>
  <si>
    <t>single-layer, and within reasonable margin of measurement error</t>
  </si>
  <si>
    <t>((Lm / Ls) - Nl)/2</t>
  </si>
  <si>
    <t>y = (((Lm / Ls) - N)/2) / triang_N</t>
  </si>
  <si>
    <t>NOTE: D1 still in 1/mm!</t>
  </si>
  <si>
    <t>better?</t>
  </si>
  <si>
    <t>old prediction error [% of measurement]</t>
  </si>
  <si>
    <t>old L predict. [µH]:</t>
  </si>
  <si>
    <t>old L predict. with K_turns fix [µH]:</t>
  </si>
  <si>
    <t>old prediction with K_turns fix error [% of measurement]</t>
  </si>
  <si>
    <t>old/original K_layers for 6L</t>
  </si>
  <si>
    <t>old/original K_layers for 4L</t>
  </si>
  <si>
    <t>sum(K_layers):</t>
  </si>
  <si>
    <t>reworked original formula for variable layer spacing</t>
  </si>
  <si>
    <t>was worse</t>
  </si>
  <si>
    <t>was better</t>
  </si>
  <si>
    <t>spacing</t>
  </si>
  <si>
    <t>original formula</t>
  </si>
  <si>
    <t>my formula</t>
  </si>
  <si>
    <t>original formula with K_turns fix</t>
  </si>
  <si>
    <t>final results:</t>
  </si>
  <si>
    <t>statistical analysis of results:</t>
  </si>
  <si>
    <t>original with K_turns fix</t>
  </si>
  <si>
    <t>my formula (1st D constants)</t>
  </si>
  <si>
    <t>my formula (2nd D constants)</t>
  </si>
  <si>
    <t>average absolute error [% of measurement]</t>
  </si>
  <si>
    <t>sum of squared error [% of measurement]</t>
  </si>
  <si>
    <t>std. dev. of error [% of measurement]</t>
  </si>
  <si>
    <t>root mean square of error [% of measurement]</t>
  </si>
  <si>
    <t>max error within dataset [% of measurement]</t>
  </si>
  <si>
    <t>max error within dataset [% of measurement], 12mm samples excluded</t>
  </si>
  <si>
    <t>sum:</t>
  </si>
  <si>
    <t>(supposed to be 1.2)</t>
  </si>
  <si>
    <t>(supposed to be 0.8)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</si>
</sst>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71" formatCode="0.00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3">
    <xf numFmtId="0" fontId="0" fillId="0" borderId="0" xfId="0"/>
    <xf numFmtId="0" fontId="3" fillId="0" borderId="0" xfId="0" applyFont="1" applyAlignment="1">
      <alignment horizontal="center" vertical="center" wrapText="1"/>
    </xf>
    <xf numFmtId="10" fontId="0" fillId="0" borderId="0" xfId="0" applyNumberFormat="1"/>
    <xf numFmtId="0" fontId="0" fillId="2" borderId="0" xfId="0" applyFill="1"/>
    <xf numFmtId="9" fontId="0" fillId="0" borderId="0" xfId="1" applyFont="1"/>
    <xf numFmtId="0" fontId="0" fillId="3" borderId="0" xfId="0" applyFill="1"/>
    <xf numFmtId="9" fontId="0" fillId="3" borderId="0" xfId="1" applyFont="1" applyFill="1"/>
    <xf numFmtId="0" fontId="0" fillId="4" borderId="0" xfId="0" applyFill="1"/>
    <xf numFmtId="9" fontId="0" fillId="4" borderId="0" xfId="1" applyFont="1" applyFill="1"/>
    <xf numFmtId="0" fontId="0" fillId="5" borderId="0" xfId="0" applyFill="1"/>
    <xf numFmtId="9" fontId="0" fillId="5" borderId="0" xfId="1" applyFont="1" applyFill="1"/>
    <xf numFmtId="9" fontId="0" fillId="0" borderId="0" xfId="1" applyFont="1" applyFill="1"/>
    <xf numFmtId="0" fontId="0" fillId="6" borderId="0" xfId="0" applyFill="1"/>
    <xf numFmtId="9" fontId="0" fillId="6" borderId="0" xfId="1" applyFont="1" applyFill="1"/>
    <xf numFmtId="0" fontId="0" fillId="7" borderId="0" xfId="0" applyFill="1"/>
    <xf numFmtId="9" fontId="0" fillId="7" borderId="0" xfId="1" applyFont="1" applyFill="1"/>
    <xf numFmtId="0" fontId="2" fillId="5" borderId="0" xfId="0" applyFont="1" applyFill="1"/>
    <xf numFmtId="0" fontId="2" fillId="0" borderId="0" xfId="0" applyFont="1"/>
    <xf numFmtId="0" fontId="2" fillId="4" borderId="0" xfId="0" applyFont="1" applyFill="1"/>
    <xf numFmtId="0" fontId="2" fillId="7" borderId="0" xfId="0" applyFont="1" applyFill="1"/>
    <xf numFmtId="0" fontId="2" fillId="6" borderId="0" xfId="0" applyFont="1" applyFill="1"/>
    <xf numFmtId="0" fontId="2" fillId="3" borderId="0" xfId="0" applyFont="1" applyFill="1"/>
    <xf numFmtId="0" fontId="7" fillId="0" borderId="0" xfId="0" applyFont="1"/>
    <xf numFmtId="0" fontId="7" fillId="6" borderId="0" xfId="0" applyFont="1" applyFill="1"/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8" borderId="0" xfId="0" applyFill="1"/>
    <xf numFmtId="9" fontId="0" fillId="8" borderId="0" xfId="1" applyFont="1" applyFill="1"/>
    <xf numFmtId="0" fontId="7" fillId="8" borderId="0" xfId="0" applyFont="1" applyFill="1"/>
    <xf numFmtId="0" fontId="3" fillId="0" borderId="0" xfId="0" applyFont="1"/>
    <xf numFmtId="164" fontId="0" fillId="0" borderId="0" xfId="1" applyNumberFormat="1" applyFont="1"/>
    <xf numFmtId="0" fontId="7" fillId="3" borderId="0" xfId="0" applyFont="1" applyFill="1"/>
    <xf numFmtId="2" fontId="0" fillId="6" borderId="0" xfId="0" applyNumberFormat="1" applyFill="1"/>
    <xf numFmtId="165" fontId="0" fillId="7" borderId="0" xfId="0" applyNumberFormat="1" applyFill="1"/>
    <xf numFmtId="165" fontId="0" fillId="6" borderId="0" xfId="0" applyNumberFormat="1" applyFill="1"/>
    <xf numFmtId="165" fontId="0" fillId="4" borderId="0" xfId="0" applyNumberFormat="1" applyFill="1"/>
    <xf numFmtId="165" fontId="0" fillId="5" borderId="0" xfId="0" applyNumberFormat="1" applyFill="1"/>
    <xf numFmtId="165" fontId="0" fillId="0" borderId="0" xfId="0" applyNumberFormat="1"/>
    <xf numFmtId="165" fontId="0" fillId="3" borderId="0" xfId="0" applyNumberFormat="1" applyFill="1"/>
    <xf numFmtId="1" fontId="0" fillId="7" borderId="0" xfId="0" applyNumberFormat="1" applyFill="1"/>
    <xf numFmtId="1" fontId="0" fillId="6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1" fontId="0" fillId="0" borderId="0" xfId="0" applyNumberFormat="1"/>
    <xf numFmtId="1" fontId="0" fillId="3" borderId="0" xfId="0" applyNumberFormat="1" applyFill="1"/>
    <xf numFmtId="165" fontId="0" fillId="9" borderId="0" xfId="0" applyNumberFormat="1" applyFill="1"/>
    <xf numFmtId="0" fontId="0" fillId="0" borderId="0" xfId="1" applyNumberFormat="1" applyFont="1"/>
    <xf numFmtId="0" fontId="0" fillId="6" borderId="0" xfId="1" applyNumberFormat="1" applyFont="1" applyFill="1"/>
    <xf numFmtId="0" fontId="7" fillId="5" borderId="0" xfId="0" applyFont="1" applyFill="1"/>
    <xf numFmtId="2" fontId="0" fillId="6" borderId="0" xfId="1" applyNumberFormat="1" applyFont="1" applyFill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9" fillId="6" borderId="0" xfId="0" applyFont="1" applyFill="1"/>
    <xf numFmtId="0" fontId="0" fillId="8" borderId="0" xfId="0" applyFill="1" applyAlignment="1">
      <alignment wrapText="1"/>
    </xf>
    <xf numFmtId="0" fontId="3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11" borderId="0" xfId="0" applyFill="1"/>
    <xf numFmtId="0" fontId="0" fillId="8" borderId="0" xfId="0" applyFill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3" fillId="8" borderId="0" xfId="0" applyFont="1" applyFill="1" applyAlignment="1">
      <alignment wrapText="1"/>
    </xf>
    <xf numFmtId="0" fontId="3" fillId="8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165" fontId="0" fillId="0" borderId="0" xfId="0" applyNumberFormat="1" applyFill="1"/>
    <xf numFmtId="0" fontId="3" fillId="0" borderId="0" xfId="0" applyFont="1" applyFill="1" applyAlignment="1">
      <alignment wrapText="1"/>
    </xf>
    <xf numFmtId="0" fontId="0" fillId="0" borderId="4" xfId="0" applyBorder="1"/>
    <xf numFmtId="165" fontId="0" fillId="0" borderId="4" xfId="0" applyNumberFormat="1" applyFill="1" applyBorder="1"/>
    <xf numFmtId="1" fontId="0" fillId="0" borderId="4" xfId="0" applyNumberFormat="1" applyBorder="1"/>
    <xf numFmtId="0" fontId="2" fillId="0" borderId="4" xfId="0" applyFont="1" applyBorder="1"/>
    <xf numFmtId="165" fontId="0" fillId="0" borderId="4" xfId="0" applyNumberFormat="1" applyBorder="1"/>
    <xf numFmtId="0" fontId="0" fillId="0" borderId="0" xfId="0" applyBorder="1"/>
    <xf numFmtId="165" fontId="0" fillId="0" borderId="0" xfId="0" applyNumberFormat="1" applyFill="1" applyBorder="1"/>
    <xf numFmtId="0" fontId="0" fillId="0" borderId="5" xfId="0" applyBorder="1"/>
    <xf numFmtId="0" fontId="2" fillId="0" borderId="5" xfId="0" applyFont="1" applyBorder="1"/>
    <xf numFmtId="165" fontId="0" fillId="0" borderId="5" xfId="0" applyNumberFormat="1" applyBorder="1"/>
    <xf numFmtId="165" fontId="0" fillId="0" borderId="5" xfId="0" applyNumberFormat="1" applyFill="1" applyBorder="1"/>
    <xf numFmtId="0" fontId="2" fillId="0" borderId="0" xfId="0" applyFont="1" applyAlignment="1">
      <alignment vertical="center" wrapText="1"/>
    </xf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3" fillId="3" borderId="0" xfId="0" applyFont="1" applyFill="1" applyAlignment="1">
      <alignment vertical="center" wrapText="1"/>
    </xf>
    <xf numFmtId="165" fontId="0" fillId="0" borderId="0" xfId="0" applyNumberFormat="1" applyBorder="1"/>
    <xf numFmtId="171" fontId="0" fillId="0" borderId="0" xfId="0" applyNumberFormat="1"/>
    <xf numFmtId="164" fontId="0" fillId="0" borderId="4" xfId="1" applyNumberFormat="1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0" fontId="0" fillId="0" borderId="0" xfId="1" applyNumberFormat="1" applyFont="1"/>
    <xf numFmtId="0" fontId="2" fillId="0" borderId="0" xfId="0" applyFont="1" applyBorder="1"/>
    <xf numFmtId="0" fontId="0" fillId="0" borderId="0" xfId="0" applyFill="1" applyBorder="1"/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164" fontId="0" fillId="0" borderId="0" xfId="1" applyNumberFormat="1" applyFont="1" applyFill="1"/>
    <xf numFmtId="0" fontId="0" fillId="0" borderId="0" xfId="0" applyAlignment="1">
      <alignment horizontal="center" wrapText="1"/>
    </xf>
    <xf numFmtId="0" fontId="13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inductance</a:t>
            </a:r>
            <a:r>
              <a:rPr lang="en-GB" baseline="0"/>
              <a:t> error [%] over #turns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'2L &amp; 4L'!$D$63:$D$72</c:f>
            </c:numRef>
          </c:xVal>
          <c:yVal>
            <c:numRef>
              <c:f>'2L &amp; 4L'!$U$63:$U$72</c:f>
            </c:numRef>
          </c:yVal>
          <c:smooth val="0"/>
          <c:extLst>
            <c:ext xmlns:c16="http://schemas.microsoft.com/office/drawing/2014/chart" uri="{C3380CC4-5D6E-409C-BE32-E72D297353CC}">
              <c16:uniqueId val="{00000000-672A-4FB7-BA46-540CE43D4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810112"/>
        <c:axId val="1545810528"/>
      </c:scatterChart>
      <c:valAx>
        <c:axId val="1545810112"/>
        <c:scaling>
          <c:orientation val="minMax"/>
          <c:max val="14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810528"/>
        <c:crosses val="autoZero"/>
        <c:crossBetween val="midCat"/>
      </c:valAx>
      <c:valAx>
        <c:axId val="154581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81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K_turns over #turns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27874015748032"/>
          <c:y val="0.14856481481481484"/>
          <c:w val="0.8056247122955783"/>
          <c:h val="0.69023253557216202"/>
        </c:manualLayout>
      </c:layout>
      <c:scatterChart>
        <c:scatterStyle val="lineMarker"/>
        <c:varyColors val="0"/>
        <c:ser>
          <c:idx val="0"/>
          <c:order val="0"/>
          <c:tx>
            <c:v>adjusted (circular)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'2L &amp; 4L'!$D$63:$D$72</c:f>
            </c:numRef>
          </c:xVal>
          <c:yVal>
            <c:numRef>
              <c:f>'2L &amp; 4L'!$Y$63:$Y$72</c:f>
            </c:numRef>
          </c:yVal>
          <c:smooth val="0"/>
          <c:extLst>
            <c:ext xmlns:c16="http://schemas.microsoft.com/office/drawing/2014/chart" uri="{C3380CC4-5D6E-409C-BE32-E72D297353CC}">
              <c16:uniqueId val="{00000000-EED4-47E7-AD6B-65FC77212689}"/>
            </c:ext>
          </c:extLst>
        </c:ser>
        <c:ser>
          <c:idx val="1"/>
          <c:order val="1"/>
          <c:tx>
            <c:v>original (circular)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'2L &amp; 4L'!$D$63:$D$72</c:f>
            </c:numRef>
          </c:xVal>
          <c:yVal>
            <c:numRef>
              <c:f>'2L &amp; 4L'!$W$63:$W$72</c:f>
            </c:numRef>
          </c:yVal>
          <c:smooth val="0"/>
          <c:extLst>
            <c:ext xmlns:c16="http://schemas.microsoft.com/office/drawing/2014/chart" uri="{C3380CC4-5D6E-409C-BE32-E72D297353CC}">
              <c16:uniqueId val="{00000001-EED4-47E7-AD6B-65FC77212689}"/>
            </c:ext>
          </c:extLst>
        </c:ser>
        <c:ser>
          <c:idx val="2"/>
          <c:order val="2"/>
          <c:tx>
            <c:v>adjusted (square)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'2L &amp; 4L'!$D$57:$D$62</c:f>
            </c:numRef>
          </c:xVal>
          <c:yVal>
            <c:numRef>
              <c:f>'2L &amp; 4L'!$Y$57:$Y$62</c:f>
            </c:numRef>
          </c:yVal>
          <c:smooth val="0"/>
          <c:extLst>
            <c:ext xmlns:c16="http://schemas.microsoft.com/office/drawing/2014/chart" uri="{C3380CC4-5D6E-409C-BE32-E72D297353CC}">
              <c16:uniqueId val="{00000002-EED4-47E7-AD6B-65FC77212689}"/>
            </c:ext>
          </c:extLst>
        </c:ser>
        <c:ser>
          <c:idx val="3"/>
          <c:order val="3"/>
          <c:tx>
            <c:v>original (square)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'2L &amp; 4L'!$D$57:$D$62</c:f>
            </c:numRef>
          </c:xVal>
          <c:yVal>
            <c:numRef>
              <c:f>'2L &amp; 4L'!$W$57:$W$62</c:f>
            </c:numRef>
          </c:yVal>
          <c:smooth val="0"/>
          <c:extLst>
            <c:ext xmlns:c16="http://schemas.microsoft.com/office/drawing/2014/chart" uri="{C3380CC4-5D6E-409C-BE32-E72D297353CC}">
              <c16:uniqueId val="{00000003-EED4-47E7-AD6B-65FC77212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351344"/>
        <c:axId val="1540352176"/>
      </c:scatterChart>
      <c:valAx>
        <c:axId val="1540351344"/>
        <c:scaling>
          <c:orientation val="minMax"/>
          <c:max val="14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turns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352176"/>
        <c:crosses val="autoZero"/>
        <c:crossBetween val="midCat"/>
      </c:valAx>
      <c:valAx>
        <c:axId val="1540352176"/>
        <c:scaling>
          <c:orientation val="minMax"/>
          <c:max val="0.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  <a:r>
                  <a:rPr lang="en-US" baseline="-25000"/>
                  <a:t>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351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955364425600643"/>
          <c:y val="0.5389166855587354"/>
          <c:w val="0.37762584292348073"/>
          <c:h val="0.309280626775487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inductance error</a:t>
            </a:r>
            <a:r>
              <a:rPr lang="en-GB" baseline="0"/>
              <a:t> [%] over K_turns</a:t>
            </a:r>
            <a:endParaRPr lang="en-GB"/>
          </a:p>
        </c:rich>
      </c:tx>
      <c:layout>
        <c:manualLayout>
          <c:xMode val="edge"/>
          <c:yMode val="edge"/>
          <c:x val="0.12006689650255514"/>
          <c:y val="1.57284761377137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64881511261595"/>
          <c:y val="0.15775661566126889"/>
          <c:w val="0.72073429062035144"/>
          <c:h val="0.66711567819455253"/>
        </c:manualLayout>
      </c:layout>
      <c:scatterChart>
        <c:scatterStyle val="lineMarker"/>
        <c:varyColors val="0"/>
        <c:ser>
          <c:idx val="0"/>
          <c:order val="0"/>
          <c:tx>
            <c:v>error % over K_turns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977424847168801E-2"/>
                  <c:y val="-0.5298523174526639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linear trendline: y = -0.5278x + 0.469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'2L &amp; 4L'!$W$63:$W$72</c:f>
            </c:numRef>
          </c:xVal>
          <c:yVal>
            <c:numRef>
              <c:f>'2L &amp; 4L'!$U$63:$U$72</c:f>
            </c:numRef>
          </c:yVal>
          <c:smooth val="0"/>
          <c:extLst>
            <c:ext xmlns:c16="http://schemas.microsoft.com/office/drawing/2014/chart" uri="{C3380CC4-5D6E-409C-BE32-E72D297353CC}">
              <c16:uniqueId val="{00000000-F55D-4375-9CA2-AADDC6C0C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209152"/>
        <c:axId val="1553208736"/>
      </c:scatterChart>
      <c:valAx>
        <c:axId val="1553209152"/>
        <c:scaling>
          <c:orientation val="minMax"/>
          <c:max val="0.65000000000000013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  <a:r>
                  <a:rPr lang="en-US" baseline="-25000"/>
                  <a:t>turns</a:t>
                </a:r>
              </a:p>
            </c:rich>
          </c:tx>
          <c:layout>
            <c:manualLayout>
              <c:xMode val="edge"/>
              <c:yMode val="edge"/>
              <c:x val="0.47789944256942507"/>
              <c:y val="0.909796982939763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208736"/>
        <c:crosses val="autoZero"/>
        <c:crossBetween val="midCat"/>
      </c:valAx>
      <c:valAx>
        <c:axId val="1553208736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induction</a:t>
                </a:r>
                <a:r>
                  <a:rPr lang="en-US" baseline="0"/>
                  <a:t> prediction error</a:t>
                </a:r>
              </a:p>
              <a:p>
                <a:pPr>
                  <a:defRPr/>
                </a:pPr>
                <a:r>
                  <a:rPr lang="en-US" baseline="0"/>
                  <a:t>[% of measured value]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6732801883155882E-3"/>
              <c:y val="0.19969921869517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20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487087742448466"/>
          <c:y val="0.67793571387879081"/>
          <c:w val="0.551705731550998"/>
          <c:h val="0.1599400253802287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inductance</a:t>
            </a:r>
            <a:r>
              <a:rPr lang="en-US" baseline="0"/>
              <a:t> vs layer spacing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078198189828034"/>
                  <c:y val="-0.4283389576302962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9936605269474059"/>
                  <c:y val="-0.28337618511971718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'6L'!$O$35:$O$42</c:f>
            </c:numRef>
          </c:xVal>
          <c:yVal>
            <c:numRef>
              <c:f>'6L'!$R$35:$R$42</c:f>
            </c:numRef>
          </c:yVal>
          <c:smooth val="0"/>
          <c:extLst>
            <c:ext xmlns:c16="http://schemas.microsoft.com/office/drawing/2014/chart" uri="{C3380CC4-5D6E-409C-BE32-E72D297353CC}">
              <c16:uniqueId val="{00000000-9680-446B-90A8-4CE2B292C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578671"/>
        <c:axId val="1803580111"/>
      </c:scatterChart>
      <c:valAx>
        <c:axId val="180357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580111"/>
        <c:crosses val="autoZero"/>
        <c:crossBetween val="midCat"/>
      </c:valAx>
      <c:valAx>
        <c:axId val="180358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57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inductance</a:t>
            </a:r>
            <a:r>
              <a:rPr lang="en-US" baseline="0"/>
              <a:t> over layer spacing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6L Top-*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 constants'!$I$7:$I$11</c:f>
              <c:numCache>
                <c:formatCode>General</c:formatCode>
                <c:ptCount val="5"/>
                <c:pt idx="0">
                  <c:v>0.12450000000000001</c:v>
                </c:pt>
                <c:pt idx="1">
                  <c:v>0.48970000000000002</c:v>
                </c:pt>
                <c:pt idx="2">
                  <c:v>0.61370000000000002</c:v>
                </c:pt>
                <c:pt idx="3">
                  <c:v>0.97889999999999999</c:v>
                </c:pt>
                <c:pt idx="4">
                  <c:v>1.1033999999999999</c:v>
                </c:pt>
              </c:numCache>
            </c:numRef>
          </c:xVal>
          <c:yVal>
            <c:numRef>
              <c:f>'new constants'!$K$7:$K$11</c:f>
              <c:numCache>
                <c:formatCode>General</c:formatCode>
                <c:ptCount val="5"/>
                <c:pt idx="0">
                  <c:v>3.2240000000000002</c:v>
                </c:pt>
                <c:pt idx="1">
                  <c:v>3.101</c:v>
                </c:pt>
                <c:pt idx="2">
                  <c:v>3.0579999999999998</c:v>
                </c:pt>
                <c:pt idx="3">
                  <c:v>2.9470000000000001</c:v>
                </c:pt>
                <c:pt idx="4">
                  <c:v>2.9039999999999999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FD-482B-91B9-E6A6D367BA72}"/>
            </c:ext>
          </c:extLst>
        </c:ser>
        <c:ser>
          <c:idx val="1"/>
          <c:order val="1"/>
          <c:tx>
            <c:v>6L in*-in*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'new constants'!$I$13:$I$15</c:f>
              <c:numCache>
                <c:formatCode>General</c:formatCode>
                <c:ptCount val="3"/>
                <c:pt idx="0">
                  <c:v>0.12399999999999999</c:v>
                </c:pt>
                <c:pt idx="1">
                  <c:v>0.36519999999999997</c:v>
                </c:pt>
                <c:pt idx="2">
                  <c:v>0.85439999999999994</c:v>
                </c:pt>
              </c:numCache>
            </c:numRef>
          </c:xVal>
          <c:yVal>
            <c:numRef>
              <c:f>'new constants'!$K$13:$K$15</c:f>
              <c:numCache>
                <c:formatCode>General</c:formatCode>
                <c:ptCount val="3"/>
                <c:pt idx="0">
                  <c:v>3.2360000000000002</c:v>
                </c:pt>
                <c:pt idx="1">
                  <c:v>3.137</c:v>
                </c:pt>
                <c:pt idx="2">
                  <c:v>2.9769999999999999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FD-482B-91B9-E6A6D367B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381743"/>
        <c:axId val="2059369263"/>
      </c:scatterChart>
      <c:scatterChart>
        <c:scatterStyle val="lineMarker"/>
        <c:varyColors val="0"/>
        <c:ser>
          <c:idx val="2"/>
          <c:order val="2"/>
          <c:tx>
            <c:v>4L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'new constants'!$I$19:$I$21</c:f>
              <c:numCache>
                <c:formatCode>General</c:formatCode>
                <c:ptCount val="3"/>
                <c:pt idx="0">
                  <c:v>0.23</c:v>
                </c:pt>
                <c:pt idx="1">
                  <c:v>0.46550000000000002</c:v>
                </c:pt>
                <c:pt idx="2">
                  <c:v>0.70100000000000007</c:v>
                </c:pt>
              </c:numCache>
            </c:numRef>
          </c:xVal>
          <c:yVal>
            <c:numRef>
              <c:f>'new constants'!$K$19:$K$21</c:f>
              <c:numCache>
                <c:formatCode>General</c:formatCode>
                <c:ptCount val="3"/>
                <c:pt idx="0">
                  <c:v>10.597000000000001</c:v>
                </c:pt>
                <c:pt idx="1">
                  <c:v>10.414999999999999</c:v>
                </c:pt>
                <c:pt idx="2">
                  <c:v>10.23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FD-482B-91B9-E6A6D367B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379343"/>
        <c:axId val="2059377423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2L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'new constants'!$I$17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0.56999999999999995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 constants'!$K$17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10.414999999999999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B89-4F4E-A6C5-3BBC2D1D4B67}"/>
                  </c:ext>
                </c:extLst>
              </c15:ser>
            </c15:filteredScatterSeries>
          </c:ext>
        </c:extLst>
      </c:scatterChart>
      <c:valAx>
        <c:axId val="205938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layer spacing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69263"/>
        <c:crosses val="autoZero"/>
        <c:crossBetween val="midCat"/>
      </c:valAx>
      <c:valAx>
        <c:axId val="205936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inductanec [µH]</a:t>
                </a:r>
              </a:p>
              <a:p>
                <a:pPr>
                  <a:defRPr/>
                </a:pPr>
                <a:r>
                  <a:rPr lang="en-US"/>
                  <a:t>6L</a:t>
                </a:r>
                <a:r>
                  <a:rPr lang="en-US" baseline="0"/>
                  <a:t> only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81743"/>
        <c:crosses val="autoZero"/>
        <c:crossBetween val="midCat"/>
      </c:valAx>
      <c:valAx>
        <c:axId val="2059377423"/>
        <c:scaling>
          <c:orientation val="minMax"/>
          <c:max val="1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inductance [µH]</a:t>
                </a:r>
              </a:p>
              <a:p>
                <a:pPr>
                  <a:defRPr/>
                </a:pPr>
                <a:r>
                  <a:rPr lang="en-US"/>
                  <a:t>4L only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79343"/>
        <c:crosses val="max"/>
        <c:crossBetween val="midCat"/>
      </c:valAx>
      <c:valAx>
        <c:axId val="20593793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9377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686092743542866"/>
          <c:y val="0.17105802653046748"/>
          <c:w val="0.18382425368126909"/>
          <c:h val="0.22804213662481379"/>
        </c:manualLayout>
      </c:layout>
      <c:overlay val="1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6L stack-up</a:t>
            </a:r>
            <a:r>
              <a:rPr lang="en-US" baseline="0"/>
              <a:t> visualized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645032222551233E-2"/>
          <c:y val="0.22126765869455545"/>
          <c:w val="0.57186335120913234"/>
          <c:h val="0.7357896655358463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'new constants'!$B$26</c:f>
              <c:strCache>
                <c:ptCount val="1"/>
                <c:pt idx="0">
                  <c:v>top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'new constants'!$C$26</c:f>
            </c:numRef>
          </c:val>
          <c:extLst>
            <c:ext xmlns:c16="http://schemas.microsoft.com/office/drawing/2014/chart" uri="{C3380CC4-5D6E-409C-BE32-E72D297353CC}">
              <c16:uniqueId val="{00000000-0F5A-401A-A2F7-26F25D364751}"/>
            </c:ext>
          </c:extLst>
        </c:ser>
        <c:ser>
          <c:idx val="1"/>
          <c:order val="1"/>
          <c:tx>
            <c:strRef>
              <c:f>'new constants'!$B$27</c:f>
              <c:strCache>
                <c:ptCount val="1"/>
                <c:pt idx="0">
                  <c:v>3313 prepreg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'new constants'!$C$27</c:f>
            </c:numRef>
          </c:val>
          <c:extLst>
            <c:ext xmlns:c16="http://schemas.microsoft.com/office/drawing/2014/chart" uri="{C3380CC4-5D6E-409C-BE32-E72D297353CC}">
              <c16:uniqueId val="{00000001-0F5A-401A-A2F7-26F25D364751}"/>
            </c:ext>
          </c:extLst>
        </c:ser>
        <c:ser>
          <c:idx val="2"/>
          <c:order val="2"/>
          <c:tx>
            <c:strRef>
              <c:f>'new constants'!$B$28</c:f>
              <c:strCache>
                <c:ptCount val="1"/>
                <c:pt idx="0">
                  <c:v>in1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'new constants'!$C$28</c:f>
            </c:numRef>
          </c:val>
          <c:extLst>
            <c:ext xmlns:c16="http://schemas.microsoft.com/office/drawing/2014/chart" uri="{C3380CC4-5D6E-409C-BE32-E72D297353CC}">
              <c16:uniqueId val="{00000002-0F5A-401A-A2F7-26F25D364751}"/>
            </c:ext>
          </c:extLst>
        </c:ser>
        <c:ser>
          <c:idx val="3"/>
          <c:order val="3"/>
          <c:tx>
            <c:strRef>
              <c:f>'new constants'!$B$29</c:f>
              <c:strCache>
                <c:ptCount val="1"/>
                <c:pt idx="0">
                  <c:v>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'new constants'!$C$29</c:f>
            </c:numRef>
          </c:val>
          <c:extLst>
            <c:ext xmlns:c16="http://schemas.microsoft.com/office/drawing/2014/chart" uri="{C3380CC4-5D6E-409C-BE32-E72D297353CC}">
              <c16:uniqueId val="{00000003-0F5A-401A-A2F7-26F25D364751}"/>
            </c:ext>
          </c:extLst>
        </c:ser>
        <c:ser>
          <c:idx val="4"/>
          <c:order val="4"/>
          <c:tx>
            <c:strRef>
              <c:f>'new constants'!$B$30</c:f>
              <c:strCache>
                <c:ptCount val="1"/>
                <c:pt idx="0">
                  <c:v>in2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'new constants'!$C$30</c:f>
            </c:numRef>
          </c:val>
          <c:extLst>
            <c:ext xmlns:c16="http://schemas.microsoft.com/office/drawing/2014/chart" uri="{C3380CC4-5D6E-409C-BE32-E72D297353CC}">
              <c16:uniqueId val="{00000004-0F5A-401A-A2F7-26F25D364751}"/>
            </c:ext>
          </c:extLst>
        </c:ser>
        <c:ser>
          <c:idx val="5"/>
          <c:order val="5"/>
          <c:tx>
            <c:strRef>
              <c:f>'new constants'!$B$31</c:f>
              <c:strCache>
                <c:ptCount val="1"/>
                <c:pt idx="0">
                  <c:v>2116 prepreg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'new constants'!$C$31</c:f>
            </c:numRef>
          </c:val>
          <c:extLst>
            <c:ext xmlns:c16="http://schemas.microsoft.com/office/drawing/2014/chart" uri="{C3380CC4-5D6E-409C-BE32-E72D297353CC}">
              <c16:uniqueId val="{00000005-0F5A-401A-A2F7-26F25D364751}"/>
            </c:ext>
          </c:extLst>
        </c:ser>
        <c:ser>
          <c:idx val="6"/>
          <c:order val="6"/>
          <c:tx>
            <c:strRef>
              <c:f>'new constants'!$B$32</c:f>
              <c:strCache>
                <c:ptCount val="1"/>
                <c:pt idx="0">
                  <c:v>in3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'new constants'!$C$32</c:f>
            </c:numRef>
          </c:val>
          <c:extLst>
            <c:ext xmlns:c16="http://schemas.microsoft.com/office/drawing/2014/chart" uri="{C3380CC4-5D6E-409C-BE32-E72D297353CC}">
              <c16:uniqueId val="{00000006-0F5A-401A-A2F7-26F25D364751}"/>
            </c:ext>
          </c:extLst>
        </c:ser>
        <c:ser>
          <c:idx val="7"/>
          <c:order val="7"/>
          <c:tx>
            <c:strRef>
              <c:f>'new constants'!$B$33</c:f>
              <c:strCache>
                <c:ptCount val="1"/>
                <c:pt idx="0">
                  <c:v>core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'new constants'!$C$33</c:f>
            </c:numRef>
          </c:val>
          <c:extLst>
            <c:ext xmlns:c16="http://schemas.microsoft.com/office/drawing/2014/chart" uri="{C3380CC4-5D6E-409C-BE32-E72D297353CC}">
              <c16:uniqueId val="{00000007-0F5A-401A-A2F7-26F25D364751}"/>
            </c:ext>
          </c:extLst>
        </c:ser>
        <c:ser>
          <c:idx val="8"/>
          <c:order val="8"/>
          <c:tx>
            <c:strRef>
              <c:f>'new constants'!$B$34</c:f>
              <c:strCache>
                <c:ptCount val="1"/>
                <c:pt idx="0">
                  <c:v>in4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'new constants'!$C$34</c:f>
            </c:numRef>
          </c:val>
          <c:extLst>
            <c:ext xmlns:c16="http://schemas.microsoft.com/office/drawing/2014/chart" uri="{C3380CC4-5D6E-409C-BE32-E72D297353CC}">
              <c16:uniqueId val="{00000008-0F5A-401A-A2F7-26F25D364751}"/>
            </c:ext>
          </c:extLst>
        </c:ser>
        <c:ser>
          <c:idx val="9"/>
          <c:order val="9"/>
          <c:tx>
            <c:strRef>
              <c:f>'new constants'!$B$35</c:f>
              <c:strCache>
                <c:ptCount val="1"/>
                <c:pt idx="0">
                  <c:v>3313 prepreg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'new constants'!$C$35</c:f>
            </c:numRef>
          </c:val>
          <c:extLst>
            <c:ext xmlns:c16="http://schemas.microsoft.com/office/drawing/2014/chart" uri="{C3380CC4-5D6E-409C-BE32-E72D297353CC}">
              <c16:uniqueId val="{00000009-0F5A-401A-A2F7-26F25D364751}"/>
            </c:ext>
          </c:extLst>
        </c:ser>
        <c:ser>
          <c:idx val="10"/>
          <c:order val="10"/>
          <c:tx>
            <c:strRef>
              <c:f>'new constants'!$B$36</c:f>
              <c:strCache>
                <c:ptCount val="1"/>
                <c:pt idx="0">
                  <c:v>bot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'new constants'!$C$36</c:f>
            </c:numRef>
          </c:val>
          <c:extLst>
            <c:ext xmlns:c16="http://schemas.microsoft.com/office/drawing/2014/chart" uri="{C3380CC4-5D6E-409C-BE32-E72D297353CC}">
              <c16:uniqueId val="{0000000A-0F5A-401A-A2F7-26F25D364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1411168"/>
        <c:axId val="2051408288"/>
      </c:barChart>
      <c:catAx>
        <c:axId val="20514111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51408288"/>
        <c:crosses val="autoZero"/>
        <c:auto val="1"/>
        <c:lblAlgn val="ctr"/>
        <c:lblOffset val="100"/>
        <c:noMultiLvlLbl val="0"/>
      </c:catAx>
      <c:valAx>
        <c:axId val="2051408288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41116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135071668023471"/>
          <c:y val="0.2117803233501093"/>
          <c:w val="0.27398318644358799"/>
          <c:h val="0.75242550161167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4L stack-up visualized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11422666673545"/>
          <c:y val="0.17171296296296296"/>
          <c:w val="0.57518625314771088"/>
          <c:h val="0.7594207494896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'new constants'!$J$26</c:f>
              <c:strCache>
                <c:ptCount val="1"/>
                <c:pt idx="0">
                  <c:v>top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'new constants'!$K$26</c:f>
            </c:numRef>
          </c:val>
          <c:extLst>
            <c:ext xmlns:c16="http://schemas.microsoft.com/office/drawing/2014/chart" uri="{C3380CC4-5D6E-409C-BE32-E72D297353CC}">
              <c16:uniqueId val="{00000000-5C72-40DE-BFC8-BCEEE3BC854F}"/>
            </c:ext>
          </c:extLst>
        </c:ser>
        <c:ser>
          <c:idx val="1"/>
          <c:order val="1"/>
          <c:tx>
            <c:strRef>
              <c:f>'new constants'!$J$27</c:f>
              <c:strCache>
                <c:ptCount val="1"/>
                <c:pt idx="0">
                  <c:v>7628 prepreg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'new constants'!$K$27</c:f>
            </c:numRef>
          </c:val>
          <c:extLst>
            <c:ext xmlns:c16="http://schemas.microsoft.com/office/drawing/2014/chart" uri="{C3380CC4-5D6E-409C-BE32-E72D297353CC}">
              <c16:uniqueId val="{00000001-5C72-40DE-BFC8-BCEEE3BC854F}"/>
            </c:ext>
          </c:extLst>
        </c:ser>
        <c:ser>
          <c:idx val="2"/>
          <c:order val="2"/>
          <c:tx>
            <c:strRef>
              <c:f>'new constants'!$J$28</c:f>
              <c:strCache>
                <c:ptCount val="1"/>
                <c:pt idx="0">
                  <c:v>in1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'new constants'!$K$28</c:f>
            </c:numRef>
          </c:val>
          <c:extLst>
            <c:ext xmlns:c16="http://schemas.microsoft.com/office/drawing/2014/chart" uri="{C3380CC4-5D6E-409C-BE32-E72D297353CC}">
              <c16:uniqueId val="{00000002-5C72-40DE-BFC8-BCEEE3BC854F}"/>
            </c:ext>
          </c:extLst>
        </c:ser>
        <c:ser>
          <c:idx val="3"/>
          <c:order val="3"/>
          <c:tx>
            <c:strRef>
              <c:f>'new constants'!$J$29</c:f>
              <c:strCache>
                <c:ptCount val="1"/>
                <c:pt idx="0">
                  <c:v>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'new constants'!$K$29</c:f>
            </c:numRef>
          </c:val>
          <c:extLst>
            <c:ext xmlns:c16="http://schemas.microsoft.com/office/drawing/2014/chart" uri="{C3380CC4-5D6E-409C-BE32-E72D297353CC}">
              <c16:uniqueId val="{00000003-5C72-40DE-BFC8-BCEEE3BC854F}"/>
            </c:ext>
          </c:extLst>
        </c:ser>
        <c:ser>
          <c:idx val="4"/>
          <c:order val="4"/>
          <c:tx>
            <c:strRef>
              <c:f>'new constants'!$J$30</c:f>
              <c:strCache>
                <c:ptCount val="1"/>
                <c:pt idx="0">
                  <c:v>in2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'new constants'!$K$30</c:f>
            </c:numRef>
          </c:val>
          <c:extLst>
            <c:ext xmlns:c16="http://schemas.microsoft.com/office/drawing/2014/chart" uri="{C3380CC4-5D6E-409C-BE32-E72D297353CC}">
              <c16:uniqueId val="{00000004-5C72-40DE-BFC8-BCEEE3BC854F}"/>
            </c:ext>
          </c:extLst>
        </c:ser>
        <c:ser>
          <c:idx val="5"/>
          <c:order val="5"/>
          <c:tx>
            <c:strRef>
              <c:f>'new constants'!$J$31</c:f>
              <c:strCache>
                <c:ptCount val="1"/>
                <c:pt idx="0">
                  <c:v>7628 prepreg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'new constants'!$K$31</c:f>
            </c:numRef>
          </c:val>
          <c:extLst>
            <c:ext xmlns:c16="http://schemas.microsoft.com/office/drawing/2014/chart" uri="{C3380CC4-5D6E-409C-BE32-E72D297353CC}">
              <c16:uniqueId val="{00000005-5C72-40DE-BFC8-BCEEE3BC854F}"/>
            </c:ext>
          </c:extLst>
        </c:ser>
        <c:ser>
          <c:idx val="6"/>
          <c:order val="6"/>
          <c:tx>
            <c:strRef>
              <c:f>'new constants'!$J$32</c:f>
              <c:strCache>
                <c:ptCount val="1"/>
                <c:pt idx="0">
                  <c:v>bot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'new constants'!$K$32</c:f>
            </c:numRef>
          </c:val>
          <c:extLst>
            <c:ext xmlns:c16="http://schemas.microsoft.com/office/drawing/2014/chart" uri="{C3380CC4-5D6E-409C-BE32-E72D297353CC}">
              <c16:uniqueId val="{00000006-5C72-40DE-BFC8-BCEEE3BC8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813600"/>
        <c:axId val="141809760"/>
      </c:barChart>
      <c:catAx>
        <c:axId val="1418136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1809760"/>
        <c:crosses val="autoZero"/>
        <c:auto val="1"/>
        <c:lblAlgn val="ctr"/>
        <c:lblOffset val="100"/>
        <c:noMultiLvlLbl val="0"/>
      </c:catAx>
      <c:valAx>
        <c:axId val="1418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1360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510603526042992"/>
          <c:y val="0.16724482356372117"/>
          <c:w val="0.24489379785286597"/>
          <c:h val="0.804977398658501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updating D</a:t>
            </a:r>
            <a:r>
              <a:rPr lang="en-US" baseline="-25000"/>
              <a:t>n</a:t>
            </a:r>
            <a:r>
              <a:rPr lang="en-US"/>
              <a:t> constants</a:t>
            </a:r>
          </a:p>
          <a:p>
            <a:pPr>
              <a:defRPr/>
            </a:pPr>
            <a:r>
              <a:rPr lang="en-US"/>
              <a:t>using (almost)</a:t>
            </a:r>
            <a:r>
              <a:rPr lang="en-US" baseline="0"/>
              <a:t> all samples</a:t>
            </a:r>
            <a:endParaRPr lang="en-US"/>
          </a:p>
        </c:rich>
      </c:tx>
      <c:layout>
        <c:manualLayout>
          <c:xMode val="edge"/>
          <c:yMode val="edge"/>
          <c:x val="7.297768550140725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samples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3560367454068243E-2"/>
                  <c:y val="-0.366040390784485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'new constants'!$S$61:$S$104</c:f>
              <c:numCache>
                <c:formatCode>General</c:formatCode>
                <c:ptCount val="44"/>
                <c:pt idx="0">
                  <c:v>0.56999999999999995</c:v>
                </c:pt>
                <c:pt idx="1">
                  <c:v>0.56999999999999995</c:v>
                </c:pt>
                <c:pt idx="2">
                  <c:v>0.56999999999999995</c:v>
                </c:pt>
                <c:pt idx="3">
                  <c:v>0.56999999999999995</c:v>
                </c:pt>
                <c:pt idx="4">
                  <c:v>0.56999999999999995</c:v>
                </c:pt>
                <c:pt idx="5">
                  <c:v>0.56999999999999995</c:v>
                </c:pt>
                <c:pt idx="6">
                  <c:v>0.56999999999999995</c:v>
                </c:pt>
                <c:pt idx="7">
                  <c:v>0.56999999999999995</c:v>
                </c:pt>
                <c:pt idx="8">
                  <c:v>0.56999999999999995</c:v>
                </c:pt>
                <c:pt idx="9">
                  <c:v>0.56999999999999995</c:v>
                </c:pt>
                <c:pt idx="10">
                  <c:v>0.56999999999999995</c:v>
                </c:pt>
                <c:pt idx="11">
                  <c:v>0.56999999999999995</c:v>
                </c:pt>
                <c:pt idx="12">
                  <c:v>0.56999999999999995</c:v>
                </c:pt>
                <c:pt idx="13">
                  <c:v>0.56999999999999995</c:v>
                </c:pt>
                <c:pt idx="14">
                  <c:v>0.56999999999999995</c:v>
                </c:pt>
                <c:pt idx="15">
                  <c:v>0.56999999999999995</c:v>
                </c:pt>
                <c:pt idx="16">
                  <c:v>0.56999999999999995</c:v>
                </c:pt>
                <c:pt idx="17">
                  <c:v>0.56999999999999995</c:v>
                </c:pt>
                <c:pt idx="18">
                  <c:v>0.56999999999999995</c:v>
                </c:pt>
                <c:pt idx="19">
                  <c:v>0.56999999999999995</c:v>
                </c:pt>
                <c:pt idx="20">
                  <c:v>0.56999999999999995</c:v>
                </c:pt>
                <c:pt idx="21">
                  <c:v>0.56999999999999995</c:v>
                </c:pt>
                <c:pt idx="22">
                  <c:v>0.31033333333333335</c:v>
                </c:pt>
                <c:pt idx="23">
                  <c:v>0.38883333333333336</c:v>
                </c:pt>
                <c:pt idx="24">
                  <c:v>0.38883333333333336</c:v>
                </c:pt>
                <c:pt idx="25">
                  <c:v>0.38883333333333336</c:v>
                </c:pt>
                <c:pt idx="26">
                  <c:v>0.70100000000000018</c:v>
                </c:pt>
                <c:pt idx="27">
                  <c:v>0.46550000000000002</c:v>
                </c:pt>
                <c:pt idx="28">
                  <c:v>0.23</c:v>
                </c:pt>
                <c:pt idx="29">
                  <c:v>0.23550000000000001</c:v>
                </c:pt>
                <c:pt idx="30">
                  <c:v>0.46733333333333338</c:v>
                </c:pt>
                <c:pt idx="31">
                  <c:v>1.1033999999999999</c:v>
                </c:pt>
                <c:pt idx="32">
                  <c:v>0.1245</c:v>
                </c:pt>
                <c:pt idx="33">
                  <c:v>0.48970000000000002</c:v>
                </c:pt>
                <c:pt idx="34">
                  <c:v>0.61370000000000002</c:v>
                </c:pt>
                <c:pt idx="35">
                  <c:v>0.97889999999999999</c:v>
                </c:pt>
                <c:pt idx="36">
                  <c:v>0.32646666666666668</c:v>
                </c:pt>
                <c:pt idx="37">
                  <c:v>0.36771666666666669</c:v>
                </c:pt>
                <c:pt idx="38">
                  <c:v>0.4894</c:v>
                </c:pt>
                <c:pt idx="39">
                  <c:v>0.54694666666666658</c:v>
                </c:pt>
                <c:pt idx="40">
                  <c:v>0.36519999999999997</c:v>
                </c:pt>
                <c:pt idx="41">
                  <c:v>0.85439999999999994</c:v>
                </c:pt>
                <c:pt idx="42">
                  <c:v>0.65259999999999996</c:v>
                </c:pt>
                <c:pt idx="43">
                  <c:v>0.124</c:v>
                </c:pt>
              </c:numCache>
            </c:numRef>
          </c:xVal>
          <c:yVal>
            <c:numRef>
              <c:f>'new constants'!$T$61:$T$104</c:f>
              <c:numCache>
                <c:formatCode>General</c:formatCode>
                <c:ptCount val="44"/>
                <c:pt idx="0">
                  <c:v>0.90530992378789343</c:v>
                </c:pt>
                <c:pt idx="1">
                  <c:v>0.9400152972690099</c:v>
                </c:pt>
                <c:pt idx="2">
                  <c:v>0.89270301990850887</c:v>
                </c:pt>
                <c:pt idx="3">
                  <c:v>0.92543007850088532</c:v>
                </c:pt>
                <c:pt idx="4">
                  <c:v>0.91018246802997149</c:v>
                </c:pt>
                <c:pt idx="5">
                  <c:v>0.95329966256696808</c:v>
                </c:pt>
                <c:pt idx="6">
                  <c:v>0.90756646374409811</c:v>
                </c:pt>
                <c:pt idx="7">
                  <c:v>0.93673137708429621</c:v>
                </c:pt>
                <c:pt idx="8">
                  <c:v>0.87564617495242936</c:v>
                </c:pt>
                <c:pt idx="9">
                  <c:v>0.91796049313675065</c:v>
                </c:pt>
                <c:pt idx="10">
                  <c:v>0.87936151148119768</c:v>
                </c:pt>
                <c:pt idx="11">
                  <c:v>0.90840562556151938</c:v>
                </c:pt>
                <c:pt idx="12">
                  <c:v>0.90812418561268982</c:v>
                </c:pt>
                <c:pt idx="13">
                  <c:v>0.90606417487057245</c:v>
                </c:pt>
                <c:pt idx="14">
                  <c:v>0.91803680188835046</c:v>
                </c:pt>
                <c:pt idx="15">
                  <c:v>0.93016226980934991</c:v>
                </c:pt>
                <c:pt idx="16">
                  <c:v>0.93725637601909795</c:v>
                </c:pt>
                <c:pt idx="17">
                  <c:v>0.93564754355020763</c:v>
                </c:pt>
                <c:pt idx="18">
                  <c:v>0.93784482702762273</c:v>
                </c:pt>
                <c:pt idx="19">
                  <c:v>0.94067802791829691</c:v>
                </c:pt>
                <c:pt idx="20">
                  <c:v>0.93864103160715695</c:v>
                </c:pt>
                <c:pt idx="21">
                  <c:v>0.94042863677076971</c:v>
                </c:pt>
                <c:pt idx="22">
                  <c:v>0.96435785823974085</c:v>
                </c:pt>
                <c:pt idx="23">
                  <c:v>0.94491428724772808</c:v>
                </c:pt>
                <c:pt idx="24">
                  <c:v>0.92090487422425948</c:v>
                </c:pt>
                <c:pt idx="25">
                  <c:v>0.93429537176406718</c:v>
                </c:pt>
                <c:pt idx="26">
                  <c:v>0.90232952353071094</c:v>
                </c:pt>
                <c:pt idx="27">
                  <c:v>0.93673137708429621</c:v>
                </c:pt>
                <c:pt idx="28">
                  <c:v>0.96797197923025546</c:v>
                </c:pt>
                <c:pt idx="29">
                  <c:v>0.97317874625458201</c:v>
                </c:pt>
                <c:pt idx="30">
                  <c:v>0.94582858128397207</c:v>
                </c:pt>
                <c:pt idx="31">
                  <c:v>0.79877834807593406</c:v>
                </c:pt>
                <c:pt idx="32">
                  <c:v>0.99699083822204271</c:v>
                </c:pt>
                <c:pt idx="33">
                  <c:v>0.92080291232213196</c:v>
                </c:pt>
                <c:pt idx="34">
                  <c:v>0.89416810895874854</c:v>
                </c:pt>
                <c:pt idx="35">
                  <c:v>0.82541315143931748</c:v>
                </c:pt>
                <c:pt idx="36">
                  <c:v>0.97379245277387716</c:v>
                </c:pt>
                <c:pt idx="37">
                  <c:v>0.93440071822615189</c:v>
                </c:pt>
                <c:pt idx="38">
                  <c:v>0.9241612385030098</c:v>
                </c:pt>
                <c:pt idx="39">
                  <c:v>0.89140752386700961</c:v>
                </c:pt>
                <c:pt idx="40">
                  <c:v>0.94310181746356925</c:v>
                </c:pt>
                <c:pt idx="41">
                  <c:v>0.84399557239051504</c:v>
                </c:pt>
                <c:pt idx="42">
                  <c:v>0.91185104960321828</c:v>
                </c:pt>
                <c:pt idx="43">
                  <c:v>1.0044238066025217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11-4970-A071-24847A8D3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156032"/>
        <c:axId val="491172352"/>
      </c:scatterChart>
      <c:valAx>
        <c:axId val="4911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sum(s) / ((N*(N-1))/2)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72352"/>
        <c:crosses val="autoZero"/>
        <c:crossBetween val="midCat"/>
      </c:valAx>
      <c:valAx>
        <c:axId val="491172352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(((Lm/Ls)-N)/2) / ((N*(N-1))/2)</a:t>
                </a:r>
              </a:p>
            </c:rich>
          </c:tx>
          <c:layout>
            <c:manualLayout>
              <c:xMode val="edge"/>
              <c:yMode val="edge"/>
              <c:x val="3.3284489873259479E-2"/>
              <c:y val="0.250833333333333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56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943257545161416"/>
          <c:y val="4.9605934674832278E-2"/>
          <c:w val="0.3239251796117561"/>
          <c:h val="0.15625109361329834"/>
        </c:manualLayout>
      </c:layout>
      <c:overlay val="1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coupling factor over layer spacing</a:t>
            </a:r>
          </a:p>
          <a:p>
            <a:pPr>
              <a:defRPr/>
            </a:pPr>
            <a:r>
              <a:rPr lang="en-US"/>
              <a:t>(for select 2-layer PCBs)</a:t>
            </a:r>
          </a:p>
        </c:rich>
      </c:tx>
      <c:layout>
        <c:manualLayout>
          <c:xMode val="edge"/>
          <c:yMode val="edge"/>
          <c:x val="0.1110833333333333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all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9671478565179355E-2"/>
                  <c:y val="-0.14865121026538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'new constants'!$I$7:$I$21</c:f>
              <c:numCache>
                <c:formatCode>General</c:formatCode>
                <c:ptCount val="15"/>
                <c:pt idx="0">
                  <c:v>0.12450000000000001</c:v>
                </c:pt>
                <c:pt idx="1">
                  <c:v>0.48970000000000002</c:v>
                </c:pt>
                <c:pt idx="2">
                  <c:v>0.61370000000000002</c:v>
                </c:pt>
                <c:pt idx="3">
                  <c:v>0.97889999999999999</c:v>
                </c:pt>
                <c:pt idx="4">
                  <c:v>1.1033999999999999</c:v>
                </c:pt>
                <c:pt idx="6">
                  <c:v>0.12399999999999999</c:v>
                </c:pt>
                <c:pt idx="7">
                  <c:v>0.36519999999999997</c:v>
                </c:pt>
                <c:pt idx="8">
                  <c:v>0.85439999999999994</c:v>
                </c:pt>
                <c:pt idx="10">
                  <c:v>0.56999999999999995</c:v>
                </c:pt>
                <c:pt idx="12">
                  <c:v>0.23</c:v>
                </c:pt>
                <c:pt idx="13">
                  <c:v>0.46550000000000002</c:v>
                </c:pt>
                <c:pt idx="14">
                  <c:v>0.70100000000000007</c:v>
                </c:pt>
              </c:numCache>
            </c:numRef>
          </c:xVal>
          <c:yVal>
            <c:numRef>
              <c:f>'new constants'!$M$7:$M$21</c:f>
              <c:numCache>
                <c:formatCode>General</c:formatCode>
                <c:ptCount val="15"/>
                <c:pt idx="0">
                  <c:v>0.99699083822204271</c:v>
                </c:pt>
                <c:pt idx="1">
                  <c:v>0.92080291232213196</c:v>
                </c:pt>
                <c:pt idx="2">
                  <c:v>0.89416810895874854</c:v>
                </c:pt>
                <c:pt idx="3">
                  <c:v>0.82541315143931748</c:v>
                </c:pt>
                <c:pt idx="4">
                  <c:v>0.79877834807593406</c:v>
                </c:pt>
                <c:pt idx="6">
                  <c:v>1.0044238066025217</c:v>
                </c:pt>
                <c:pt idx="7">
                  <c:v>0.94310181746356925</c:v>
                </c:pt>
                <c:pt idx="8">
                  <c:v>0.84399557239051504</c:v>
                </c:pt>
                <c:pt idx="10">
                  <c:v>0.93673137708429621</c:v>
                </c:pt>
                <c:pt idx="12">
                  <c:v>0.97057536274241873</c:v>
                </c:pt>
                <c:pt idx="13">
                  <c:v>0.93673137708429621</c:v>
                </c:pt>
                <c:pt idx="14">
                  <c:v>0.90232952353071094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A2-42E2-9E11-E65A9F8CD0BE}"/>
            </c:ext>
          </c:extLst>
        </c:ser>
        <c:ser>
          <c:idx val="1"/>
          <c:order val="1"/>
          <c:tx>
            <c:v>2L &amp; 4L samples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noFill/>
              <a:ln w="15875">
                <a:solidFill>
                  <a:schemeClr val="accent2"/>
                </a:solidFill>
              </a:ln>
              <a:effectLst/>
            </c:spPr>
          </c:marker>
          <c:xVal>
            <c:numRef>
              <c:f>'new constants'!$I$17:$I$21</c:f>
              <c:numCache>
                <c:formatCode>General</c:formatCode>
                <c:ptCount val="5"/>
                <c:pt idx="0">
                  <c:v>0.56999999999999995</c:v>
                </c:pt>
                <c:pt idx="2">
                  <c:v>0.23</c:v>
                </c:pt>
                <c:pt idx="3">
                  <c:v>0.46550000000000002</c:v>
                </c:pt>
                <c:pt idx="4">
                  <c:v>0.70100000000000007</c:v>
                </c:pt>
              </c:numCache>
            </c:numRef>
          </c:xVal>
          <c:yVal>
            <c:numRef>
              <c:f>'new constants'!$M$17:$M$21</c:f>
              <c:numCache>
                <c:formatCode>General</c:formatCode>
                <c:ptCount val="5"/>
                <c:pt idx="0">
                  <c:v>0.93673137708429621</c:v>
                </c:pt>
                <c:pt idx="2">
                  <c:v>0.97057536274241873</c:v>
                </c:pt>
                <c:pt idx="3">
                  <c:v>0.93673137708429621</c:v>
                </c:pt>
                <c:pt idx="4">
                  <c:v>0.90232952353071094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0A2-42E2-9E11-E65A9F8CD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248368"/>
        <c:axId val="431222928"/>
      </c:scatterChart>
      <c:valAx>
        <c:axId val="43124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layer spacing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222928"/>
        <c:crosses val="autoZero"/>
        <c:crossBetween val="midCat"/>
      </c:valAx>
      <c:valAx>
        <c:axId val="431222928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coupling factor</a:t>
                </a:r>
                <a:r>
                  <a:rPr lang="en-US" baseline="0"/>
                  <a:t> 'k'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24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65223097112859"/>
          <c:y val="2.4432050160396616E-2"/>
          <c:w val="0.2785464195068279"/>
          <c:h val="0.23437664041994752"/>
        </c:manualLayout>
      </c:layout>
      <c:overlay val="1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prediction</a:t>
            </a:r>
            <a:r>
              <a:rPr lang="en-US" baseline="0"/>
              <a:t> outputs compared</a:t>
            </a:r>
            <a:endParaRPr lang="en-US"/>
          </a:p>
        </c:rich>
      </c:tx>
      <c:layout>
        <c:manualLayout>
          <c:xMode val="edge"/>
          <c:yMode val="edge"/>
          <c:x val="5.2018117993400573E-2"/>
          <c:y val="4.8142315507961844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096708134010083E-2"/>
          <c:y val="1.8324168840217977E-2"/>
          <c:w val="0.95013966459948473"/>
          <c:h val="0.84807095494973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'new constants'!$AD$60</c:f>
              <c:strCache>
                <c:ptCount val="1"/>
                <c:pt idx="0">
                  <c:v>old L predict. [µH]: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'new constants'!$AD$61:$AD$106</c:f>
              <c:numCache>
                <c:formatCode>General</c:formatCode>
                <c:ptCount val="46"/>
                <c:pt idx="0">
                  <c:v>12.533530454293953</c:v>
                </c:pt>
                <c:pt idx="1">
                  <c:v>9.7154672867688916</c:v>
                </c:pt>
                <c:pt idx="2">
                  <c:v>6.8636828868795883</c:v>
                </c:pt>
                <c:pt idx="3">
                  <c:v>5.3014412400006181</c:v>
                </c:pt>
                <c:pt idx="4">
                  <c:v>9.6351982829852361</c:v>
                </c:pt>
                <c:pt idx="5">
                  <c:v>7.2756712363809379</c:v>
                </c:pt>
                <c:pt idx="6">
                  <c:v>11.152255082865736</c:v>
                </c:pt>
                <c:pt idx="7">
                  <c:v>8.5418981709397794</c:v>
                </c:pt>
                <c:pt idx="8">
                  <c:v>6.9485177915707501</c:v>
                </c:pt>
                <c:pt idx="9">
                  <c:v>5.2208480262588202</c:v>
                </c:pt>
                <c:pt idx="10">
                  <c:v>5.0223947712615189</c:v>
                </c:pt>
                <c:pt idx="11">
                  <c:v>10.701357993847788</c:v>
                </c:pt>
                <c:pt idx="12">
                  <c:v>15.758937138591723</c:v>
                </c:pt>
                <c:pt idx="13">
                  <c:v>19.120908746661936</c:v>
                </c:pt>
                <c:pt idx="14">
                  <c:v>3.8650430137624721</c:v>
                </c:pt>
                <c:pt idx="15">
                  <c:v>6.8023504441370317</c:v>
                </c:pt>
                <c:pt idx="16">
                  <c:v>8.2932110833993296</c:v>
                </c:pt>
                <c:pt idx="17">
                  <c:v>11.026164589351911</c:v>
                </c:pt>
                <c:pt idx="18">
                  <c:v>12.195263145470973</c:v>
                </c:pt>
                <c:pt idx="19">
                  <c:v>13.203010799062811</c:v>
                </c:pt>
                <c:pt idx="20">
                  <c:v>14.038082397193005</c:v>
                </c:pt>
                <c:pt idx="21">
                  <c:v>14.696509535417755</c:v>
                </c:pt>
                <c:pt idx="22">
                  <c:v>21.564117811084184</c:v>
                </c:pt>
                <c:pt idx="23">
                  <c:v>36.111909193033085</c:v>
                </c:pt>
                <c:pt idx="24">
                  <c:v>46.58650997157585</c:v>
                </c:pt>
                <c:pt idx="25">
                  <c:v>17.977422358157479</c:v>
                </c:pt>
                <c:pt idx="26">
                  <c:v>8.3812695839795541</c:v>
                </c:pt>
                <c:pt idx="27">
                  <c:v>8.6949343008220836</c:v>
                </c:pt>
                <c:pt idx="28">
                  <c:v>9.1724494112451715</c:v>
                </c:pt>
                <c:pt idx="29">
                  <c:v>9.1583461865867211</c:v>
                </c:pt>
                <c:pt idx="30">
                  <c:v>20.664237997964744</c:v>
                </c:pt>
                <c:pt idx="31">
                  <c:v>2.3496918328368244</c:v>
                </c:pt>
                <c:pt idx="32">
                  <c:v>2.7636062427504435</c:v>
                </c:pt>
                <c:pt idx="33">
                  <c:v>2.532489941871813</c:v>
                </c:pt>
                <c:pt idx="34">
                  <c:v>2.4843202110767812</c:v>
                </c:pt>
                <c:pt idx="35">
                  <c:v>2.3792100833873637</c:v>
                </c:pt>
                <c:pt idx="36">
                  <c:v>5.4667987976680568</c:v>
                </c:pt>
                <c:pt idx="37">
                  <c:v>9.2118261972569346</c:v>
                </c:pt>
                <c:pt idx="38">
                  <c:v>13.47654863256399</c:v>
                </c:pt>
                <c:pt idx="39">
                  <c:v>18.72093626863257</c:v>
                </c:pt>
                <c:pt idx="40">
                  <c:v>2.5923461716640159</c:v>
                </c:pt>
                <c:pt idx="41">
                  <c:v>2.4109634016831971</c:v>
                </c:pt>
                <c:pt idx="42">
                  <c:v>5.0227608819892753</c:v>
                </c:pt>
                <c:pt idx="43">
                  <c:v>2.7640753708608083</c:v>
                </c:pt>
                <c:pt idx="44">
                  <c:v>6.0103399680211442</c:v>
                </c:pt>
                <c:pt idx="45">
                  <c:v>8.2420772056557148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D7-4675-B638-B3D70B98E3AB}"/>
            </c:ext>
          </c:extLst>
        </c:ser>
        <c:ser>
          <c:idx val="1"/>
          <c:order val="1"/>
          <c:tx>
            <c:strRef>
              <c:f>'new constants'!$AF$60</c:f>
              <c:strCache>
                <c:ptCount val="1"/>
                <c:pt idx="0">
                  <c:v>old L predict. with K_turns fix [µH]: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'new constants'!$AF$61:$AF$106</c:f>
              <c:numCache>
                <c:formatCode>General</c:formatCode>
                <c:ptCount val="46"/>
                <c:pt idx="0">
                  <c:v>15.161803006440815</c:v>
                </c:pt>
                <c:pt idx="1">
                  <c:v>11.752793967723916</c:v>
                </c:pt>
                <c:pt idx="2">
                  <c:v>9.2303652204858917</c:v>
                </c:pt>
                <c:pt idx="3">
                  <c:v>7.129443426603018</c:v>
                </c:pt>
                <c:pt idx="4">
                  <c:v>11.655692610103319</c:v>
                </c:pt>
                <c:pt idx="5">
                  <c:v>8.8013743954994563</c:v>
                </c:pt>
                <c:pt idx="6">
                  <c:v>13.490875157690258</c:v>
                </c:pt>
                <c:pt idx="7">
                  <c:v>10.333128230800771</c:v>
                </c:pt>
                <c:pt idx="8">
                  <c:v>8.4056171025979012</c:v>
                </c:pt>
                <c:pt idx="9">
                  <c:v>6.3156561983365549</c:v>
                </c:pt>
                <c:pt idx="10">
                  <c:v>7.1702689126473311</c:v>
                </c:pt>
                <c:pt idx="11">
                  <c:v>13.277528776026628</c:v>
                </c:pt>
                <c:pt idx="12">
                  <c:v>18.462585688056766</c:v>
                </c:pt>
                <c:pt idx="13">
                  <c:v>21.90605334093307</c:v>
                </c:pt>
                <c:pt idx="14">
                  <c:v>5.517964841434555</c:v>
                </c:pt>
                <c:pt idx="15">
                  <c:v>8.7356502224062105</c:v>
                </c:pt>
                <c:pt idx="16">
                  <c:v>10.289661262505351</c:v>
                </c:pt>
                <c:pt idx="17">
                  <c:v>13.093641564382478</c:v>
                </c:pt>
                <c:pt idx="18">
                  <c:v>14.287517542047848</c:v>
                </c:pt>
                <c:pt idx="19">
                  <c:v>15.316187835147993</c:v>
                </c:pt>
                <c:pt idx="20">
                  <c:v>16.167830429940281</c:v>
                </c:pt>
                <c:pt idx="21">
                  <c:v>16.837197754243586</c:v>
                </c:pt>
                <c:pt idx="22">
                  <c:v>28.577512579202761</c:v>
                </c:pt>
                <c:pt idx="23">
                  <c:v>49.629296499986168</c:v>
                </c:pt>
                <c:pt idx="24">
                  <c:v>64.02474330337968</c:v>
                </c:pt>
                <c:pt idx="25">
                  <c:v>30.105969922595541</c:v>
                </c:pt>
                <c:pt idx="26">
                  <c:v>10.081571323089973</c:v>
                </c:pt>
                <c:pt idx="27">
                  <c:v>10.572794757972257</c:v>
                </c:pt>
                <c:pt idx="28">
                  <c:v>11.320620701264383</c:v>
                </c:pt>
                <c:pt idx="29">
                  <c:v>11.298533950387911</c:v>
                </c:pt>
                <c:pt idx="30">
                  <c:v>27.16823053679925</c:v>
                </c:pt>
                <c:pt idx="31">
                  <c:v>2.8492861298310754</c:v>
                </c:pt>
                <c:pt idx="32">
                  <c:v>3.5444459398820518</c:v>
                </c:pt>
                <c:pt idx="33">
                  <c:v>3.1562913843254998</c:v>
                </c:pt>
                <c:pt idx="34">
                  <c:v>3.0753914202081143</c:v>
                </c:pt>
                <c:pt idx="35">
                  <c:v>2.8988613583186083</c:v>
                </c:pt>
                <c:pt idx="36">
                  <c:v>7.5359123225286133</c:v>
                </c:pt>
                <c:pt idx="37">
                  <c:v>13.277116562519424</c:v>
                </c:pt>
                <c:pt idx="38">
                  <c:v>19.89113676074102</c:v>
                </c:pt>
                <c:pt idx="39">
                  <c:v>28.150482317451718</c:v>
                </c:pt>
                <c:pt idx="40">
                  <c:v>3.256818556939276</c:v>
                </c:pt>
                <c:pt idx="41">
                  <c:v>2.9521903321024059</c:v>
                </c:pt>
                <c:pt idx="42">
                  <c:v>6.7901607716630306</c:v>
                </c:pt>
                <c:pt idx="43">
                  <c:v>3.5452338298425849</c:v>
                </c:pt>
                <c:pt idx="44">
                  <c:v>8.2601266730086476</c:v>
                </c:pt>
                <c:pt idx="45">
                  <c:v>11.327246400314412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D7-4675-B638-B3D70B98E3AB}"/>
            </c:ext>
          </c:extLst>
        </c:ser>
        <c:ser>
          <c:idx val="2"/>
          <c:order val="2"/>
          <c:tx>
            <c:strRef>
              <c:f>'new constants'!$O$60</c:f>
              <c:strCache>
                <c:ptCount val="1"/>
                <c:pt idx="0">
                  <c:v>new L predict. [µH]: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'new constants'!$O$61:$O$106</c:f>
              <c:numCache>
                <c:formatCode>0.000</c:formatCode>
                <c:ptCount val="46"/>
                <c:pt idx="0">
                  <c:v>15.077481574152042</c:v>
                </c:pt>
                <c:pt idx="1">
                  <c:v>11.687431528947187</c:v>
                </c:pt>
                <c:pt idx="2">
                  <c:v>9.1790311136115825</c:v>
                </c:pt>
                <c:pt idx="3">
                  <c:v>7.0897934667072482</c:v>
                </c:pt>
                <c:pt idx="4">
                  <c:v>11.590870194538095</c:v>
                </c:pt>
                <c:pt idx="5">
                  <c:v>8.752426094639528</c:v>
                </c:pt>
                <c:pt idx="6">
                  <c:v>13.415846487574822</c:v>
                </c:pt>
                <c:pt idx="7">
                  <c:v>10.275661175459494</c:v>
                </c:pt>
                <c:pt idx="8">
                  <c:v>8.3588697815134001</c:v>
                </c:pt>
                <c:pt idx="9">
                  <c:v>6.2805320659189938</c:v>
                </c:pt>
                <c:pt idx="10">
                  <c:v>7.1303919043289117</c:v>
                </c:pt>
                <c:pt idx="11">
                  <c:v>13.203686618654292</c:v>
                </c:pt>
                <c:pt idx="12">
                  <c:v>18.359907156465912</c:v>
                </c:pt>
                <c:pt idx="13">
                  <c:v>21.784224176372824</c:v>
                </c:pt>
                <c:pt idx="14">
                  <c:v>5.4872770202993513</c:v>
                </c:pt>
                <c:pt idx="15">
                  <c:v>8.6870674424812826</c:v>
                </c:pt>
                <c:pt idx="16">
                  <c:v>10.232435946027346</c:v>
                </c:pt>
                <c:pt idx="17">
                  <c:v>13.020822084396126</c:v>
                </c:pt>
                <c:pt idx="18">
                  <c:v>14.208058394446164</c:v>
                </c:pt>
                <c:pt idx="19">
                  <c:v>15.231007801156329</c:v>
                </c:pt>
                <c:pt idx="20">
                  <c:v>16.077914038184272</c:v>
                </c:pt>
                <c:pt idx="21">
                  <c:v>16.743558717397903</c:v>
                </c:pt>
                <c:pt idx="22">
                  <c:v>26.846125473845742</c:v>
                </c:pt>
                <c:pt idx="23">
                  <c:v>46.996274316278779</c:v>
                </c:pt>
                <c:pt idx="24">
                  <c:v>60.627988134302953</c:v>
                </c:pt>
                <c:pt idx="25">
                  <c:v>28.508734171566037</c:v>
                </c:pt>
                <c:pt idx="26">
                  <c:v>10.13394578466624</c:v>
                </c:pt>
                <c:pt idx="27">
                  <c:v>10.388708949031212</c:v>
                </c:pt>
                <c:pt idx="28">
                  <c:v>10.643472113396184</c:v>
                </c:pt>
                <c:pt idx="29">
                  <c:v>10.63752223057662</c:v>
                </c:pt>
                <c:pt idx="30">
                  <c:v>26.266595458448872</c:v>
                </c:pt>
                <c:pt idx="31">
                  <c:v>2.9116522135486229</c:v>
                </c:pt>
                <c:pt idx="32">
                  <c:v>3.2295687560637893</c:v>
                </c:pt>
                <c:pt idx="33">
                  <c:v>3.1109630544328377</c:v>
                </c:pt>
                <c:pt idx="34">
                  <c:v>3.0706916770992172</c:v>
                </c:pt>
                <c:pt idx="35">
                  <c:v>2.9520859754682651</c:v>
                </c:pt>
                <c:pt idx="36">
                  <c:v>7.0702850682308913</c:v>
                </c:pt>
                <c:pt idx="37">
                  <c:v>12.445760727301757</c:v>
                </c:pt>
                <c:pt idx="38">
                  <c:v>19.002387058753431</c:v>
                </c:pt>
                <c:pt idx="39">
                  <c:v>27.012418059511521</c:v>
                </c:pt>
                <c:pt idx="40">
                  <c:v>3.1513968163524799</c:v>
                </c:pt>
                <c:pt idx="41">
                  <c:v>2.9925197373879082</c:v>
                </c:pt>
                <c:pt idx="42">
                  <c:v>6.7525309103017479</c:v>
                </c:pt>
                <c:pt idx="43">
                  <c:v>3.2297311406498124</c:v>
                </c:pt>
                <c:pt idx="44">
                  <c:v>7.8218956622130191</c:v>
                </c:pt>
                <c:pt idx="45">
                  <c:v>10.726293069203708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D7-4675-B638-B3D70B98E3AB}"/>
            </c:ext>
          </c:extLst>
        </c:ser>
        <c:ser>
          <c:idx val="3"/>
          <c:order val="3"/>
          <c:tx>
            <c:strRef>
              <c:f>'new constants'!$K$60</c:f>
              <c:strCache>
                <c:ptCount val="1"/>
                <c:pt idx="0">
                  <c:v>Measured Inductance [µH]: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'new constants'!$K$61:$K$106</c:f>
              <c:numCache>
                <c:formatCode>General</c:formatCode>
                <c:ptCount val="46"/>
                <c:pt idx="0">
                  <c:v>15.034000000000001</c:v>
                </c:pt>
                <c:pt idx="1">
                  <c:v>11.866</c:v>
                </c:pt>
                <c:pt idx="2">
                  <c:v>9.0920000000000005</c:v>
                </c:pt>
                <c:pt idx="3">
                  <c:v>7.1440000000000001</c:v>
                </c:pt>
                <c:pt idx="4">
                  <c:v>11.587</c:v>
                </c:pt>
                <c:pt idx="5">
                  <c:v>8.9469999999999992</c:v>
                </c:pt>
                <c:pt idx="6">
                  <c:v>13.393000000000001</c:v>
                </c:pt>
                <c:pt idx="7">
                  <c:v>10.414999999999999</c:v>
                </c:pt>
                <c:pt idx="8">
                  <c:v>8.2050000000000001</c:v>
                </c:pt>
                <c:pt idx="9">
                  <c:v>6.3040000000000003</c:v>
                </c:pt>
                <c:pt idx="10">
                  <c:v>7.0129999999999999</c:v>
                </c:pt>
                <c:pt idx="11">
                  <c:v>13.186999999999999</c:v>
                </c:pt>
                <c:pt idx="12">
                  <c:v>18.334</c:v>
                </c:pt>
                <c:pt idx="13">
                  <c:v>21.73</c:v>
                </c:pt>
                <c:pt idx="14">
                  <c:v>5.508</c:v>
                </c:pt>
                <c:pt idx="15">
                  <c:v>8.7750000000000004</c:v>
                </c:pt>
                <c:pt idx="16">
                  <c:v>10.374000000000001</c:v>
                </c:pt>
                <c:pt idx="17">
                  <c:v>13.19</c:v>
                </c:pt>
                <c:pt idx="18">
                  <c:v>14.409000000000001</c:v>
                </c:pt>
                <c:pt idx="19">
                  <c:v>15.468999999999999</c:v>
                </c:pt>
                <c:pt idx="20">
                  <c:v>16.312000000000001</c:v>
                </c:pt>
                <c:pt idx="21">
                  <c:v>17.003</c:v>
                </c:pt>
                <c:pt idx="22">
                  <c:v>26.87</c:v>
                </c:pt>
                <c:pt idx="23">
                  <c:v>46.91</c:v>
                </c:pt>
                <c:pt idx="24">
                  <c:v>59.38</c:v>
                </c:pt>
                <c:pt idx="25">
                  <c:v>28.22</c:v>
                </c:pt>
                <c:pt idx="26">
                  <c:v>10.23</c:v>
                </c:pt>
                <c:pt idx="27">
                  <c:v>10.414999999999999</c:v>
                </c:pt>
                <c:pt idx="28">
                  <c:v>10.583</c:v>
                </c:pt>
                <c:pt idx="29">
                  <c:v>10.611000000000001</c:v>
                </c:pt>
                <c:pt idx="30">
                  <c:v>26.53</c:v>
                </c:pt>
                <c:pt idx="31">
                  <c:v>2.9039999999999999</c:v>
                </c:pt>
                <c:pt idx="32">
                  <c:v>3.2240000000000002</c:v>
                </c:pt>
                <c:pt idx="33">
                  <c:v>3.101</c:v>
                </c:pt>
                <c:pt idx="34">
                  <c:v>3.0579999999999998</c:v>
                </c:pt>
                <c:pt idx="35">
                  <c:v>2.9470000000000001</c:v>
                </c:pt>
                <c:pt idx="36">
                  <c:v>7.1379999999999999</c:v>
                </c:pt>
                <c:pt idx="37">
                  <c:v>12.28</c:v>
                </c:pt>
                <c:pt idx="38">
                  <c:v>18.956</c:v>
                </c:pt>
                <c:pt idx="39">
                  <c:v>26.43</c:v>
                </c:pt>
                <c:pt idx="40">
                  <c:v>3.137</c:v>
                </c:pt>
                <c:pt idx="41">
                  <c:v>2.9769999999999999</c:v>
                </c:pt>
                <c:pt idx="42">
                  <c:v>6.8380000000000001</c:v>
                </c:pt>
                <c:pt idx="43">
                  <c:v>3.2360000000000002</c:v>
                </c:pt>
                <c:pt idx="44">
                  <c:v>7.1719999999999997</c:v>
                </c:pt>
                <c:pt idx="45">
                  <c:v>9.5670000000000002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D7-4675-B638-B3D70B98E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723376"/>
        <c:axId val="549724336"/>
      </c:barChart>
      <c:catAx>
        <c:axId val="54972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24336"/>
        <c:crosses val="autoZero"/>
        <c:auto val="1"/>
        <c:lblAlgn val="ctr"/>
        <c:lblOffset val="100"/>
        <c:noMultiLvlLbl val="0"/>
      </c:catAx>
      <c:valAx>
        <c:axId val="54972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Inductance [µH]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2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20180229430564"/>
          <c:y val="6.4597178888741724E-2"/>
          <c:w val="0.12727094317268403"/>
          <c:h val="0.20310181507427824"/>
        </c:manualLayout>
      </c:layout>
      <c:overlay val="1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prediction</a:t>
            </a:r>
            <a:r>
              <a:rPr lang="en-US" baseline="0"/>
              <a:t> error </a:t>
            </a:r>
            <a:r>
              <a:rPr lang="en-US"/>
              <a:t>compared</a:t>
            </a:r>
          </a:p>
        </c:rich>
      </c:tx>
      <c:layout>
        <c:manualLayout>
          <c:xMode val="edge"/>
          <c:yMode val="edge"/>
          <c:x val="7.1658524369964741E-2"/>
          <c:y val="4.8142315507961844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870789959916015E-2"/>
          <c:y val="2.7350852997960824E-2"/>
          <c:w val="0.93836558277357884"/>
          <c:h val="0.839044270791995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'new constants'!$AE$60</c:f>
              <c:strCache>
                <c:ptCount val="1"/>
                <c:pt idx="0">
                  <c:v>old prediction error [% of measurement]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'new constants'!$AE$61:$AE$106</c:f>
              <c:numCache>
                <c:formatCode>0.0%</c:formatCode>
                <c:ptCount val="46"/>
                <c:pt idx="0">
                  <c:v>0.16632097550259731</c:v>
                </c:pt>
                <c:pt idx="1">
                  <c:v>0.18123484857838429</c:v>
                </c:pt>
                <c:pt idx="2">
                  <c:v>0.24508547218658294</c:v>
                </c:pt>
                <c:pt idx="3">
                  <c:v>0.25791695968636363</c:v>
                </c:pt>
                <c:pt idx="4">
                  <c:v>0.16844754613055699</c:v>
                </c:pt>
                <c:pt idx="5">
                  <c:v>0.18680325959752558</c:v>
                </c:pt>
                <c:pt idx="6">
                  <c:v>0.16730716920288694</c:v>
                </c:pt>
                <c:pt idx="7">
                  <c:v>0.17984655103794717</c:v>
                </c:pt>
                <c:pt idx="8">
                  <c:v>0.15313616190484461</c:v>
                </c:pt>
                <c:pt idx="9">
                  <c:v>0.17181979278889278</c:v>
                </c:pt>
                <c:pt idx="10">
                  <c:v>0.28384503475523759</c:v>
                </c:pt>
                <c:pt idx="11">
                  <c:v>0.188491848498689</c:v>
                </c:pt>
                <c:pt idx="12">
                  <c:v>0.14045286688165579</c:v>
                </c:pt>
                <c:pt idx="13">
                  <c:v>0.12006862647667117</c:v>
                </c:pt>
                <c:pt idx="14">
                  <c:v>0.29828558210557876</c:v>
                </c:pt>
                <c:pt idx="15">
                  <c:v>0.22480336818951208</c:v>
                </c:pt>
                <c:pt idx="16">
                  <c:v>0.20057730061699161</c:v>
                </c:pt>
                <c:pt idx="17">
                  <c:v>0.16405120626596578</c:v>
                </c:pt>
                <c:pt idx="18">
                  <c:v>0.15363570369415142</c:v>
                </c:pt>
                <c:pt idx="19">
                  <c:v>0.14648582332000698</c:v>
                </c:pt>
                <c:pt idx="20">
                  <c:v>0.13940152052519594</c:v>
                </c:pt>
                <c:pt idx="21">
                  <c:v>0.13565197109817353</c:v>
                </c:pt>
                <c:pt idx="22">
                  <c:v>0.19746491212935677</c:v>
                </c:pt>
                <c:pt idx="23">
                  <c:v>0.23018739729198279</c:v>
                </c:pt>
                <c:pt idx="24">
                  <c:v>0.21545116248609214</c:v>
                </c:pt>
                <c:pt idx="25">
                  <c:v>0.36295455853446207</c:v>
                </c:pt>
                <c:pt idx="26">
                  <c:v>0.18071656070581096</c:v>
                </c:pt>
                <c:pt idx="27">
                  <c:v>0.16515273155812921</c:v>
                </c:pt>
                <c:pt idx="28">
                  <c:v>0.13328456853017373</c:v>
                </c:pt>
                <c:pt idx="29">
                  <c:v>0.13690074577450564</c:v>
                </c:pt>
                <c:pt idx="30">
                  <c:v>0.22109920851998707</c:v>
                </c:pt>
                <c:pt idx="31">
                  <c:v>0.19087746803139655</c:v>
                </c:pt>
                <c:pt idx="32">
                  <c:v>0.14280203388633891</c:v>
                </c:pt>
                <c:pt idx="33">
                  <c:v>0.18333120223417834</c:v>
                </c:pt>
                <c:pt idx="34">
                  <c:v>0.18759966936665096</c:v>
                </c:pt>
                <c:pt idx="35">
                  <c:v>0.19266709080849553</c:v>
                </c:pt>
                <c:pt idx="36">
                  <c:v>0.23412737494143221</c:v>
                </c:pt>
                <c:pt idx="37">
                  <c:v>0.24985128686832775</c:v>
                </c:pt>
                <c:pt idx="38">
                  <c:v>0.28906158300464285</c:v>
                </c:pt>
                <c:pt idx="39">
                  <c:v>0.29167853694163559</c:v>
                </c:pt>
                <c:pt idx="40">
                  <c:v>0.1736225146114071</c:v>
                </c:pt>
                <c:pt idx="41">
                  <c:v>0.19013657988471708</c:v>
                </c:pt>
                <c:pt idx="42">
                  <c:v>0.26546345686029904</c:v>
                </c:pt>
                <c:pt idx="43">
                  <c:v>0.14583579392434853</c:v>
                </c:pt>
                <c:pt idx="44">
                  <c:v>0.16197156051015832</c:v>
                </c:pt>
                <c:pt idx="45">
                  <c:v>0.13848884648732993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2-4A25-9499-AE714EB29CBA}"/>
            </c:ext>
          </c:extLst>
        </c:ser>
        <c:ser>
          <c:idx val="1"/>
          <c:order val="1"/>
          <c:tx>
            <c:strRef>
              <c:f>'new constants'!$AG$60</c:f>
              <c:strCache>
                <c:ptCount val="1"/>
                <c:pt idx="0">
                  <c:v>old prediction with K_turns fix error [% of measurement]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'new constants'!$AG$61:$AG$106</c:f>
              <c:numCache>
                <c:formatCode>0.0%</c:formatCode>
                <c:ptCount val="46"/>
                <c:pt idx="0">
                  <c:v>8.500931650978729E-3</c:v>
                </c:pt>
                <c:pt idx="1">
                  <c:v>9.540370156420357E-3</c:v>
                </c:pt>
                <c:pt idx="2">
                  <c:v>1.5218348051681827E-2</c:v>
                </c:pt>
                <c:pt idx="3">
                  <c:v>2.0375942604958191E-3</c:v>
                </c:pt>
                <c:pt idx="4">
                  <c:v>5.9284206527418139E-3</c:v>
                </c:pt>
                <c:pt idx="5">
                  <c:v>1.6276473063657412E-2</c:v>
                </c:pt>
                <c:pt idx="6">
                  <c:v>7.3079338229117786E-3</c:v>
                </c:pt>
                <c:pt idx="7">
                  <c:v>7.8609475947410794E-3</c:v>
                </c:pt>
                <c:pt idx="8">
                  <c:v>2.4450591419610129E-2</c:v>
                </c:pt>
                <c:pt idx="9">
                  <c:v>1.8490162335905178E-3</c:v>
                </c:pt>
                <c:pt idx="10">
                  <c:v>2.2425340460192674E-2</c:v>
                </c:pt>
                <c:pt idx="11">
                  <c:v>6.865001594496753E-3</c:v>
                </c:pt>
                <c:pt idx="12">
                  <c:v>7.0135097663775719E-3</c:v>
                </c:pt>
                <c:pt idx="13">
                  <c:v>8.1018564626355177E-3</c:v>
                </c:pt>
                <c:pt idx="14">
                  <c:v>1.8091578494108579E-3</c:v>
                </c:pt>
                <c:pt idx="15">
                  <c:v>4.4843051388934333E-3</c:v>
                </c:pt>
                <c:pt idx="16">
                  <c:v>8.1298185362106371E-3</c:v>
                </c:pt>
                <c:pt idx="17">
                  <c:v>7.3054158921547468E-3</c:v>
                </c:pt>
                <c:pt idx="18">
                  <c:v>8.4310124194706751E-3</c:v>
                </c:pt>
                <c:pt idx="19">
                  <c:v>9.8786065584075683E-3</c:v>
                </c:pt>
                <c:pt idx="20">
                  <c:v>8.8382522106253119E-3</c:v>
                </c:pt>
                <c:pt idx="21">
                  <c:v>9.7513524528855897E-3</c:v>
                </c:pt>
                <c:pt idx="22">
                  <c:v>6.3547174514430954E-2</c:v>
                </c:pt>
                <c:pt idx="23">
                  <c:v>5.7968375612580933E-2</c:v>
                </c:pt>
                <c:pt idx="24">
                  <c:v>7.8220668632193957E-2</c:v>
                </c:pt>
                <c:pt idx="25">
                  <c:v>6.6830968199700302E-2</c:v>
                </c:pt>
                <c:pt idx="26">
                  <c:v>1.4509157078204065E-2</c:v>
                </c:pt>
                <c:pt idx="27">
                  <c:v>1.5150720880677704E-2</c:v>
                </c:pt>
                <c:pt idx="28">
                  <c:v>6.9698639446695937E-2</c:v>
                </c:pt>
                <c:pt idx="29">
                  <c:v>6.4794453905184304E-2</c:v>
                </c:pt>
                <c:pt idx="30">
                  <c:v>2.4056936931747028E-2</c:v>
                </c:pt>
                <c:pt idx="31">
                  <c:v>1.8840864383238461E-2</c:v>
                </c:pt>
                <c:pt idx="32">
                  <c:v>9.9393901948527166E-2</c:v>
                </c:pt>
                <c:pt idx="33">
                  <c:v>1.7830178757013818E-2</c:v>
                </c:pt>
                <c:pt idx="34">
                  <c:v>5.6871877724376917E-3</c:v>
                </c:pt>
                <c:pt idx="35">
                  <c:v>1.6334795277024708E-2</c:v>
                </c:pt>
                <c:pt idx="36">
                  <c:v>5.5745632183890927E-2</c:v>
                </c:pt>
                <c:pt idx="37">
                  <c:v>8.119841714327565E-2</c:v>
                </c:pt>
                <c:pt idx="38">
                  <c:v>4.9331966698724437E-2</c:v>
                </c:pt>
                <c:pt idx="39">
                  <c:v>6.5095812238052164E-2</c:v>
                </c:pt>
                <c:pt idx="40">
                  <c:v>3.8195268389950909E-2</c:v>
                </c:pt>
                <c:pt idx="41">
                  <c:v>8.3337816249895794E-3</c:v>
                </c:pt>
                <c:pt idx="42">
                  <c:v>6.9960848694018019E-3</c:v>
                </c:pt>
                <c:pt idx="43">
                  <c:v>9.5560516020576247E-2</c:v>
                </c:pt>
                <c:pt idx="44">
                  <c:v>0.15171872183611934</c:v>
                </c:pt>
                <c:pt idx="45">
                  <c:v>0.18399147071332825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E2-4A25-9499-AE714EB29CBA}"/>
            </c:ext>
          </c:extLst>
        </c:ser>
        <c:ser>
          <c:idx val="2"/>
          <c:order val="2"/>
          <c:tx>
            <c:strRef>
              <c:f>'new constants'!$P$60</c:f>
              <c:strCache>
                <c:ptCount val="1"/>
                <c:pt idx="0">
                  <c:v>new prediction error [% of measurement]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'new constants'!$P$61:$P$106</c:f>
              <c:numCache>
                <c:formatCode>0.0%</c:formatCode>
                <c:ptCount val="46"/>
                <c:pt idx="0">
                  <c:v>2.8922159207158005E-3</c:v>
                </c:pt>
                <c:pt idx="1">
                  <c:v>1.5048750299411178E-2</c:v>
                </c:pt>
                <c:pt idx="2">
                  <c:v>9.5722738244150892E-3</c:v>
                </c:pt>
                <c:pt idx="3">
                  <c:v>7.5877006288846494E-3</c:v>
                </c:pt>
                <c:pt idx="4">
                  <c:v>3.3401178373133742E-4</c:v>
                </c:pt>
                <c:pt idx="5">
                  <c:v>2.1747390785790899E-2</c:v>
                </c:pt>
                <c:pt idx="6">
                  <c:v>1.7058528764892767E-3</c:v>
                </c:pt>
                <c:pt idx="7">
                  <c:v>1.3378667742727376E-2</c:v>
                </c:pt>
                <c:pt idx="8">
                  <c:v>1.8753172640268132E-2</c:v>
                </c:pt>
                <c:pt idx="9">
                  <c:v>3.7227052793474694E-3</c:v>
                </c:pt>
                <c:pt idx="10">
                  <c:v>1.6739184989150405E-2</c:v>
                </c:pt>
                <c:pt idx="11">
                  <c:v>1.2653839883439916E-3</c:v>
                </c:pt>
                <c:pt idx="12">
                  <c:v>1.4130662411864488E-3</c:v>
                </c:pt>
                <c:pt idx="13">
                  <c:v>2.4953601644189371E-3</c:v>
                </c:pt>
                <c:pt idx="14">
                  <c:v>3.7623419935818329E-3</c:v>
                </c:pt>
                <c:pt idx="15">
                  <c:v>1.0020804275637351E-2</c:v>
                </c:pt>
                <c:pt idx="16">
                  <c:v>1.3646043375039E-2</c:v>
                </c:pt>
                <c:pt idx="17">
                  <c:v>1.2826225595441478E-2</c:v>
                </c:pt>
                <c:pt idx="18">
                  <c:v>1.3945562187093944E-2</c:v>
                </c:pt>
                <c:pt idx="19">
                  <c:v>1.5385105620510093E-2</c:v>
                </c:pt>
                <c:pt idx="20">
                  <c:v>1.4350537139267386E-2</c:v>
                </c:pt>
                <c:pt idx="21">
                  <c:v>1.5258559230847327E-2</c:v>
                </c:pt>
                <c:pt idx="22">
                  <c:v>8.8851976755708966E-4</c:v>
                </c:pt>
                <c:pt idx="23">
                  <c:v>1.8391455186267799E-3</c:v>
                </c:pt>
                <c:pt idx="24">
                  <c:v>2.1016977674350797E-2</c:v>
                </c:pt>
                <c:pt idx="25">
                  <c:v>1.0231543995961646E-2</c:v>
                </c:pt>
                <c:pt idx="26">
                  <c:v>9.3894638644926916E-3</c:v>
                </c:pt>
                <c:pt idx="27">
                  <c:v>2.5243447881696623E-3</c:v>
                </c:pt>
                <c:pt idx="28">
                  <c:v>5.7140804494173539E-3</c:v>
                </c:pt>
                <c:pt idx="29">
                  <c:v>2.4995033999264033E-3</c:v>
                </c:pt>
                <c:pt idx="30">
                  <c:v>9.9285541481767357E-3</c:v>
                </c:pt>
                <c:pt idx="31">
                  <c:v>2.6350597619225207E-3</c:v>
                </c:pt>
                <c:pt idx="32">
                  <c:v>1.7272816575028375E-3</c:v>
                </c:pt>
                <c:pt idx="33">
                  <c:v>3.2128521228112663E-3</c:v>
                </c:pt>
                <c:pt idx="34">
                  <c:v>4.150319522307838E-3</c:v>
                </c:pt>
                <c:pt idx="35">
                  <c:v>1.7258145464082314E-3</c:v>
                </c:pt>
                <c:pt idx="36">
                  <c:v>9.4865412957563164E-3</c:v>
                </c:pt>
                <c:pt idx="37">
                  <c:v>1.3498430562032343E-2</c:v>
                </c:pt>
                <c:pt idx="38">
                  <c:v>2.4470910927111011E-3</c:v>
                </c:pt>
                <c:pt idx="39">
                  <c:v>2.2036248941033735E-2</c:v>
                </c:pt>
                <c:pt idx="40">
                  <c:v>4.5893580976984101E-3</c:v>
                </c:pt>
                <c:pt idx="41">
                  <c:v>5.2132137681922576E-3</c:v>
                </c:pt>
                <c:pt idx="42">
                  <c:v>1.2499135668068467E-2</c:v>
                </c:pt>
                <c:pt idx="43">
                  <c:v>1.9372247682904321E-3</c:v>
                </c:pt>
                <c:pt idx="44">
                  <c:v>9.0615680732434395E-2</c:v>
                </c:pt>
                <c:pt idx="45">
                  <c:v>0.12117623802693714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E2-4A25-9499-AE714EB29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723376"/>
        <c:axId val="549724336"/>
      </c:barChart>
      <c:catAx>
        <c:axId val="54972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24336"/>
        <c:crosses val="autoZero"/>
        <c:auto val="1"/>
        <c:lblAlgn val="ctr"/>
        <c:lblOffset val="100"/>
        <c:noMultiLvlLbl val="0"/>
      </c:catAx>
      <c:valAx>
        <c:axId val="54972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prediction error</a:t>
                </a:r>
                <a:r>
                  <a:rPr lang="en-US" baseline="0"/>
                  <a:t> [% of measurement]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2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80455063307375"/>
          <c:y val="4.7724860980771708E-2"/>
          <c:w val="0.19865661714287472"/>
          <c:h val="0.15232636130570867"/>
        </c:manualLayout>
      </c:layout>
      <c:overlay val="1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coupling factor curves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 constants'!$C$167</c:f>
              <c:strCache>
                <c:ptCount val="1"/>
                <c:pt idx="0">
                  <c:v>original formula with K_turns fix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'new constants'!$B$168:$B$199</c:f>
              <c:numCache>
                <c:formatCode>General</c:formatCode>
                <c:ptCount val="32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</c:numCache>
            </c:numRef>
          </c:xVal>
          <c:yVal>
            <c:numRef>
              <c:f>'new constants'!$C$168:$C$199</c:f>
              <c:numCache>
                <c:formatCode>General</c:formatCode>
                <c:ptCount val="32"/>
                <c:pt idx="0">
                  <c:v>1.2760087179102555</c:v>
                </c:pt>
                <c:pt idx="1">
                  <c:v>1.2201715740769699</c:v>
                </c:pt>
                <c:pt idx="2">
                  <c:v>1.1714135389182732</c:v>
                </c:pt>
                <c:pt idx="3">
                  <c:v>1.1284969840732626</c:v>
                </c:pt>
                <c:pt idx="4">
                  <c:v>1.0904477959030627</c:v>
                </c:pt>
                <c:pt idx="5">
                  <c:v>1.0564877955008611</c:v>
                </c:pt>
                <c:pt idx="6">
                  <c:v>1.0259869076674768</c:v>
                </c:pt>
                <c:pt idx="7">
                  <c:v>0.99842866676634312</c:v>
                </c:pt>
                <c:pt idx="8">
                  <c:v>0.97338492300882007</c:v>
                </c:pt>
                <c:pt idx="9">
                  <c:v>0.95049701848483281</c:v>
                </c:pt>
                <c:pt idx="10">
                  <c:v>0.92946159251587335</c:v>
                </c:pt>
                <c:pt idx="11">
                  <c:v>0.91001975244276367</c:v>
                </c:pt>
                <c:pt idx="12">
                  <c:v>0.89194872693067961</c:v>
                </c:pt>
                <c:pt idx="13">
                  <c:v>0.87505537525283483</c:v>
                </c:pt>
                <c:pt idx="14">
                  <c:v>0.85917110142604358</c:v>
                </c:pt>
                <c:pt idx="15">
                  <c:v>0.8441478438998562</c:v>
                </c:pt>
                <c:pt idx="16">
                  <c:v>0.82985489727091877</c:v>
                </c:pt>
                <c:pt idx="17">
                  <c:v>0.81617638362346179</c:v>
                </c:pt>
                <c:pt idx="18">
                  <c:v>0.80300923514961009</c:v>
                </c:pt>
                <c:pt idx="19">
                  <c:v>0.79026158177029582</c:v>
                </c:pt>
                <c:pt idx="20">
                  <c:v>0.77785146103695002</c:v>
                </c:pt>
                <c:pt idx="21">
                  <c:v>0.76570578505681886</c:v>
                </c:pt>
                <c:pt idx="22">
                  <c:v>0.75375951224573845</c:v>
                </c:pt>
                <c:pt idx="23">
                  <c:v>0.74195498157971818</c:v>
                </c:pt>
                <c:pt idx="24">
                  <c:v>0.73024137456329374</c:v>
                </c:pt>
                <c:pt idx="25">
                  <c:v>0.71857427599577728</c:v>
                </c:pt>
                <c:pt idx="26">
                  <c:v>0.70691530926643387</c:v>
                </c:pt>
                <c:pt idx="27">
                  <c:v>0.69523182569466102</c:v>
                </c:pt>
                <c:pt idx="28">
                  <c:v>0.68349663060931454</c:v>
                </c:pt>
                <c:pt idx="29">
                  <c:v>0.67168773162105511</c:v>
                </c:pt>
                <c:pt idx="30">
                  <c:v>0.65978809701733432</c:v>
                </c:pt>
                <c:pt idx="31">
                  <c:v>0.64778541449234095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E2-4926-B52F-0FFF9AF1B2E6}"/>
            </c:ext>
          </c:extLst>
        </c:ser>
        <c:ser>
          <c:idx val="1"/>
          <c:order val="1"/>
          <c:tx>
            <c:strRef>
              <c:f>'new constants'!$D$167</c:f>
              <c:strCache>
                <c:ptCount val="1"/>
                <c:pt idx="0">
                  <c:v>my formula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 constants'!$B$168:$B$199</c:f>
              <c:numCache>
                <c:formatCode>General</c:formatCode>
                <c:ptCount val="32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</c:numCache>
            </c:numRef>
          </c:xVal>
          <c:yVal>
            <c:numRef>
              <c:f>'new constants'!$D$168:$D$199</c:f>
              <c:numCache>
                <c:formatCode>General</c:formatCode>
                <c:ptCount val="32"/>
                <c:pt idx="0">
                  <c:v>1.0154271142432849</c:v>
                </c:pt>
                <c:pt idx="1">
                  <c:v>1.0053687851317545</c:v>
                </c:pt>
                <c:pt idx="2">
                  <c:v>0.99531045602022439</c:v>
                </c:pt>
                <c:pt idx="3">
                  <c:v>0.98525212690869424</c:v>
                </c:pt>
                <c:pt idx="4">
                  <c:v>0.97519379779716397</c:v>
                </c:pt>
                <c:pt idx="5">
                  <c:v>0.96513546868563371</c:v>
                </c:pt>
                <c:pt idx="6">
                  <c:v>0.95507713957410356</c:v>
                </c:pt>
                <c:pt idx="7">
                  <c:v>0.9450188104625733</c:v>
                </c:pt>
                <c:pt idx="8">
                  <c:v>0.93496048135104315</c:v>
                </c:pt>
                <c:pt idx="9">
                  <c:v>0.92490215223951289</c:v>
                </c:pt>
                <c:pt idx="10">
                  <c:v>0.91484382312798262</c:v>
                </c:pt>
                <c:pt idx="11">
                  <c:v>0.90478549401645247</c:v>
                </c:pt>
                <c:pt idx="12">
                  <c:v>0.89472716490492221</c:v>
                </c:pt>
                <c:pt idx="13">
                  <c:v>0.88466883579339206</c:v>
                </c:pt>
                <c:pt idx="14">
                  <c:v>0.8746105066818618</c:v>
                </c:pt>
                <c:pt idx="15">
                  <c:v>0.86455217757033154</c:v>
                </c:pt>
                <c:pt idx="16">
                  <c:v>0.85449384845880139</c:v>
                </c:pt>
                <c:pt idx="17">
                  <c:v>0.84443551934727112</c:v>
                </c:pt>
                <c:pt idx="18">
                  <c:v>0.83437719023574097</c:v>
                </c:pt>
                <c:pt idx="19">
                  <c:v>0.82431886112421071</c:v>
                </c:pt>
                <c:pt idx="20">
                  <c:v>0.81426053201268045</c:v>
                </c:pt>
                <c:pt idx="21">
                  <c:v>0.8042022029011503</c:v>
                </c:pt>
                <c:pt idx="22">
                  <c:v>0.79414387378962004</c:v>
                </c:pt>
                <c:pt idx="23">
                  <c:v>0.78408554467808989</c:v>
                </c:pt>
                <c:pt idx="24">
                  <c:v>0.77402721556655962</c:v>
                </c:pt>
                <c:pt idx="25">
                  <c:v>0.76396888645502936</c:v>
                </c:pt>
                <c:pt idx="26">
                  <c:v>0.75391055734349921</c:v>
                </c:pt>
                <c:pt idx="27">
                  <c:v>0.74385222823196906</c:v>
                </c:pt>
                <c:pt idx="28">
                  <c:v>0.73379389912043869</c:v>
                </c:pt>
                <c:pt idx="29">
                  <c:v>0.72373557000890854</c:v>
                </c:pt>
                <c:pt idx="30">
                  <c:v>0.71367724089737838</c:v>
                </c:pt>
                <c:pt idx="31">
                  <c:v>0.70361891178584801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E2-4926-B52F-0FFF9AF1B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590592"/>
        <c:axId val="308591552"/>
      </c:scatterChart>
      <c:valAx>
        <c:axId val="30859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coupling factor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91552"/>
        <c:crosses val="autoZero"/>
        <c:crossBetween val="midCat"/>
      </c:valAx>
      <c:valAx>
        <c:axId val="30859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layer spacing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9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702072349734485"/>
          <c:y val="0.59634162085765341"/>
          <c:w val="0.44065605202988473"/>
          <c:h val="0.18564908013021908"/>
        </c:manualLayout>
      </c:layout>
      <c:overlay val="1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59</xdr:row>
      <xdr:rowOff>180974</xdr:rowOff>
    </xdr:from>
    <xdr:to>
      <xdr:col>8</xdr:col>
      <xdr:colOff>219074</xdr:colOff>
      <xdr:row>72</xdr:row>
      <xdr:rowOff>57149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DCA95BB-12B8-08EC-38A3-03661A5D4E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180975</xdr:colOff>
      <xdr:row>60</xdr:row>
      <xdr:rowOff>9525</xdr:rowOff>
    </xdr:from>
    <xdr:to>
      <xdr:col>21</xdr:col>
      <xdr:colOff>542925</xdr:colOff>
      <xdr:row>72</xdr:row>
      <xdr:rowOff>114299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C73BA6EF-4334-CD10-5A85-21413F6A9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25066</xdr:colOff>
      <xdr:row>60</xdr:row>
      <xdr:rowOff>19050</xdr:rowOff>
    </xdr:from>
    <xdr:to>
      <xdr:col>17</xdr:col>
      <xdr:colOff>161925</xdr:colOff>
      <xdr:row>72</xdr:row>
      <xdr:rowOff>155408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46A879E7-C440-2BD0-1832-53B6B98E3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0.36393</cdr:x>
      <cdr:y>0.21151</cdr:y>
    </cdr:from>
    <cdr:to>
      <cdr:x>0.96471</cdr:x>
      <cdr:y>0.28808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4F76EFA-5819-2DE3-0DD5-446CA64B0EA2}"/>
            </a:ext>
          </a:extLst>
        </cdr:cNvPr>
        <cdr:cNvSpPr txBox="1"/>
      </cdr:nvSpPr>
      <cdr:spPr>
        <a:xfrm xmlns:a="http://schemas.openxmlformats.org/drawingml/2006/main">
          <a:off x="1204661" y="512344"/>
          <a:ext cx="1988720" cy="1854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effectLst/>
              <a:latin typeface="+mn-lt"/>
              <a:ea typeface="+mn-ea"/>
              <a:cs typeface="+mn-cs"/>
            </a:rPr>
            <a:t>y=error=0 --&gt;</a:t>
          </a:r>
          <a:r>
            <a:rPr lang="en-US" sz="800" baseline="0">
              <a:effectLst/>
              <a:latin typeface="+mn-lt"/>
              <a:ea typeface="+mn-ea"/>
              <a:cs typeface="+mn-cs"/>
            </a:rPr>
            <a:t> x=</a:t>
          </a:r>
          <a:r>
            <a:rPr lang="en-US" sz="800">
              <a:effectLst/>
              <a:latin typeface="+mn-lt"/>
              <a:ea typeface="+mn-ea"/>
              <a:cs typeface="+mn-cs"/>
            </a:rPr>
            <a:t>K</a:t>
          </a:r>
          <a:r>
            <a:rPr lang="en-US" sz="800" baseline="-25000">
              <a:effectLst/>
              <a:latin typeface="+mn-lt"/>
              <a:ea typeface="+mn-ea"/>
              <a:cs typeface="+mn-cs"/>
            </a:rPr>
            <a:t>turns</a:t>
          </a:r>
          <a:r>
            <a:rPr lang="en-US" sz="800" baseline="0">
              <a:effectLst/>
              <a:latin typeface="+mn-lt"/>
              <a:ea typeface="+mn-ea"/>
              <a:cs typeface="+mn-cs"/>
            </a:rPr>
            <a:t>=0.469/0.5278 = ~0.89</a:t>
          </a:r>
          <a:endParaRPr lang="en-US" sz="800">
            <a:effectLst/>
            <a:latin typeface="+mn-lt"/>
            <a:ea typeface="+mn-ea"/>
            <a:cs typeface="+mn-cs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33</xdr:row>
      <xdr:rowOff>47625</xdr:rowOff>
    </xdr:from>
    <xdr:to>
      <xdr:col>13</xdr:col>
      <xdr:colOff>933450</xdr:colOff>
      <xdr:row>42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DE2C23-2FF2-AA29-C10F-6CE5EDF59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135007</xdr:rowOff>
    </xdr:from>
    <xdr:to>
      <xdr:col>7</xdr:col>
      <xdr:colOff>247650</xdr:colOff>
      <xdr:row>18</xdr:row>
      <xdr:rowOff>96907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91DF9F-8053-5692-B433-FD6D85904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76199</xdr:colOff>
      <xdr:row>24</xdr:row>
      <xdr:rowOff>90487</xdr:rowOff>
    </xdr:from>
    <xdr:to>
      <xdr:col>19</xdr:col>
      <xdr:colOff>419100</xdr:colOff>
      <xdr:row>35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172E53-B268-B95B-52E9-C0F28093EF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504827</xdr:colOff>
      <xdr:row>24</xdr:row>
      <xdr:rowOff>90487</xdr:rowOff>
    </xdr:from>
    <xdr:to>
      <xdr:col>26</xdr:col>
      <xdr:colOff>38101</xdr:colOff>
      <xdr:row>35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5AF606-5F46-B258-8D60-9CF1DF2069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395287</xdr:colOff>
      <xdr:row>63</xdr:row>
      <xdr:rowOff>119062</xdr:rowOff>
    </xdr:from>
    <xdr:to>
      <xdr:col>22</xdr:col>
      <xdr:colOff>533400</xdr:colOff>
      <xdr:row>78</xdr:row>
      <xdr:rowOff>4762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9710346-ED0D-9A5F-03F5-E2370F505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109537</xdr:colOff>
      <xdr:row>6</xdr:row>
      <xdr:rowOff>42862</xdr:rowOff>
    </xdr:from>
    <xdr:to>
      <xdr:col>22</xdr:col>
      <xdr:colOff>414337</xdr:colOff>
      <xdr:row>20</xdr:row>
      <xdr:rowOff>119062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6109FB2-6542-B8F8-590D-D9ACB339B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62118</xdr:colOff>
      <xdr:row>106</xdr:row>
      <xdr:rowOff>86137</xdr:rowOff>
    </xdr:from>
    <xdr:to>
      <xdr:col>22</xdr:col>
      <xdr:colOff>430695</xdr:colOff>
      <xdr:row>128</xdr:row>
      <xdr:rowOff>115956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C0C29D41-5B35-7FE5-1661-104DD0D13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82826</xdr:colOff>
      <xdr:row>129</xdr:row>
      <xdr:rowOff>157370</xdr:rowOff>
    </xdr:from>
    <xdr:to>
      <xdr:col>22</xdr:col>
      <xdr:colOff>451403</xdr:colOff>
      <xdr:row>151</xdr:row>
      <xdr:rowOff>187189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AF2452C9-D301-4F94-A8A1-979F4CCA5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202923</xdr:colOff>
      <xdr:row>166</xdr:row>
      <xdr:rowOff>11593</xdr:rowOff>
    </xdr:from>
    <xdr:to>
      <xdr:col>10</xdr:col>
      <xdr:colOff>778565</xdr:colOff>
      <xdr:row>180</xdr:row>
      <xdr:rowOff>140804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A3E30F0A-0B3B-7264-D259-6A4341B68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DB25-B3F6-4D01-AA16-325BBF7FB7BD}">
  <dimension ref="A1:AE110"/>
  <sheetViews>
    <sheetView zoomScaleNormal="100" workbookViewId="0">
      <selection activeCell="R14" sqref="R14"/>
    </sheetView>
  </sheetViews>
  <sheetFormatPr defaultRowHeight="15" outlineLevelRow="1" outlineLevelCol="1" x14ac:dyDescent="0.25"/>
  <cols>
    <col min="1" max="1" width="16.28515625" customWidth="1"/>
    <col min="2" max="2" width="13.5703125" bestFit="1" customWidth="1"/>
    <col min="5" max="5" width="11.85546875" customWidth="1"/>
    <col min="6" max="6" width="10.140625" customWidth="1"/>
    <col min="7" max="7" width="7.28515625" customWidth="1"/>
    <col min="8" max="8" width="15.28515625" customWidth="1"/>
    <col min="9" max="9" width="14.7109375" customWidth="1" outlineLevel="1"/>
    <col min="10" max="10" width="17" customWidth="1" outlineLevel="1"/>
    <col min="11" max="11" width="16.28515625" customWidth="1" outlineLevel="1"/>
    <col min="12" max="12" width="12.85546875" customWidth="1" outlineLevel="1"/>
    <col min="13" max="13" width="11" customWidth="1" outlineLevel="1"/>
    <col min="14" max="14" width="14.85546875" customWidth="1" outlineLevel="1"/>
    <col min="15" max="15" width="14.7109375" customWidth="1"/>
    <col min="16" max="16" width="16.7109375" customWidth="1"/>
    <col min="17" max="17" width="16.140625" customWidth="1"/>
    <col min="18" max="18" width="15.42578125" customWidth="1"/>
    <col min="19" max="19" width="13.5703125" hidden="1" customWidth="1"/>
    <col min="20" max="20" width="10.7109375" customWidth="1"/>
    <col min="21" max="21" width="14.85546875" customWidth="1"/>
    <col min="27" max="27" width="16.85546875" bestFit="1" customWidth="1"/>
    <col min="28" max="29" width="10.5703125" bestFit="1" customWidth="1"/>
  </cols>
  <sheetData>
    <row r="1" spans="1:30" x14ac:dyDescent="0.25">
      <c r="H1" s="70" t="s">
        <v>55</v>
      </c>
      <c r="I1" s="70"/>
      <c r="J1" s="70"/>
      <c r="K1" s="70"/>
      <c r="L1" s="70"/>
      <c r="M1" s="70"/>
      <c r="N1" s="70"/>
      <c r="O1" s="70"/>
      <c r="P1" t="s">
        <v>56</v>
      </c>
      <c r="Q1" t="s">
        <v>57</v>
      </c>
      <c r="AA1" t="s">
        <v>60</v>
      </c>
    </row>
    <row r="2" spans="1:30" x14ac:dyDescent="0.25">
      <c r="P2" t="s">
        <v>59</v>
      </c>
      <c r="Q2" t="s">
        <v>58</v>
      </c>
      <c r="AA2" t="s">
        <v>61</v>
      </c>
    </row>
    <row r="3" spans="1:30" x14ac:dyDescent="0.25">
      <c r="AA3" t="s">
        <v>62</v>
      </c>
    </row>
    <row r="4" spans="1:30" x14ac:dyDescent="0.25">
      <c r="B4" s="71" t="s">
        <v>28</v>
      </c>
      <c r="C4" s="71"/>
      <c r="D4" s="71"/>
      <c r="E4" s="71"/>
      <c r="F4" s="71"/>
      <c r="G4" s="71"/>
      <c r="H4" s="71"/>
      <c r="I4" t="s">
        <v>18</v>
      </c>
      <c r="J4">
        <f>1.72 * 10^-8</f>
        <v>1.7199999999999999E-8</v>
      </c>
      <c r="W4" s="29" t="s">
        <v>33</v>
      </c>
      <c r="X4" s="29" t="s">
        <v>34</v>
      </c>
      <c r="Y4" s="29" t="s">
        <v>35</v>
      </c>
      <c r="Z4" s="29" t="s">
        <v>36</v>
      </c>
      <c r="AA4" s="29" t="s">
        <v>37</v>
      </c>
      <c r="AB4" s="29" t="s">
        <v>38</v>
      </c>
      <c r="AC4" s="29" t="s">
        <v>39</v>
      </c>
      <c r="AD4" s="29" t="s">
        <v>40</v>
      </c>
    </row>
    <row r="5" spans="1:30" x14ac:dyDescent="0.25">
      <c r="B5" s="72" t="s">
        <v>27</v>
      </c>
      <c r="C5" s="72"/>
      <c r="D5" s="72"/>
      <c r="E5" s="72"/>
      <c r="F5" s="72"/>
      <c r="G5" s="72"/>
      <c r="H5" s="72"/>
      <c r="I5" t="s">
        <v>23</v>
      </c>
      <c r="J5">
        <v>30</v>
      </c>
      <c r="R5">
        <v>20</v>
      </c>
      <c r="S5" s="2">
        <v>2.5000000000000001E-2</v>
      </c>
      <c r="T5">
        <f>5*0.001</f>
        <v>5.0000000000000001E-3</v>
      </c>
      <c r="W5">
        <v>0.184</v>
      </c>
      <c r="X5">
        <v>-0.52500000000000002</v>
      </c>
      <c r="Y5">
        <v>1.038</v>
      </c>
      <c r="Z5">
        <v>1.0009999999999999</v>
      </c>
      <c r="AA5">
        <v>1.67</v>
      </c>
      <c r="AB5">
        <v>-5.84</v>
      </c>
      <c r="AC5">
        <v>65</v>
      </c>
      <c r="AD5">
        <f>1/0.64</f>
        <v>1.5625</v>
      </c>
    </row>
    <row r="6" spans="1:30" x14ac:dyDescent="0.25">
      <c r="B6" s="70" t="s">
        <v>29</v>
      </c>
      <c r="C6" s="70"/>
      <c r="D6" s="70"/>
      <c r="E6" s="70"/>
      <c r="F6" s="70"/>
      <c r="G6" s="70"/>
      <c r="H6" s="70"/>
      <c r="I6" t="s">
        <v>22</v>
      </c>
      <c r="J6" cm="1">
        <f t="array" ref="J6">1000000 * AVERAGE($J$4*(I8:I46/1000) / ((K8:K46/1000) * (E8:E46/1000)))</f>
        <v>28.405497158747938</v>
      </c>
      <c r="K6" t="s">
        <v>17</v>
      </c>
      <c r="L6" s="2">
        <v>2.9999999999999997E-4</v>
      </c>
      <c r="M6">
        <f>0.005%*200000</f>
        <v>10</v>
      </c>
      <c r="R6" t="s">
        <v>17</v>
      </c>
      <c r="S6" s="2">
        <v>6.0000000000000001E-3</v>
      </c>
      <c r="T6">
        <f>3*0.01</f>
        <v>0.03</v>
      </c>
      <c r="AA6">
        <f>AVERAGE($Y$57:$Y$72)</f>
        <v>0.85879306614141604</v>
      </c>
      <c r="AD6">
        <f>$AA$6*$AD$5</f>
        <v>1.3418641658459625</v>
      </c>
    </row>
    <row r="7" spans="1:30" s="1" customFormat="1" ht="30" customHeight="1" x14ac:dyDescent="0.25">
      <c r="A7" s="1" t="s">
        <v>30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25</v>
      </c>
      <c r="I7" s="1" t="s">
        <v>11</v>
      </c>
      <c r="J7" s="1" t="s">
        <v>6</v>
      </c>
      <c r="K7" s="1" t="s">
        <v>7</v>
      </c>
      <c r="L7" s="1" t="s">
        <v>12</v>
      </c>
      <c r="M7" s="1" t="s">
        <v>13</v>
      </c>
      <c r="N7" s="1" t="s">
        <v>31</v>
      </c>
      <c r="O7" s="1" t="s">
        <v>24</v>
      </c>
      <c r="P7" s="1" t="s">
        <v>26</v>
      </c>
      <c r="Q7" s="1" t="s">
        <v>19</v>
      </c>
      <c r="R7" s="1" t="s">
        <v>20</v>
      </c>
      <c r="S7" s="1" t="s">
        <v>52</v>
      </c>
      <c r="T7" s="1" t="s">
        <v>21</v>
      </c>
      <c r="U7" s="1" t="s">
        <v>31</v>
      </c>
      <c r="V7" s="1" t="s">
        <v>161</v>
      </c>
      <c r="W7" s="1" t="s">
        <v>32</v>
      </c>
      <c r="Y7" s="1" t="s">
        <v>147</v>
      </c>
      <c r="AC7" s="1" t="s">
        <v>50</v>
      </c>
      <c r="AD7" s="1" t="s">
        <v>51</v>
      </c>
    </row>
    <row r="8" spans="1:30" s="14" customFormat="1" x14ac:dyDescent="0.25">
      <c r="A8" s="73" t="s">
        <v>14</v>
      </c>
      <c r="B8" s="19" t="s">
        <v>8</v>
      </c>
      <c r="C8" s="14">
        <v>1</v>
      </c>
      <c r="D8" s="14">
        <v>9</v>
      </c>
      <c r="E8" s="14">
        <v>0.9</v>
      </c>
      <c r="F8" s="14">
        <v>0.15</v>
      </c>
      <c r="G8" s="14">
        <v>40</v>
      </c>
      <c r="H8" s="14">
        <v>0.1</v>
      </c>
      <c r="I8" s="39">
        <v>1105.2</v>
      </c>
      <c r="J8" s="14">
        <f t="shared" ref="J8:J38" si="0">ROUND(1000 * $J$4*(I8/1000) / (($J$5/1000000) * (E8/1000)), 0)</f>
        <v>704</v>
      </c>
      <c r="K8" s="3">
        <v>650</v>
      </c>
      <c r="L8" s="14">
        <f>ROUND($L$6*K8+$M$6, 0)</f>
        <v>10</v>
      </c>
      <c r="M8" s="14">
        <f>MAX(ABS(K8+L8-J8), ABS(K8-L8-J8))</f>
        <v>64</v>
      </c>
      <c r="N8" s="15">
        <f t="shared" ref="N8:N14" si="1">M8/K8</f>
        <v>9.8461538461538461E-2</v>
      </c>
      <c r="P8" s="33">
        <v>3.945289900687476</v>
      </c>
      <c r="Q8" s="33">
        <f>P8</f>
        <v>3.945289900687476</v>
      </c>
      <c r="R8" s="3">
        <v>2.52</v>
      </c>
      <c r="S8" s="15">
        <f>IF(R8&lt;$R$5, $S$5*R8+$T$5, $S$6*R8+$T$6)/R8</f>
        <v>2.6984126984126985E-2</v>
      </c>
      <c r="T8" s="33">
        <f>ABS(R8-Q8)</f>
        <v>1.425289900687476</v>
      </c>
      <c r="U8" s="15">
        <f>T8/R8</f>
        <v>0.56559123043153803</v>
      </c>
      <c r="Y8" s="14">
        <v>21.4</v>
      </c>
      <c r="AD8" s="15"/>
    </row>
    <row r="9" spans="1:30" s="12" customFormat="1" x14ac:dyDescent="0.25">
      <c r="A9" s="73"/>
      <c r="B9" s="12" t="s">
        <v>9</v>
      </c>
      <c r="C9" s="12">
        <v>1</v>
      </c>
      <c r="D9" s="12">
        <v>9</v>
      </c>
      <c r="E9" s="12">
        <v>0.9</v>
      </c>
      <c r="F9" s="12">
        <v>0.15</v>
      </c>
      <c r="G9" s="12">
        <v>40</v>
      </c>
      <c r="H9" s="12">
        <v>0.1</v>
      </c>
      <c r="I9" s="40">
        <v>838.33399961043631</v>
      </c>
      <c r="J9" s="12">
        <f t="shared" si="0"/>
        <v>534</v>
      </c>
      <c r="K9" s="12">
        <v>560</v>
      </c>
      <c r="L9" s="12">
        <f t="shared" ref="L9:L38" si="2">ROUND($L$6*K9+$M$6, 0)</f>
        <v>10</v>
      </c>
      <c r="M9" s="12">
        <f t="shared" ref="M9:M38" si="3">MAX(ABS(K9+L9-J9), ABS(K9-L9-J9))</f>
        <v>36</v>
      </c>
      <c r="N9" s="13">
        <f t="shared" si="1"/>
        <v>6.4285714285714279E-2</v>
      </c>
      <c r="P9" s="34">
        <v>3.05822330800792</v>
      </c>
      <c r="Q9" s="34">
        <f>P9</f>
        <v>3.05822330800792</v>
      </c>
      <c r="R9" s="12">
        <v>3.1269999999999998</v>
      </c>
      <c r="S9" s="13">
        <f t="shared" ref="S9:S46" si="4">IF(R9&lt;$R$5, $S$5*R9+$T$5, $S$6*R9+$T$6)/R9</f>
        <v>2.6598976654940841E-2</v>
      </c>
      <c r="T9" s="34">
        <f t="shared" ref="T9:T46" si="5">ABS(R9-Q9)</f>
        <v>6.8776691992079808E-2</v>
      </c>
      <c r="U9" s="13">
        <f t="shared" ref="U9:U38" si="6">T9/R9</f>
        <v>2.1994464979878416E-2</v>
      </c>
      <c r="Y9" s="12">
        <v>19.82</v>
      </c>
      <c r="AD9" s="13"/>
    </row>
    <row r="10" spans="1:30" s="7" customFormat="1" x14ac:dyDescent="0.25">
      <c r="A10" s="73"/>
      <c r="B10" s="18" t="s">
        <v>10</v>
      </c>
      <c r="C10" s="7">
        <v>1</v>
      </c>
      <c r="D10" s="7">
        <v>9</v>
      </c>
      <c r="E10" s="18">
        <v>1</v>
      </c>
      <c r="F10" s="18">
        <v>0.3</v>
      </c>
      <c r="G10" s="7">
        <v>40</v>
      </c>
      <c r="H10" s="7">
        <v>0.1</v>
      </c>
      <c r="I10" s="41">
        <v>851.12976683934619</v>
      </c>
      <c r="J10" s="7">
        <f t="shared" si="0"/>
        <v>488</v>
      </c>
      <c r="K10" s="7">
        <v>488</v>
      </c>
      <c r="L10" s="7">
        <f t="shared" si="2"/>
        <v>10</v>
      </c>
      <c r="M10" s="7">
        <f t="shared" si="3"/>
        <v>10</v>
      </c>
      <c r="N10" s="8">
        <f t="shared" si="1"/>
        <v>2.0491803278688523E-2</v>
      </c>
      <c r="P10" s="35">
        <v>2.5032961009601888</v>
      </c>
      <c r="Q10" s="35">
        <f>P10</f>
        <v>2.5032961009601888</v>
      </c>
      <c r="R10" s="7">
        <v>2.7050000000000001</v>
      </c>
      <c r="S10" s="8">
        <f t="shared" si="4"/>
        <v>2.6848428835489838E-2</v>
      </c>
      <c r="T10" s="35">
        <f t="shared" si="5"/>
        <v>0.20170389903981123</v>
      </c>
      <c r="U10" s="8">
        <f t="shared" si="6"/>
        <v>7.4567060643183442E-2</v>
      </c>
      <c r="Y10" s="7">
        <v>15.25</v>
      </c>
      <c r="AD10" s="8"/>
    </row>
    <row r="11" spans="1:30" s="14" customFormat="1" x14ac:dyDescent="0.25">
      <c r="A11" s="74" t="s">
        <v>15</v>
      </c>
      <c r="B11" s="19" t="s">
        <v>8</v>
      </c>
      <c r="C11" s="19">
        <v>1</v>
      </c>
      <c r="D11" s="14">
        <v>9</v>
      </c>
      <c r="E11" s="14">
        <v>0.9</v>
      </c>
      <c r="F11" s="14">
        <v>0.15</v>
      </c>
      <c r="G11" s="14">
        <v>40</v>
      </c>
      <c r="H11" s="14">
        <v>0.6</v>
      </c>
      <c r="I11" s="39">
        <v>1105.2</v>
      </c>
      <c r="J11" s="14">
        <f t="shared" si="0"/>
        <v>704</v>
      </c>
      <c r="K11" s="14">
        <v>755</v>
      </c>
      <c r="L11" s="14">
        <f t="shared" si="2"/>
        <v>10</v>
      </c>
      <c r="M11" s="14">
        <f t="shared" si="3"/>
        <v>61</v>
      </c>
      <c r="N11" s="15">
        <f t="shared" si="1"/>
        <v>8.0794701986754966E-2</v>
      </c>
      <c r="P11" s="33">
        <v>3.945289900687476</v>
      </c>
      <c r="Q11" s="33">
        <f>P11</f>
        <v>3.945289900687476</v>
      </c>
      <c r="R11" s="14">
        <v>3.915</v>
      </c>
      <c r="S11" s="15">
        <f t="shared" si="4"/>
        <v>2.6277139208173692E-2</v>
      </c>
      <c r="T11" s="33">
        <f t="shared" si="5"/>
        <v>3.0289900687475946E-2</v>
      </c>
      <c r="U11" s="15">
        <f t="shared" si="6"/>
        <v>7.7368839559325536E-3</v>
      </c>
      <c r="Y11" s="14">
        <f>Y$8</f>
        <v>21.4</v>
      </c>
      <c r="AD11" s="15"/>
    </row>
    <row r="12" spans="1:30" s="12" customFormat="1" x14ac:dyDescent="0.25">
      <c r="A12" s="74"/>
      <c r="B12" s="12" t="s">
        <v>9</v>
      </c>
      <c r="C12" s="20">
        <v>1</v>
      </c>
      <c r="D12" s="12">
        <v>9</v>
      </c>
      <c r="E12" s="12">
        <v>0.9</v>
      </c>
      <c r="F12" s="12">
        <v>0.15</v>
      </c>
      <c r="G12" s="12">
        <v>40</v>
      </c>
      <c r="H12" s="12">
        <v>0.6</v>
      </c>
      <c r="I12" s="40">
        <v>838.33399961043631</v>
      </c>
      <c r="J12" s="12">
        <f t="shared" si="0"/>
        <v>534</v>
      </c>
      <c r="K12" s="12">
        <v>538</v>
      </c>
      <c r="L12" s="12">
        <f t="shared" si="2"/>
        <v>10</v>
      </c>
      <c r="M12" s="12">
        <f t="shared" si="3"/>
        <v>14</v>
      </c>
      <c r="N12" s="13">
        <f t="shared" si="1"/>
        <v>2.6022304832713755E-2</v>
      </c>
      <c r="P12" s="34">
        <v>3.05822330800792</v>
      </c>
      <c r="Q12" s="34">
        <f>P12</f>
        <v>3.05822330800792</v>
      </c>
      <c r="R12" s="12">
        <v>3.0990000000000002</v>
      </c>
      <c r="S12" s="13">
        <f t="shared" si="4"/>
        <v>2.6613423685059701E-2</v>
      </c>
      <c r="T12" s="34">
        <f t="shared" si="5"/>
        <v>4.0776691992080227E-2</v>
      </c>
      <c r="U12" s="13">
        <f t="shared" si="6"/>
        <v>1.3158016131681259E-2</v>
      </c>
      <c r="Y12" s="12">
        <f>Y$9</f>
        <v>19.82</v>
      </c>
      <c r="AD12" s="13"/>
    </row>
    <row r="13" spans="1:30" s="14" customFormat="1" x14ac:dyDescent="0.25">
      <c r="A13" s="74"/>
      <c r="B13" s="19" t="s">
        <v>8</v>
      </c>
      <c r="C13" s="14">
        <v>2</v>
      </c>
      <c r="D13" s="14">
        <v>9</v>
      </c>
      <c r="E13" s="14">
        <v>0.9</v>
      </c>
      <c r="F13" s="14">
        <v>0.15</v>
      </c>
      <c r="G13" s="14">
        <v>40</v>
      </c>
      <c r="H13" s="14">
        <v>0.6</v>
      </c>
      <c r="I13" s="39">
        <v>2210.400000000001</v>
      </c>
      <c r="J13" s="14">
        <f t="shared" si="0"/>
        <v>1408</v>
      </c>
      <c r="K13" s="14">
        <v>1502</v>
      </c>
      <c r="L13" s="14">
        <f t="shared" si="2"/>
        <v>10</v>
      </c>
      <c r="M13" s="14">
        <f t="shared" si="3"/>
        <v>104</v>
      </c>
      <c r="N13" s="15">
        <f t="shared" si="1"/>
        <v>6.92410119840213E-2</v>
      </c>
      <c r="O13" s="14">
        <f t="shared" ref="O13:O27" si="7">(H13-($J$5/1000))/(C13-1)</f>
        <v>0.56999999999999995</v>
      </c>
      <c r="P13" s="33">
        <v>3.945289900687476</v>
      </c>
      <c r="Q13" s="33">
        <f>P13*(C13+2*V13*W13*$AD$5)</f>
        <v>12.533530454293953</v>
      </c>
      <c r="R13" s="14">
        <v>15.034000000000001</v>
      </c>
      <c r="S13" s="15">
        <f t="shared" si="4"/>
        <v>2.5332579486497274E-2</v>
      </c>
      <c r="T13" s="33">
        <f t="shared" si="5"/>
        <v>2.5004695457060482</v>
      </c>
      <c r="U13" s="15">
        <f t="shared" si="6"/>
        <v>0.16632097550259731</v>
      </c>
      <c r="V13" s="14" cm="1">
        <f t="array" ref="V13">SUM(($C13-_xlfn.SEQUENCE(1,$C13-1))/($W$5*((_xlfn.SEQUENCE(1,$C13-1)*$O13)^3)+$X$5*((_xlfn.SEQUENCE(1,$C13-1)*$O13)^2)+$Y$5*(_xlfn.SEQUENCE(1,$C13-1)*$O13)+$Z$5))</f>
        <v>0.68673630064708724</v>
      </c>
      <c r="W13" s="14">
        <f t="shared" ref="W13:W42" si="8">($D13^2)/($AA$5*($D13^2)+$AB$5*$D13+$AC$5)</f>
        <v>0.54837180962697185</v>
      </c>
      <c r="Y13" s="14">
        <f>Y$8</f>
        <v>21.4</v>
      </c>
      <c r="AC13" s="14">
        <f t="shared" ref="AC13:AC42" si="9">P13*(C13+2*V13*$AD$6)</f>
        <v>15.161803006440815</v>
      </c>
      <c r="AD13" s="15">
        <f t="shared" ref="AD13:AD42" si="10">ABS(R13-AC13)/R13</f>
        <v>8.500931650978729E-3</v>
      </c>
    </row>
    <row r="14" spans="1:30" s="12" customFormat="1" x14ac:dyDescent="0.25">
      <c r="A14" s="74"/>
      <c r="B14" s="12" t="s">
        <v>9</v>
      </c>
      <c r="C14" s="12">
        <v>2</v>
      </c>
      <c r="D14" s="12">
        <v>9</v>
      </c>
      <c r="E14" s="12">
        <v>0.9</v>
      </c>
      <c r="F14" s="12">
        <v>0.15</v>
      </c>
      <c r="G14" s="12">
        <v>40</v>
      </c>
      <c r="H14" s="12">
        <v>0.6</v>
      </c>
      <c r="I14" s="40">
        <v>1676.6679992208731</v>
      </c>
      <c r="J14" s="12">
        <f t="shared" si="0"/>
        <v>1068</v>
      </c>
      <c r="K14" s="12">
        <v>1050</v>
      </c>
      <c r="L14" s="12">
        <f t="shared" si="2"/>
        <v>10</v>
      </c>
      <c r="M14" s="12">
        <f t="shared" si="3"/>
        <v>28</v>
      </c>
      <c r="N14" s="13">
        <f t="shared" si="1"/>
        <v>2.6666666666666668E-2</v>
      </c>
      <c r="O14" s="12">
        <f t="shared" si="7"/>
        <v>0.56999999999999995</v>
      </c>
      <c r="P14" s="34">
        <v>3.05822330800792</v>
      </c>
      <c r="Q14" s="34">
        <f t="shared" ref="Q14:Q45" si="11">P14*(C14+2*V14*W14*$AD$5)</f>
        <v>9.7154672867688916</v>
      </c>
      <c r="R14" s="12">
        <v>11.866</v>
      </c>
      <c r="S14" s="13">
        <f t="shared" si="4"/>
        <v>2.5421371987190296E-2</v>
      </c>
      <c r="T14" s="34">
        <f t="shared" si="5"/>
        <v>2.1505327132311081</v>
      </c>
      <c r="U14" s="13">
        <f t="shared" si="6"/>
        <v>0.18123484857838429</v>
      </c>
      <c r="V14" s="12" cm="1">
        <f t="array" ref="V14">SUM(($C14-_xlfn.SEQUENCE(1,$C14-1))/($W$5*((_xlfn.SEQUENCE(1,$C14-1)*$O14)^3)+$X$5*((_xlfn.SEQUENCE(1,$C14-1)*$O14)^2)+$Y$5*(_xlfn.SEQUENCE(1,$C14-1)*$O14)+$Z$5))</f>
        <v>0.68673630064708724</v>
      </c>
      <c r="W14" s="12">
        <f t="shared" si="8"/>
        <v>0.54837180962697185</v>
      </c>
      <c r="Y14" s="12">
        <f>Y$9</f>
        <v>19.82</v>
      </c>
      <c r="AC14" s="12">
        <f t="shared" si="9"/>
        <v>11.752793967723916</v>
      </c>
      <c r="AD14" s="13">
        <f t="shared" si="10"/>
        <v>9.540370156420357E-3</v>
      </c>
    </row>
    <row r="15" spans="1:30" s="9" customFormat="1" x14ac:dyDescent="0.25">
      <c r="A15" s="74"/>
      <c r="B15" s="16" t="s">
        <v>8</v>
      </c>
      <c r="C15" s="9">
        <v>2</v>
      </c>
      <c r="D15" s="16">
        <v>6</v>
      </c>
      <c r="E15" s="9">
        <v>0.9</v>
      </c>
      <c r="F15" s="9">
        <v>0.15</v>
      </c>
      <c r="G15" s="9">
        <v>40</v>
      </c>
      <c r="H15" s="9">
        <v>0.6</v>
      </c>
      <c r="I15" s="42">
        <v>1624.8</v>
      </c>
      <c r="J15" s="9">
        <f>ROUND(1000 * $J$4*(I15/1000) / (($J$5/1000000) * (E15/1000)), 0)</f>
        <v>1035</v>
      </c>
      <c r="K15" s="9">
        <v>1116</v>
      </c>
      <c r="L15" s="9">
        <f>ROUND($L$6*K15+$M$6, 0)</f>
        <v>10</v>
      </c>
      <c r="M15" s="9">
        <f>MAX(ABS(K15+L15-J15), ABS(K15-L15-J15))</f>
        <v>91</v>
      </c>
      <c r="N15" s="10">
        <f>M15/K15</f>
        <v>8.1541218637992838E-2</v>
      </c>
      <c r="O15" s="9">
        <f t="shared" si="7"/>
        <v>0.56999999999999995</v>
      </c>
      <c r="P15" s="36">
        <v>2.4018559447428518</v>
      </c>
      <c r="Q15" s="45">
        <f t="shared" si="11"/>
        <v>6.8636828868795883</v>
      </c>
      <c r="R15" s="9">
        <v>9.0920000000000005</v>
      </c>
      <c r="S15" s="10">
        <f t="shared" si="4"/>
        <v>2.5549934007919051E-2</v>
      </c>
      <c r="T15" s="36">
        <f t="shared" si="5"/>
        <v>2.2283171131204123</v>
      </c>
      <c r="U15" s="10">
        <f>T15/R15</f>
        <v>0.24508547218658294</v>
      </c>
      <c r="V15" s="9" cm="1">
        <f t="array" ref="V15">SUM(($C15-_xlfn.SEQUENCE(1,$C15-1))/($W$5*((_xlfn.SEQUENCE(1,$C15-1)*$O15)^3)+$X$5*((_xlfn.SEQUENCE(1,$C15-1)*$O15)^2)+$Y$5*(_xlfn.SEQUENCE(1,$C15-1)*$O15)+$Z$5))</f>
        <v>0.68673630064708724</v>
      </c>
      <c r="W15" s="9">
        <f t="shared" si="8"/>
        <v>0.39964476021314388</v>
      </c>
      <c r="X15" s="48"/>
      <c r="Y15" s="9">
        <v>27.7</v>
      </c>
      <c r="AC15" s="9">
        <f t="shared" si="9"/>
        <v>9.2303652204858917</v>
      </c>
      <c r="AD15" s="10">
        <f t="shared" si="10"/>
        <v>1.5218348051681827E-2</v>
      </c>
    </row>
    <row r="16" spans="1:30" x14ac:dyDescent="0.25">
      <c r="A16" s="74"/>
      <c r="B16" t="s">
        <v>9</v>
      </c>
      <c r="C16">
        <v>2</v>
      </c>
      <c r="D16" s="17">
        <v>6</v>
      </c>
      <c r="E16">
        <v>0.9</v>
      </c>
      <c r="F16">
        <v>0.15</v>
      </c>
      <c r="G16">
        <v>40</v>
      </c>
      <c r="H16">
        <v>0.6</v>
      </c>
      <c r="I16" s="43">
        <v>1236.530868452943</v>
      </c>
      <c r="J16">
        <f>ROUND(1000 * $J$4*(I16/1000) / (($J$5/1000000) * (E16/1000)), 0)</f>
        <v>788</v>
      </c>
      <c r="K16">
        <v>767</v>
      </c>
      <c r="L16">
        <f>ROUND($L$6*K16+$M$6, 0)</f>
        <v>10</v>
      </c>
      <c r="M16">
        <f>MAX(ABS(K16+L16-J16), ABS(K16-L16-J16))</f>
        <v>31</v>
      </c>
      <c r="N16" s="11">
        <f>M16/K16</f>
        <v>4.0417209908735333E-2</v>
      </c>
      <c r="O16">
        <f t="shared" si="7"/>
        <v>0.56999999999999995</v>
      </c>
      <c r="P16" s="37">
        <v>1.855169938334563</v>
      </c>
      <c r="Q16" s="37">
        <f t="shared" si="11"/>
        <v>5.3014412400006181</v>
      </c>
      <c r="R16">
        <v>7.1440000000000001</v>
      </c>
      <c r="S16" s="4">
        <f t="shared" si="4"/>
        <v>2.5699888017917134E-2</v>
      </c>
      <c r="T16" s="37">
        <f t="shared" si="5"/>
        <v>1.842558759999382</v>
      </c>
      <c r="U16" s="4">
        <f>T16/R16</f>
        <v>0.25791695968636363</v>
      </c>
      <c r="V16" cm="1">
        <f t="array" ref="V16">SUM(($C16-_xlfn.SEQUENCE(1,$C16-1))/($W$5*((_xlfn.SEQUENCE(1,$C16-1)*$O16)^3)+$X$5*((_xlfn.SEQUENCE(1,$C16-1)*$O16)^2)+$Y$5*(_xlfn.SEQUENCE(1,$C16-1)*$O16)+$Z$5))</f>
        <v>0.68673630064708724</v>
      </c>
      <c r="W16">
        <f t="shared" si="8"/>
        <v>0.39964476021314388</v>
      </c>
      <c r="Y16">
        <v>26.12</v>
      </c>
      <c r="AC16">
        <f t="shared" si="9"/>
        <v>7.129443426603018</v>
      </c>
      <c r="AD16" s="4">
        <f t="shared" si="10"/>
        <v>2.0375942604958191E-3</v>
      </c>
    </row>
    <row r="17" spans="1:30" s="9" customFormat="1" x14ac:dyDescent="0.25">
      <c r="A17" s="74"/>
      <c r="B17" s="16" t="s">
        <v>8</v>
      </c>
      <c r="C17" s="9">
        <v>2</v>
      </c>
      <c r="D17" s="9">
        <v>9</v>
      </c>
      <c r="E17" s="16">
        <v>1.2</v>
      </c>
      <c r="F17" s="9">
        <v>0.15</v>
      </c>
      <c r="G17" s="9">
        <v>40</v>
      </c>
      <c r="H17" s="9">
        <v>0.6</v>
      </c>
      <c r="I17" s="42">
        <v>2016</v>
      </c>
      <c r="J17" s="9">
        <f t="shared" si="0"/>
        <v>963</v>
      </c>
      <c r="K17" s="9">
        <v>1073</v>
      </c>
      <c r="L17" s="9">
        <f t="shared" si="2"/>
        <v>10</v>
      </c>
      <c r="M17" s="9">
        <f t="shared" si="3"/>
        <v>120</v>
      </c>
      <c r="N17" s="10">
        <f t="shared" ref="N17:N27" si="12">M17/K17</f>
        <v>0.11183597390493942</v>
      </c>
      <c r="O17" s="9">
        <f t="shared" si="7"/>
        <v>0.56999999999999995</v>
      </c>
      <c r="P17" s="36">
        <v>3.032956325881794</v>
      </c>
      <c r="Q17" s="45">
        <f t="shared" si="11"/>
        <v>9.6351982829852361</v>
      </c>
      <c r="R17" s="9">
        <v>11.587</v>
      </c>
      <c r="S17" s="10">
        <f t="shared" si="4"/>
        <v>2.543151808060758E-2</v>
      </c>
      <c r="T17" s="36">
        <f t="shared" si="5"/>
        <v>1.9518017170147637</v>
      </c>
      <c r="U17" s="10">
        <f t="shared" si="6"/>
        <v>0.16844754613055699</v>
      </c>
      <c r="V17" s="9" cm="1">
        <f t="array" ref="V17">SUM(($C17-_xlfn.SEQUENCE(1,$C17-1))/($W$5*((_xlfn.SEQUENCE(1,$C17-1)*$O17)^3)+$X$5*((_xlfn.SEQUENCE(1,$C17-1)*$O17)^2)+$Y$5*(_xlfn.SEQUENCE(1,$C17-1)*$O17)+$Z$5))</f>
        <v>0.68673630064708724</v>
      </c>
      <c r="W17" s="9">
        <f t="shared" si="8"/>
        <v>0.54837180962697185</v>
      </c>
      <c r="Y17" s="9">
        <v>16</v>
      </c>
      <c r="AC17" s="9">
        <f t="shared" si="9"/>
        <v>11.655692610103319</v>
      </c>
      <c r="AD17" s="10">
        <f t="shared" si="10"/>
        <v>5.9284206527418139E-3</v>
      </c>
    </row>
    <row r="18" spans="1:30" x14ac:dyDescent="0.25">
      <c r="A18" s="74"/>
      <c r="B18" t="s">
        <v>9</v>
      </c>
      <c r="C18">
        <v>2</v>
      </c>
      <c r="D18">
        <v>9</v>
      </c>
      <c r="E18" s="17">
        <v>1.2</v>
      </c>
      <c r="F18">
        <v>0.15</v>
      </c>
      <c r="G18">
        <v>40</v>
      </c>
      <c r="H18">
        <v>0.6</v>
      </c>
      <c r="I18" s="43">
        <v>1507.0219959270239</v>
      </c>
      <c r="J18">
        <f t="shared" si="0"/>
        <v>720</v>
      </c>
      <c r="K18">
        <v>731</v>
      </c>
      <c r="L18">
        <f t="shared" si="2"/>
        <v>10</v>
      </c>
      <c r="M18">
        <f t="shared" si="3"/>
        <v>21</v>
      </c>
      <c r="N18" s="11">
        <f t="shared" si="12"/>
        <v>2.8727770177838577E-2</v>
      </c>
      <c r="O18">
        <f t="shared" si="7"/>
        <v>0.56999999999999995</v>
      </c>
      <c r="P18" s="37">
        <v>2.2902271913163901</v>
      </c>
      <c r="Q18" s="37">
        <f t="shared" si="11"/>
        <v>7.2756712363809379</v>
      </c>
      <c r="R18">
        <v>8.9469999999999992</v>
      </c>
      <c r="S18" s="4">
        <f t="shared" si="4"/>
        <v>2.5558846540739914E-2</v>
      </c>
      <c r="T18" s="37">
        <f t="shared" si="5"/>
        <v>1.6713287636190612</v>
      </c>
      <c r="U18" s="4">
        <f t="shared" si="6"/>
        <v>0.18680325959752558</v>
      </c>
      <c r="V18" cm="1">
        <f t="array" ref="V18">SUM(($C18-_xlfn.SEQUENCE(1,$C18-1))/($W$5*((_xlfn.SEQUENCE(1,$C18-1)*$O18)^3)+$X$5*((_xlfn.SEQUENCE(1,$C18-1)*$O18)^2)+$Y$5*(_xlfn.SEQUENCE(1,$C18-1)*$O18)+$Z$5))</f>
        <v>0.68673630064708724</v>
      </c>
      <c r="W18">
        <f t="shared" si="8"/>
        <v>0.54837180962697185</v>
      </c>
      <c r="Y18">
        <v>13.97</v>
      </c>
      <c r="AC18">
        <f t="shared" si="9"/>
        <v>8.8013743954994563</v>
      </c>
      <c r="AD18" s="4">
        <f t="shared" si="10"/>
        <v>1.6276473063657412E-2</v>
      </c>
    </row>
    <row r="19" spans="1:30" s="9" customFormat="1" x14ac:dyDescent="0.25">
      <c r="A19" s="74"/>
      <c r="B19" s="16" t="s">
        <v>8</v>
      </c>
      <c r="C19" s="9">
        <v>2</v>
      </c>
      <c r="D19" s="9">
        <v>9</v>
      </c>
      <c r="E19" s="9">
        <v>0.9</v>
      </c>
      <c r="F19" s="16">
        <v>0.3</v>
      </c>
      <c r="G19" s="9">
        <v>40</v>
      </c>
      <c r="H19" s="9">
        <v>0.6</v>
      </c>
      <c r="I19" s="42">
        <v>2124</v>
      </c>
      <c r="J19" s="9">
        <f t="shared" si="0"/>
        <v>1353</v>
      </c>
      <c r="K19" s="9">
        <v>1473</v>
      </c>
      <c r="L19" s="9">
        <f t="shared" si="2"/>
        <v>10</v>
      </c>
      <c r="M19" s="9">
        <f t="shared" si="3"/>
        <v>130</v>
      </c>
      <c r="N19" s="10">
        <f t="shared" si="12"/>
        <v>8.8255261371350979E-2</v>
      </c>
      <c r="O19" s="9">
        <f t="shared" si="7"/>
        <v>0.56999999999999995</v>
      </c>
      <c r="P19" s="36">
        <v>3.5104936720560538</v>
      </c>
      <c r="Q19" s="45">
        <f t="shared" si="11"/>
        <v>11.152255082865736</v>
      </c>
      <c r="R19" s="9">
        <v>13.393000000000001</v>
      </c>
      <c r="S19" s="10">
        <f t="shared" si="4"/>
        <v>2.5373329351153589E-2</v>
      </c>
      <c r="T19" s="36">
        <f t="shared" si="5"/>
        <v>2.2407449171342648</v>
      </c>
      <c r="U19" s="10">
        <f t="shared" si="6"/>
        <v>0.16730716920288694</v>
      </c>
      <c r="V19" s="9" cm="1">
        <f t="array" ref="V19">SUM(($C19-_xlfn.SEQUENCE(1,$C19-1))/($W$5*((_xlfn.SEQUENCE(1,$C19-1)*$O19)^3)+$X$5*((_xlfn.SEQUENCE(1,$C19-1)*$O19)^2)+$Y$5*(_xlfn.SEQUENCE(1,$C19-1)*$O19)+$Z$5))</f>
        <v>0.68673630064708724</v>
      </c>
      <c r="W19" s="9">
        <f t="shared" si="8"/>
        <v>0.54837180962697185</v>
      </c>
      <c r="Y19" s="9">
        <v>19</v>
      </c>
      <c r="AC19" s="9">
        <f t="shared" si="9"/>
        <v>13.490875157690258</v>
      </c>
      <c r="AD19" s="10">
        <f t="shared" si="10"/>
        <v>7.3079338229117786E-3</v>
      </c>
    </row>
    <row r="20" spans="1:30" x14ac:dyDescent="0.25">
      <c r="A20" s="74"/>
      <c r="B20" t="s">
        <v>9</v>
      </c>
      <c r="C20">
        <v>2</v>
      </c>
      <c r="D20">
        <v>9</v>
      </c>
      <c r="E20">
        <v>0.9</v>
      </c>
      <c r="F20" s="17">
        <v>0.3</v>
      </c>
      <c r="G20">
        <v>40</v>
      </c>
      <c r="H20">
        <v>0.6</v>
      </c>
      <c r="I20" s="43">
        <v>1600.3272977386409</v>
      </c>
      <c r="J20">
        <f t="shared" si="0"/>
        <v>1019</v>
      </c>
      <c r="K20">
        <v>1007</v>
      </c>
      <c r="L20">
        <f t="shared" si="2"/>
        <v>10</v>
      </c>
      <c r="M20">
        <f t="shared" si="3"/>
        <v>22</v>
      </c>
      <c r="N20" s="11">
        <f t="shared" si="12"/>
        <v>2.1847070506454815E-2</v>
      </c>
      <c r="O20">
        <f t="shared" si="7"/>
        <v>0.56999999999999995</v>
      </c>
      <c r="P20" s="37">
        <v>2.688808608987256</v>
      </c>
      <c r="Q20" s="37">
        <f t="shared" si="11"/>
        <v>8.5418981709397794</v>
      </c>
      <c r="R20">
        <v>10.414999999999999</v>
      </c>
      <c r="S20" s="4">
        <f t="shared" si="4"/>
        <v>2.5480076812289965E-2</v>
      </c>
      <c r="T20" s="37">
        <f t="shared" si="5"/>
        <v>1.8731018290602197</v>
      </c>
      <c r="U20" s="4">
        <f t="shared" si="6"/>
        <v>0.17984655103794717</v>
      </c>
      <c r="V20" cm="1">
        <f t="array" ref="V20">SUM(($C20-_xlfn.SEQUENCE(1,$C20-1))/($W$5*((_xlfn.SEQUENCE(1,$C20-1)*$O20)^3)+$X$5*((_xlfn.SEQUENCE(1,$C20-1)*$O20)^2)+$Y$5*(_xlfn.SEQUENCE(1,$C20-1)*$O20)+$Z$5))</f>
        <v>0.68673630064708724</v>
      </c>
      <c r="W20">
        <f t="shared" si="8"/>
        <v>0.54837180962697185</v>
      </c>
      <c r="Y20">
        <v>17.2</v>
      </c>
      <c r="AC20">
        <f t="shared" si="9"/>
        <v>10.333128230800771</v>
      </c>
      <c r="AD20" s="4">
        <f t="shared" si="10"/>
        <v>7.8609475947410794E-3</v>
      </c>
    </row>
    <row r="21" spans="1:30" s="9" customFormat="1" x14ac:dyDescent="0.25">
      <c r="A21" s="74"/>
      <c r="B21" s="16" t="s">
        <v>8</v>
      </c>
      <c r="C21" s="9">
        <v>2</v>
      </c>
      <c r="D21" s="9">
        <v>9</v>
      </c>
      <c r="E21" s="9">
        <v>0.9</v>
      </c>
      <c r="F21" s="9">
        <v>0.15</v>
      </c>
      <c r="G21" s="16">
        <v>30</v>
      </c>
      <c r="H21" s="9">
        <v>0.6</v>
      </c>
      <c r="I21" s="42">
        <v>1490.4</v>
      </c>
      <c r="J21" s="9">
        <f t="shared" si="0"/>
        <v>949</v>
      </c>
      <c r="K21" s="9">
        <v>965</v>
      </c>
      <c r="L21" s="9">
        <f t="shared" si="2"/>
        <v>10</v>
      </c>
      <c r="M21" s="9">
        <f t="shared" si="3"/>
        <v>26</v>
      </c>
      <c r="N21" s="10">
        <f t="shared" si="12"/>
        <v>2.6943005181347152E-2</v>
      </c>
      <c r="O21" s="9">
        <f t="shared" si="7"/>
        <v>0.56999999999999995</v>
      </c>
      <c r="P21" s="36">
        <v>2.1872462166826581</v>
      </c>
      <c r="Q21" s="45">
        <f t="shared" si="11"/>
        <v>6.9485177915707501</v>
      </c>
      <c r="R21" s="9">
        <v>8.2050000000000001</v>
      </c>
      <c r="S21" s="10">
        <f t="shared" si="4"/>
        <v>2.5609384521633152E-2</v>
      </c>
      <c r="T21" s="36">
        <f t="shared" si="5"/>
        <v>1.25648220842925</v>
      </c>
      <c r="U21" s="10">
        <f t="shared" si="6"/>
        <v>0.15313616190484461</v>
      </c>
      <c r="V21" s="9" cm="1">
        <f t="array" ref="V21">SUM(($C21-_xlfn.SEQUENCE(1,$C21-1))/($W$5*((_xlfn.SEQUENCE(1,$C21-1)*$O21)^3)+$X$5*((_xlfn.SEQUENCE(1,$C21-1)*$O21)^2)+$Y$5*(_xlfn.SEQUENCE(1,$C21-1)*$O21)+$Z$5))</f>
        <v>0.68673630064708724</v>
      </c>
      <c r="W21" s="9">
        <f t="shared" si="8"/>
        <v>0.54837180962697185</v>
      </c>
      <c r="Y21" s="9">
        <v>11.4</v>
      </c>
      <c r="AC21" s="9">
        <f t="shared" si="9"/>
        <v>8.4056171025979012</v>
      </c>
      <c r="AD21" s="10">
        <f t="shared" si="10"/>
        <v>2.4450591419610129E-2</v>
      </c>
    </row>
    <row r="22" spans="1:30" x14ac:dyDescent="0.25">
      <c r="A22" s="74"/>
      <c r="B22" t="s">
        <v>9</v>
      </c>
      <c r="C22">
        <v>2</v>
      </c>
      <c r="D22">
        <v>9</v>
      </c>
      <c r="E22">
        <v>0.9</v>
      </c>
      <c r="F22">
        <v>0.15</v>
      </c>
      <c r="G22" s="17">
        <v>30</v>
      </c>
      <c r="H22">
        <v>0.6</v>
      </c>
      <c r="I22" s="43">
        <v>1111.18132157471</v>
      </c>
      <c r="J22">
        <f t="shared" si="0"/>
        <v>708</v>
      </c>
      <c r="K22">
        <v>677</v>
      </c>
      <c r="L22">
        <f t="shared" si="2"/>
        <v>10</v>
      </c>
      <c r="M22">
        <f t="shared" si="3"/>
        <v>41</v>
      </c>
      <c r="N22" s="11">
        <f t="shared" si="12"/>
        <v>6.0561299852289516E-2</v>
      </c>
      <c r="O22">
        <f t="shared" si="7"/>
        <v>0.56999999999999995</v>
      </c>
      <c r="P22" s="37">
        <v>1.6434123702126029</v>
      </c>
      <c r="Q22" s="37">
        <f t="shared" si="11"/>
        <v>5.2208480262588202</v>
      </c>
      <c r="R22">
        <v>6.3040000000000003</v>
      </c>
      <c r="S22" s="4">
        <f t="shared" si="4"/>
        <v>2.5793147208121831E-2</v>
      </c>
      <c r="T22" s="37">
        <f t="shared" si="5"/>
        <v>1.0831519737411801</v>
      </c>
      <c r="U22" s="4">
        <f t="shared" si="6"/>
        <v>0.17181979278889278</v>
      </c>
      <c r="V22" cm="1">
        <f t="array" ref="V22">SUM(($C22-_xlfn.SEQUENCE(1,$C22-1))/($W$5*((_xlfn.SEQUENCE(1,$C22-1)*$O22)^3)+$X$5*((_xlfn.SEQUENCE(1,$C22-1)*$O22)^2)+$Y$5*(_xlfn.SEQUENCE(1,$C22-1)*$O22)+$Z$5))</f>
        <v>0.68673630064708724</v>
      </c>
      <c r="W22">
        <f t="shared" si="8"/>
        <v>0.54837180962697185</v>
      </c>
      <c r="Y22">
        <v>9.83</v>
      </c>
      <c r="AC22">
        <f t="shared" si="9"/>
        <v>6.3156561983365549</v>
      </c>
      <c r="AD22" s="4">
        <f t="shared" si="10"/>
        <v>1.8490162335905178E-3</v>
      </c>
    </row>
    <row r="23" spans="1:30" s="9" customFormat="1" x14ac:dyDescent="0.25">
      <c r="A23" s="74"/>
      <c r="B23" s="16" t="s">
        <v>8</v>
      </c>
      <c r="C23" s="9">
        <v>2</v>
      </c>
      <c r="D23" s="16">
        <v>5</v>
      </c>
      <c r="E23" s="9">
        <v>0.9</v>
      </c>
      <c r="F23" s="9">
        <v>0.15</v>
      </c>
      <c r="G23" s="9">
        <v>40</v>
      </c>
      <c r="H23" s="9">
        <v>0.6</v>
      </c>
      <c r="I23" s="42">
        <v>1396</v>
      </c>
      <c r="J23" s="9">
        <f t="shared" si="0"/>
        <v>889</v>
      </c>
      <c r="K23" s="9">
        <v>1155</v>
      </c>
      <c r="L23" s="9">
        <f>ROUND($L$6*K23+$M$6, 0)</f>
        <v>10</v>
      </c>
      <c r="M23" s="9">
        <f>MAX(ABS(K23+L23-J23), ABS(K23-L23-J23))</f>
        <v>276</v>
      </c>
      <c r="N23" s="10">
        <f>M23/K23</f>
        <v>0.23896103896103896</v>
      </c>
      <c r="O23" s="9">
        <f t="shared" si="7"/>
        <v>0.56999999999999995</v>
      </c>
      <c r="P23" s="36">
        <v>1.8657932380643421</v>
      </c>
      <c r="Q23" s="45">
        <f t="shared" si="11"/>
        <v>5.0223947712615189</v>
      </c>
      <c r="R23" s="9">
        <v>7.0129999999999999</v>
      </c>
      <c r="S23" s="10">
        <f t="shared" si="4"/>
        <v>2.5712961642663627E-2</v>
      </c>
      <c r="T23" s="36">
        <f t="shared" si="5"/>
        <v>1.990605228738481</v>
      </c>
      <c r="U23" s="10">
        <f>T23/R23</f>
        <v>0.28384503475523759</v>
      </c>
      <c r="V23" s="9" cm="1">
        <f t="array" ref="V23">SUM(($C23-_xlfn.SEQUENCE(1,$C23-1))/($W$5*((_xlfn.SEQUENCE(1,$C23-1)*$O23)^3)+$X$5*((_xlfn.SEQUENCE(1,$C23-1)*$O23)^2)+$Y$5*(_xlfn.SEQUENCE(1,$C23-1)*$O23)+$Z$5))</f>
        <v>0.68673630064708724</v>
      </c>
      <c r="W23" s="9">
        <f t="shared" si="8"/>
        <v>0.32237266279819471</v>
      </c>
      <c r="Y23" s="9">
        <v>29.8</v>
      </c>
      <c r="AC23" s="9">
        <f t="shared" si="9"/>
        <v>7.1702689126473311</v>
      </c>
      <c r="AD23" s="10">
        <f t="shared" si="10"/>
        <v>2.2425340460192674E-2</v>
      </c>
    </row>
    <row r="24" spans="1:30" x14ac:dyDescent="0.25">
      <c r="A24" s="74"/>
      <c r="B24" s="17" t="s">
        <v>8</v>
      </c>
      <c r="C24">
        <v>2</v>
      </c>
      <c r="D24" s="17">
        <v>8</v>
      </c>
      <c r="E24">
        <v>0.9</v>
      </c>
      <c r="F24">
        <v>0.15</v>
      </c>
      <c r="G24">
        <v>40</v>
      </c>
      <c r="H24">
        <v>0.6</v>
      </c>
      <c r="I24" s="43">
        <v>2032</v>
      </c>
      <c r="J24">
        <f t="shared" si="0"/>
        <v>1294</v>
      </c>
      <c r="K24">
        <v>1678</v>
      </c>
      <c r="L24">
        <f>ROUND($L$6*K24+$M$6, 0)</f>
        <v>11</v>
      </c>
      <c r="M24">
        <f>MAX(ABS(K24+L24-J24), ABS(K24-L24-J24))</f>
        <v>395</v>
      </c>
      <c r="N24" s="11">
        <f>M24/K24</f>
        <v>0.23539928486293207</v>
      </c>
      <c r="O24">
        <f t="shared" si="7"/>
        <v>0.56999999999999995</v>
      </c>
      <c r="P24" s="37">
        <v>3.454978287469658</v>
      </c>
      <c r="Q24" s="37">
        <f t="shared" si="11"/>
        <v>10.701357993847788</v>
      </c>
      <c r="R24">
        <v>13.186999999999999</v>
      </c>
      <c r="S24" s="11">
        <f t="shared" si="4"/>
        <v>2.5379161295214985E-2</v>
      </c>
      <c r="T24" s="37">
        <f t="shared" si="5"/>
        <v>2.4856420061522115</v>
      </c>
      <c r="U24" s="11">
        <f>T24/R24</f>
        <v>0.188491848498689</v>
      </c>
      <c r="V24" cm="1">
        <f t="array" ref="V24">SUM(($C24-_xlfn.SEQUENCE(1,$C24-1))/($W$5*((_xlfn.SEQUENCE(1,$C24-1)*$O24)^3)+$X$5*((_xlfn.SEQUENCE(1,$C24-1)*$O24)^2)+$Y$5*(_xlfn.SEQUENCE(1,$C24-1)*$O24)+$Z$5))</f>
        <v>0.68673630064708724</v>
      </c>
      <c r="W24">
        <f t="shared" si="8"/>
        <v>0.51134547778843087</v>
      </c>
      <c r="Y24">
        <v>23.5</v>
      </c>
      <c r="AC24">
        <f t="shared" si="9"/>
        <v>13.277528776026628</v>
      </c>
      <c r="AD24" s="11">
        <f t="shared" si="10"/>
        <v>6.865001594496753E-3</v>
      </c>
    </row>
    <row r="25" spans="1:30" s="9" customFormat="1" x14ac:dyDescent="0.25">
      <c r="A25" s="74"/>
      <c r="B25" s="16" t="s">
        <v>8</v>
      </c>
      <c r="C25" s="9">
        <v>2</v>
      </c>
      <c r="D25" s="16">
        <v>11</v>
      </c>
      <c r="E25" s="9">
        <v>0.9</v>
      </c>
      <c r="F25" s="9">
        <v>0.15</v>
      </c>
      <c r="G25" s="9">
        <v>40</v>
      </c>
      <c r="H25" s="9">
        <v>0.6</v>
      </c>
      <c r="I25" s="42">
        <v>2516.8000000000002</v>
      </c>
      <c r="J25" s="9">
        <f t="shared" si="0"/>
        <v>1603</v>
      </c>
      <c r="K25" s="9">
        <v>2037</v>
      </c>
      <c r="L25" s="9">
        <f>ROUND($L$6*K25+$M$6, 0)</f>
        <v>11</v>
      </c>
      <c r="M25" s="9">
        <f>MAX(ABS(K25+L25-J25), ABS(K25-L25-J25))</f>
        <v>445</v>
      </c>
      <c r="N25" s="10">
        <f>M25/K25</f>
        <v>0.21845851742758959</v>
      </c>
      <c r="O25" s="9">
        <f t="shared" si="7"/>
        <v>0.56999999999999995</v>
      </c>
      <c r="P25" s="36">
        <v>4.8041946478743043</v>
      </c>
      <c r="Q25" s="45">
        <f t="shared" si="11"/>
        <v>15.758937138591723</v>
      </c>
      <c r="R25" s="9">
        <v>18.334</v>
      </c>
      <c r="S25" s="10">
        <f t="shared" si="4"/>
        <v>2.527271735573252E-2</v>
      </c>
      <c r="T25" s="36">
        <f t="shared" si="5"/>
        <v>2.5750628614082771</v>
      </c>
      <c r="U25" s="10">
        <f>T25/R25</f>
        <v>0.14045286688165579</v>
      </c>
      <c r="V25" s="9" cm="1">
        <f t="array" ref="V25">SUM(($C25-_xlfn.SEQUENCE(1,$C25-1))/($W$5*((_xlfn.SEQUENCE(1,$C25-1)*$O25)^3)+$X$5*((_xlfn.SEQUENCE(1,$C25-1)*$O25)^2)+$Y$5*(_xlfn.SEQUENCE(1,$C25-1)*$O25)+$Z$5))</f>
        <v>0.68673630064708724</v>
      </c>
      <c r="W25" s="9">
        <f t="shared" si="8"/>
        <v>0.5965586944732042</v>
      </c>
      <c r="Y25" s="9">
        <v>17.2</v>
      </c>
      <c r="AC25" s="9">
        <f t="shared" si="9"/>
        <v>18.462585688056766</v>
      </c>
      <c r="AD25" s="10">
        <f t="shared" si="10"/>
        <v>7.0135097663775719E-3</v>
      </c>
    </row>
    <row r="26" spans="1:30" x14ac:dyDescent="0.25">
      <c r="A26" s="74"/>
      <c r="B26" s="17" t="s">
        <v>8</v>
      </c>
      <c r="C26">
        <v>2</v>
      </c>
      <c r="D26" s="17">
        <v>14</v>
      </c>
      <c r="E26">
        <v>0.9</v>
      </c>
      <c r="F26">
        <v>0.15</v>
      </c>
      <c r="G26">
        <v>40</v>
      </c>
      <c r="H26">
        <v>0.6</v>
      </c>
      <c r="I26" s="43">
        <v>2850.4</v>
      </c>
      <c r="J26">
        <f t="shared" si="0"/>
        <v>1816</v>
      </c>
      <c r="K26">
        <v>2339</v>
      </c>
      <c r="L26">
        <f>ROUND($L$6*K26+$M$6, 0)</f>
        <v>11</v>
      </c>
      <c r="M26">
        <f>MAX(ABS(K26+L26-J26), ABS(K26-L26-J26))</f>
        <v>534</v>
      </c>
      <c r="N26" s="11">
        <f>M26/K26</f>
        <v>0.22830269345874304</v>
      </c>
      <c r="O26">
        <f t="shared" si="7"/>
        <v>0.56999999999999995</v>
      </c>
      <c r="P26" s="37">
        <v>5.700227800954166</v>
      </c>
      <c r="Q26" s="37">
        <f t="shared" si="11"/>
        <v>19.120908746661936</v>
      </c>
      <c r="R26">
        <v>21.73</v>
      </c>
      <c r="S26" s="11">
        <f t="shared" si="4"/>
        <v>7.380579843534284E-3</v>
      </c>
      <c r="T26" s="37">
        <f t="shared" si="5"/>
        <v>2.6090912533380646</v>
      </c>
      <c r="U26" s="11">
        <f>T26/R26</f>
        <v>0.12006862647667117</v>
      </c>
      <c r="V26" cm="1">
        <f t="array" ref="V26">SUM(($C26-_xlfn.SEQUENCE(1,$C26-1))/($W$5*((_xlfn.SEQUENCE(1,$C26-1)*$O26)^3)+$X$5*((_xlfn.SEQUENCE(1,$C26-1)*$O26)^2)+$Y$5*(_xlfn.SEQUENCE(1,$C26-1)*$O26)+$Z$5))</f>
        <v>0.68673630064708724</v>
      </c>
      <c r="W26">
        <f t="shared" si="8"/>
        <v>0.6311179804224627</v>
      </c>
      <c r="Y26" s="95">
        <v>10.9</v>
      </c>
      <c r="AC26">
        <f t="shared" si="9"/>
        <v>21.90605334093307</v>
      </c>
      <c r="AD26" s="11">
        <f t="shared" si="10"/>
        <v>8.1018564626355177E-3</v>
      </c>
    </row>
    <row r="27" spans="1:30" s="9" customFormat="1" x14ac:dyDescent="0.25">
      <c r="A27" s="74"/>
      <c r="B27" s="9" t="s">
        <v>9</v>
      </c>
      <c r="C27" s="9">
        <v>2</v>
      </c>
      <c r="D27" s="16">
        <v>5</v>
      </c>
      <c r="E27" s="9">
        <v>0.9</v>
      </c>
      <c r="F27" s="9">
        <v>0.15</v>
      </c>
      <c r="G27" s="9">
        <v>40</v>
      </c>
      <c r="H27" s="9">
        <v>0.6</v>
      </c>
      <c r="I27" s="42">
        <v>1063.4291132401449</v>
      </c>
      <c r="J27" s="9">
        <f t="shared" si="0"/>
        <v>677</v>
      </c>
      <c r="K27" s="9">
        <v>818</v>
      </c>
      <c r="L27" s="9">
        <f>ROUND($L$6*K27+$M$6, 0)</f>
        <v>10</v>
      </c>
      <c r="M27" s="9">
        <f>MAX(ABS(K27+L27-J27), ABS(K27-L27-J27))</f>
        <v>151</v>
      </c>
      <c r="N27" s="10">
        <f t="shared" si="12"/>
        <v>0.1845965770171149</v>
      </c>
      <c r="O27" s="9">
        <f t="shared" si="7"/>
        <v>0.56999999999999995</v>
      </c>
      <c r="P27" s="36">
        <v>1.435843148206867</v>
      </c>
      <c r="Q27" s="36">
        <f t="shared" si="11"/>
        <v>3.8650430137624721</v>
      </c>
      <c r="R27" s="9">
        <v>5.508</v>
      </c>
      <c r="S27" s="10">
        <f t="shared" si="4"/>
        <v>2.5907770515613656E-2</v>
      </c>
      <c r="T27" s="36">
        <f t="shared" si="5"/>
        <v>1.6429569862375279</v>
      </c>
      <c r="U27" s="10">
        <f>T27/R27</f>
        <v>0.29828558210557876</v>
      </c>
      <c r="V27" s="9" cm="1">
        <f t="array" ref="V27">SUM(($C27-_xlfn.SEQUENCE(1,$C27-1))/($W$5*((_xlfn.SEQUENCE(1,$C27-1)*$O27)^3)+$X$5*((_xlfn.SEQUENCE(1,$C27-1)*$O27)^2)+$Y$5*(_xlfn.SEQUENCE(1,$C27-1)*$O27)+$Z$5))</f>
        <v>0.68673630064708724</v>
      </c>
      <c r="W27" s="9">
        <f t="shared" si="8"/>
        <v>0.32237266279819471</v>
      </c>
      <c r="Y27" s="9">
        <v>28.22</v>
      </c>
      <c r="AC27" s="9">
        <f t="shared" si="9"/>
        <v>5.517964841434555</v>
      </c>
      <c r="AD27" s="10">
        <f t="shared" si="10"/>
        <v>1.8091578494108579E-3</v>
      </c>
    </row>
    <row r="28" spans="1:30" x14ac:dyDescent="0.25">
      <c r="A28" s="74"/>
      <c r="B28" t="s">
        <v>9</v>
      </c>
      <c r="C28">
        <v>2</v>
      </c>
      <c r="D28" s="17">
        <v>7</v>
      </c>
      <c r="E28">
        <v>0.9</v>
      </c>
      <c r="F28">
        <v>0.15</v>
      </c>
      <c r="G28">
        <v>40</v>
      </c>
      <c r="H28">
        <v>0.6</v>
      </c>
      <c r="I28" s="43">
        <v>1396.437934520663</v>
      </c>
      <c r="J28">
        <f t="shared" si="0"/>
        <v>890</v>
      </c>
      <c r="K28">
        <v>1126</v>
      </c>
      <c r="L28">
        <f t="shared" ref="L28:L33" si="13">ROUND($L$6*K28+$M$6, 0)</f>
        <v>10</v>
      </c>
      <c r="M28">
        <f t="shared" ref="M28:M33" si="14">MAX(ABS(K28+L28-J28), ABS(K28-L28-J28))</f>
        <v>246</v>
      </c>
      <c r="N28" s="11">
        <f t="shared" ref="N28:N33" si="15">M28/K28</f>
        <v>0.21847246891651864</v>
      </c>
      <c r="O28">
        <f t="shared" ref="O28:O33" si="16">(H28-($J$5/1000))/(C28-1)</f>
        <v>0.56999999999999995</v>
      </c>
      <c r="P28" s="37">
        <v>2.273124943237737</v>
      </c>
      <c r="Q28" s="37">
        <f t="shared" si="11"/>
        <v>6.8023504441370317</v>
      </c>
      <c r="R28">
        <v>8.7750000000000004</v>
      </c>
      <c r="S28" s="4">
        <f t="shared" si="4"/>
        <v>2.5569800569800571E-2</v>
      </c>
      <c r="T28" s="37">
        <f t="shared" si="5"/>
        <v>1.9726495558629686</v>
      </c>
      <c r="U28" s="4">
        <f t="shared" ref="U28:U33" si="17">T28/R28</f>
        <v>0.22480336818951208</v>
      </c>
      <c r="V28" cm="1">
        <f t="array" ref="V28">SUM(($C28-_xlfn.SEQUENCE(1,$C28-1))/($W$5*((_xlfn.SEQUENCE(1,$C28-1)*$O28)^3)+$X$5*((_xlfn.SEQUENCE(1,$C28-1)*$O28)^2)+$Y$5*(_xlfn.SEQUENCE(1,$C28-1)*$O28)+$Z$5))</f>
        <v>0.68673630064708724</v>
      </c>
      <c r="W28">
        <f t="shared" si="8"/>
        <v>0.4624823029731005</v>
      </c>
      <c r="Y28" s="95">
        <v>24.03</v>
      </c>
      <c r="AC28">
        <f t="shared" si="9"/>
        <v>8.7356502224062105</v>
      </c>
      <c r="AD28" s="4">
        <f t="shared" si="10"/>
        <v>4.4843051388934333E-3</v>
      </c>
    </row>
    <row r="29" spans="1:30" s="9" customFormat="1" x14ac:dyDescent="0.25">
      <c r="A29" s="74"/>
      <c r="B29" s="9" t="s">
        <v>9</v>
      </c>
      <c r="C29" s="9">
        <v>2</v>
      </c>
      <c r="D29" s="16">
        <v>8</v>
      </c>
      <c r="E29" s="9">
        <v>0.9</v>
      </c>
      <c r="F29" s="9">
        <v>0.15</v>
      </c>
      <c r="G29" s="9">
        <v>40</v>
      </c>
      <c r="H29" s="9">
        <v>0.6</v>
      </c>
      <c r="I29" s="42">
        <v>1543.150311443306</v>
      </c>
      <c r="J29" s="9">
        <f t="shared" si="0"/>
        <v>983</v>
      </c>
      <c r="K29" s="9">
        <v>1242</v>
      </c>
      <c r="L29" s="9">
        <f t="shared" si="13"/>
        <v>10</v>
      </c>
      <c r="M29" s="9">
        <f t="shared" si="14"/>
        <v>269</v>
      </c>
      <c r="N29" s="10">
        <f t="shared" si="15"/>
        <v>0.21658615136876005</v>
      </c>
      <c r="O29" s="9">
        <f t="shared" si="16"/>
        <v>0.56999999999999995</v>
      </c>
      <c r="P29" s="36">
        <v>2.677497962690337</v>
      </c>
      <c r="Q29" s="36">
        <f t="shared" si="11"/>
        <v>8.2932110833993296</v>
      </c>
      <c r="R29" s="9">
        <v>10.374000000000001</v>
      </c>
      <c r="S29" s="10">
        <f t="shared" si="4"/>
        <v>2.5481974166184695E-2</v>
      </c>
      <c r="T29" s="36">
        <f t="shared" si="5"/>
        <v>2.080788916600671</v>
      </c>
      <c r="U29" s="10">
        <f t="shared" si="17"/>
        <v>0.20057730061699161</v>
      </c>
      <c r="V29" s="9" cm="1">
        <f t="array" ref="V29">SUM(($C29-_xlfn.SEQUENCE(1,$C29-1))/($W$5*((_xlfn.SEQUENCE(1,$C29-1)*$O29)^3)+$X$5*((_xlfn.SEQUENCE(1,$C29-1)*$O29)^2)+$Y$5*(_xlfn.SEQUENCE(1,$C29-1)*$O29)+$Z$5))</f>
        <v>0.68673630064708724</v>
      </c>
      <c r="W29" s="9">
        <f t="shared" si="8"/>
        <v>0.51134547778843087</v>
      </c>
      <c r="Y29" s="9">
        <v>21.93</v>
      </c>
      <c r="AC29" s="9">
        <f t="shared" si="9"/>
        <v>10.289661262505351</v>
      </c>
      <c r="AD29" s="10">
        <f t="shared" si="10"/>
        <v>8.1298185362106371E-3</v>
      </c>
    </row>
    <row r="30" spans="1:30" x14ac:dyDescent="0.25">
      <c r="A30" s="74"/>
      <c r="B30" t="s">
        <v>9</v>
      </c>
      <c r="C30">
        <v>2</v>
      </c>
      <c r="D30" s="17">
        <v>10</v>
      </c>
      <c r="E30">
        <v>0.9</v>
      </c>
      <c r="F30">
        <v>0.15</v>
      </c>
      <c r="G30">
        <v>40</v>
      </c>
      <c r="H30">
        <v>0.6</v>
      </c>
      <c r="I30" s="43">
        <v>1796.9909978533619</v>
      </c>
      <c r="J30">
        <f t="shared" si="0"/>
        <v>1145</v>
      </c>
      <c r="K30">
        <v>1492</v>
      </c>
      <c r="L30">
        <f t="shared" si="13"/>
        <v>10</v>
      </c>
      <c r="M30">
        <f t="shared" si="14"/>
        <v>357</v>
      </c>
      <c r="N30" s="11">
        <f t="shared" si="15"/>
        <v>0.23927613941018766</v>
      </c>
      <c r="O30">
        <f t="shared" si="16"/>
        <v>0.56999999999999995</v>
      </c>
      <c r="P30" s="37">
        <v>3.4071285456772702</v>
      </c>
      <c r="Q30" s="37">
        <f t="shared" si="11"/>
        <v>11.026164589351911</v>
      </c>
      <c r="R30">
        <v>13.19</v>
      </c>
      <c r="S30" s="4">
        <f t="shared" si="4"/>
        <v>2.537907505686126E-2</v>
      </c>
      <c r="T30" s="37">
        <f t="shared" si="5"/>
        <v>2.1638354106480886</v>
      </c>
      <c r="U30" s="4">
        <f t="shared" si="17"/>
        <v>0.16405120626596578</v>
      </c>
      <c r="V30" cm="1">
        <f t="array" ref="V30">SUM(($C30-_xlfn.SEQUENCE(1,$C30-1))/($W$5*((_xlfn.SEQUENCE(1,$C30-1)*$O30)^3)+$X$5*((_xlfn.SEQUENCE(1,$C30-1)*$O30)^2)+$Y$5*(_xlfn.SEQUENCE(1,$C30-1)*$O30)+$Z$5))</f>
        <v>0.68673630064708724</v>
      </c>
      <c r="W30">
        <f t="shared" si="8"/>
        <v>0.57603686635944706</v>
      </c>
      <c r="Y30" s="95">
        <v>17.73</v>
      </c>
      <c r="AC30">
        <f t="shared" si="9"/>
        <v>13.093641564382478</v>
      </c>
      <c r="AD30" s="4">
        <f t="shared" si="10"/>
        <v>7.3054158921547468E-3</v>
      </c>
    </row>
    <row r="31" spans="1:30" s="9" customFormat="1" x14ac:dyDescent="0.25">
      <c r="A31" s="74"/>
      <c r="B31" s="9" t="s">
        <v>9</v>
      </c>
      <c r="C31" s="9">
        <v>2</v>
      </c>
      <c r="D31" s="16">
        <v>11</v>
      </c>
      <c r="E31" s="9">
        <v>0.9</v>
      </c>
      <c r="F31" s="9">
        <v>0.15</v>
      </c>
      <c r="G31" s="9">
        <v>40</v>
      </c>
      <c r="H31" s="9">
        <v>0.6</v>
      </c>
      <c r="I31" s="42">
        <v>1904.119307340774</v>
      </c>
      <c r="J31" s="9">
        <f t="shared" si="0"/>
        <v>1213</v>
      </c>
      <c r="K31" s="9">
        <v>1515</v>
      </c>
      <c r="L31" s="9">
        <f t="shared" si="13"/>
        <v>10</v>
      </c>
      <c r="M31" s="9">
        <f t="shared" si="14"/>
        <v>312</v>
      </c>
      <c r="N31" s="10">
        <f t="shared" si="15"/>
        <v>0.20594059405940593</v>
      </c>
      <c r="O31" s="9">
        <f t="shared" si="16"/>
        <v>0.56999999999999995</v>
      </c>
      <c r="P31" s="36">
        <v>3.7177899383464439</v>
      </c>
      <c r="Q31" s="36">
        <f t="shared" si="11"/>
        <v>12.195263145470973</v>
      </c>
      <c r="R31" s="9">
        <v>14.409000000000001</v>
      </c>
      <c r="S31" s="10">
        <f t="shared" si="4"/>
        <v>2.5347005343882296E-2</v>
      </c>
      <c r="T31" s="36">
        <f t="shared" si="5"/>
        <v>2.2137368545290279</v>
      </c>
      <c r="U31" s="10">
        <f t="shared" si="17"/>
        <v>0.15363570369415142</v>
      </c>
      <c r="V31" s="9" cm="1">
        <f t="array" ref="V31">SUM(($C31-_xlfn.SEQUENCE(1,$C31-1))/($W$5*((_xlfn.SEQUENCE(1,$C31-1)*$O31)^3)+$X$5*((_xlfn.SEQUENCE(1,$C31-1)*$O31)^2)+$Y$5*(_xlfn.SEQUENCE(1,$C31-1)*$O31)+$Z$5))</f>
        <v>0.68673630064708724</v>
      </c>
      <c r="W31" s="9">
        <f t="shared" si="8"/>
        <v>0.5965586944732042</v>
      </c>
      <c r="Y31" s="9">
        <v>15.63</v>
      </c>
      <c r="AC31" s="9">
        <f t="shared" si="9"/>
        <v>14.287517542047848</v>
      </c>
      <c r="AD31" s="10">
        <f t="shared" si="10"/>
        <v>8.4310124194706751E-3</v>
      </c>
    </row>
    <row r="32" spans="1:30" x14ac:dyDescent="0.25">
      <c r="A32" s="74"/>
      <c r="B32" t="s">
        <v>9</v>
      </c>
      <c r="C32">
        <v>2</v>
      </c>
      <c r="D32" s="17">
        <v>12</v>
      </c>
      <c r="E32">
        <v>0.9</v>
      </c>
      <c r="F32">
        <v>0.15</v>
      </c>
      <c r="G32">
        <v>40</v>
      </c>
      <c r="H32">
        <v>0.6</v>
      </c>
      <c r="I32" s="43">
        <v>1998.052927683108</v>
      </c>
      <c r="J32">
        <f t="shared" si="0"/>
        <v>1273</v>
      </c>
      <c r="K32">
        <v>1579</v>
      </c>
      <c r="L32">
        <f t="shared" si="13"/>
        <v>10</v>
      </c>
      <c r="M32">
        <f t="shared" si="14"/>
        <v>316</v>
      </c>
      <c r="N32" s="11">
        <f t="shared" si="15"/>
        <v>0.20012666244458518</v>
      </c>
      <c r="O32">
        <f t="shared" si="16"/>
        <v>0.56999999999999995</v>
      </c>
      <c r="P32" s="37">
        <v>3.9854627551467412</v>
      </c>
      <c r="Q32" s="37">
        <f t="shared" si="11"/>
        <v>13.203010799062811</v>
      </c>
      <c r="R32">
        <v>15.468999999999999</v>
      </c>
      <c r="S32" s="4">
        <f t="shared" si="4"/>
        <v>2.532322709936001E-2</v>
      </c>
      <c r="T32" s="37">
        <f t="shared" si="5"/>
        <v>2.265989200937188</v>
      </c>
      <c r="U32" s="4">
        <f t="shared" si="17"/>
        <v>0.14648582332000698</v>
      </c>
      <c r="V32" cm="1">
        <f t="array" ref="V32">SUM(($C32-_xlfn.SEQUENCE(1,$C32-1))/($W$5*((_xlfn.SEQUENCE(1,$C32-1)*$O32)^3)+$X$5*((_xlfn.SEQUENCE(1,$C32-1)*$O32)^2)+$Y$5*(_xlfn.SEQUENCE(1,$C32-1)*$O32)+$Z$5))</f>
        <v>0.68673630064708724</v>
      </c>
      <c r="W32">
        <f t="shared" si="8"/>
        <v>0.61172472387425669</v>
      </c>
      <c r="Y32" s="95">
        <v>13.53</v>
      </c>
      <c r="AC32">
        <f t="shared" si="9"/>
        <v>15.316187835147993</v>
      </c>
      <c r="AD32" s="4">
        <f t="shared" si="10"/>
        <v>9.8786065584075683E-3</v>
      </c>
    </row>
    <row r="33" spans="1:30" s="9" customFormat="1" x14ac:dyDescent="0.25">
      <c r="A33" s="74"/>
      <c r="B33" s="9" t="s">
        <v>9</v>
      </c>
      <c r="C33" s="9">
        <v>2</v>
      </c>
      <c r="D33" s="16">
        <v>13</v>
      </c>
      <c r="E33" s="9">
        <v>0.9</v>
      </c>
      <c r="F33" s="9">
        <v>0.15</v>
      </c>
      <c r="G33" s="9">
        <v>40</v>
      </c>
      <c r="H33" s="9">
        <v>0.6</v>
      </c>
      <c r="I33" s="42">
        <v>2078.7918588803659</v>
      </c>
      <c r="J33" s="9">
        <f t="shared" si="0"/>
        <v>1324</v>
      </c>
      <c r="K33" s="9">
        <v>1631</v>
      </c>
      <c r="L33" s="9">
        <f t="shared" si="13"/>
        <v>10</v>
      </c>
      <c r="M33" s="9">
        <f t="shared" si="14"/>
        <v>317</v>
      </c>
      <c r="N33" s="10">
        <f t="shared" si="15"/>
        <v>0.19435928877988964</v>
      </c>
      <c r="O33" s="9">
        <f t="shared" si="16"/>
        <v>0.56999999999999995</v>
      </c>
      <c r="P33" s="36">
        <v>4.2070707609229636</v>
      </c>
      <c r="Q33" s="36">
        <f t="shared" si="11"/>
        <v>14.038082397193005</v>
      </c>
      <c r="R33" s="9">
        <v>16.312000000000001</v>
      </c>
      <c r="S33" s="10">
        <f t="shared" si="4"/>
        <v>2.5306522805296716E-2</v>
      </c>
      <c r="T33" s="36">
        <f t="shared" si="5"/>
        <v>2.2739176028069963</v>
      </c>
      <c r="U33" s="10">
        <f t="shared" si="17"/>
        <v>0.13940152052519594</v>
      </c>
      <c r="V33" s="9" cm="1">
        <f t="array" ref="V33">SUM(($C33-_xlfn.SEQUENCE(1,$C33-1))/($W$5*((_xlfn.SEQUENCE(1,$C33-1)*$O33)^3)+$X$5*((_xlfn.SEQUENCE(1,$C33-1)*$O33)^2)+$Y$5*(_xlfn.SEQUENCE(1,$C33-1)*$O33)+$Z$5))</f>
        <v>0.68673630064708724</v>
      </c>
      <c r="W33" s="9">
        <f t="shared" si="8"/>
        <v>0.62290368950646879</v>
      </c>
      <c r="Y33" s="9">
        <v>11.43</v>
      </c>
      <c r="AC33" s="9">
        <f t="shared" si="9"/>
        <v>16.167830429940281</v>
      </c>
      <c r="AD33" s="10">
        <f t="shared" si="10"/>
        <v>8.8382522106253119E-3</v>
      </c>
    </row>
    <row r="34" spans="1:30" x14ac:dyDescent="0.25">
      <c r="A34" s="74"/>
      <c r="B34" t="s">
        <v>9</v>
      </c>
      <c r="C34">
        <v>2</v>
      </c>
      <c r="D34" s="17">
        <v>14</v>
      </c>
      <c r="E34">
        <v>0.9</v>
      </c>
      <c r="F34">
        <v>0.15</v>
      </c>
      <c r="G34">
        <v>40</v>
      </c>
      <c r="H34">
        <v>0.6</v>
      </c>
      <c r="I34" s="43">
        <v>2146.3361009325472</v>
      </c>
      <c r="J34">
        <f t="shared" si="0"/>
        <v>1367</v>
      </c>
      <c r="K34" s="9">
        <v>1698</v>
      </c>
      <c r="L34">
        <f>ROUND($L$6*K34+$M$6, 0)</f>
        <v>11</v>
      </c>
      <c r="M34">
        <f>MAX(ABS(K34+L34-J34), ABS(K34-L34-J34))</f>
        <v>342</v>
      </c>
      <c r="N34" s="11">
        <f>M34/K34</f>
        <v>0.20141342756183744</v>
      </c>
      <c r="O34">
        <f>(H34-($J$5/1000))/(C34-1)</f>
        <v>0.56999999999999995</v>
      </c>
      <c r="P34" s="37">
        <v>4.3812484720633993</v>
      </c>
      <c r="Q34" s="37">
        <f t="shared" si="11"/>
        <v>14.696509535417755</v>
      </c>
      <c r="R34">
        <v>17.003</v>
      </c>
      <c r="S34" s="4">
        <f t="shared" si="4"/>
        <v>2.5294065753102397E-2</v>
      </c>
      <c r="T34" s="37">
        <f t="shared" si="5"/>
        <v>2.3064904645822448</v>
      </c>
      <c r="U34" s="4">
        <f>T34/R34</f>
        <v>0.13565197109817353</v>
      </c>
      <c r="V34" cm="1">
        <f t="array" ref="V34">SUM(($C34-_xlfn.SEQUENCE(1,$C34-1))/($W$5*((_xlfn.SEQUENCE(1,$C34-1)*$O34)^3)+$X$5*((_xlfn.SEQUENCE(1,$C34-1)*$O34)^2)+$Y$5*(_xlfn.SEQUENCE(1,$C34-1)*$O34)+$Z$5))</f>
        <v>0.68673630064708724</v>
      </c>
      <c r="W34">
        <f t="shared" si="8"/>
        <v>0.6311179804224627</v>
      </c>
      <c r="Y34" s="95">
        <v>9.33</v>
      </c>
      <c r="AC34">
        <f t="shared" si="9"/>
        <v>16.837197754243586</v>
      </c>
      <c r="AD34" s="4">
        <f t="shared" si="10"/>
        <v>9.7513524528855897E-3</v>
      </c>
    </row>
    <row r="35" spans="1:30" s="12" customFormat="1" x14ac:dyDescent="0.25">
      <c r="A35" s="75" t="s">
        <v>16</v>
      </c>
      <c r="B35" s="12" t="s">
        <v>9</v>
      </c>
      <c r="C35" s="20">
        <v>3</v>
      </c>
      <c r="D35" s="12">
        <v>9</v>
      </c>
      <c r="E35" s="12">
        <v>0.9</v>
      </c>
      <c r="F35" s="12">
        <v>0.15</v>
      </c>
      <c r="G35" s="12">
        <v>40</v>
      </c>
      <c r="H35" s="20" t="s">
        <v>42</v>
      </c>
      <c r="I35" s="40">
        <v>2515.0019988313088</v>
      </c>
      <c r="J35" s="12">
        <f t="shared" si="0"/>
        <v>1602</v>
      </c>
      <c r="K35" s="12">
        <v>1599</v>
      </c>
      <c r="L35" s="12">
        <f t="shared" si="2"/>
        <v>10</v>
      </c>
      <c r="M35" s="12">
        <f t="shared" si="3"/>
        <v>13</v>
      </c>
      <c r="N35" s="13">
        <f t="shared" ref="N35:N46" si="18">M35/K35</f>
        <v>8.130081300813009E-3</v>
      </c>
      <c r="O35" s="20">
        <f>((0.035 + 0.203 + 0.03 + 0.2 + 0.03)/2) - ((0.035+0.03)/2)</f>
        <v>0.2165</v>
      </c>
      <c r="P35" s="34">
        <v>3.05822330800792</v>
      </c>
      <c r="Q35" s="34">
        <f t="shared" si="11"/>
        <v>21.721469018237283</v>
      </c>
      <c r="R35" s="12">
        <v>26.87</v>
      </c>
      <c r="S35" s="13">
        <f t="shared" si="4"/>
        <v>7.1164867882396723E-3</v>
      </c>
      <c r="T35" s="34">
        <f t="shared" si="5"/>
        <v>5.1485309817627183</v>
      </c>
      <c r="U35" s="13">
        <f t="shared" si="6"/>
        <v>0.19160889399935682</v>
      </c>
      <c r="V35" s="12" cm="1">
        <f t="array" ref="V35">SUM(($C35-_xlfn.SEQUENCE(1,$C35-1))/($W$5*((_xlfn.SEQUENCE(1,$C35-1)*$O35)^3)+$X$5*((_xlfn.SEQUENCE(1,$C35-1)*$O35)^2)+$Y$5*(_xlfn.SEQUENCE(1,$C35-1)*$O35)+$Z$5))</f>
        <v>2.394079718669567</v>
      </c>
      <c r="W35" s="12">
        <f t="shared" si="8"/>
        <v>0.54837180962697185</v>
      </c>
      <c r="Y35" s="12">
        <f t="shared" ref="Y35:Y36" si="19">Y$9</f>
        <v>19.82</v>
      </c>
      <c r="AC35" s="12">
        <f t="shared" si="9"/>
        <v>28.823936854265309</v>
      </c>
      <c r="AD35" s="13">
        <f t="shared" si="10"/>
        <v>7.271815609472676E-2</v>
      </c>
    </row>
    <row r="36" spans="1:30" s="12" customFormat="1" x14ac:dyDescent="0.25">
      <c r="A36" s="75"/>
      <c r="B36" s="12" t="s">
        <v>9</v>
      </c>
      <c r="C36" s="12">
        <v>4</v>
      </c>
      <c r="D36" s="12">
        <v>9</v>
      </c>
      <c r="E36" s="12">
        <v>0.9</v>
      </c>
      <c r="F36" s="12">
        <v>0.15</v>
      </c>
      <c r="G36" s="12">
        <v>40</v>
      </c>
      <c r="H36" s="12">
        <v>0.8</v>
      </c>
      <c r="I36" s="40">
        <v>3353.3359984417448</v>
      </c>
      <c r="J36" s="12">
        <f t="shared" si="0"/>
        <v>2136</v>
      </c>
      <c r="K36" s="12">
        <v>1995</v>
      </c>
      <c r="L36" s="12">
        <f t="shared" si="2"/>
        <v>11</v>
      </c>
      <c r="M36" s="12">
        <f t="shared" si="3"/>
        <v>152</v>
      </c>
      <c r="N36" s="13">
        <f t="shared" si="18"/>
        <v>7.6190476190476197E-2</v>
      </c>
      <c r="O36" s="12">
        <f>((0.035 + 0.203 + 0.03 + 0.2 + 0.03 + 0.203 + 0.035)/3) - ((0.035+0.035)/2)</f>
        <v>0.21033333333333337</v>
      </c>
      <c r="P36" s="34">
        <v>3.05822330800792</v>
      </c>
      <c r="Q36" s="34">
        <f t="shared" si="11"/>
        <v>36.584368593100329</v>
      </c>
      <c r="R36" s="12">
        <v>46.91</v>
      </c>
      <c r="S36" s="13">
        <f t="shared" si="4"/>
        <v>6.6395224898742273E-3</v>
      </c>
      <c r="T36" s="34">
        <f t="shared" si="5"/>
        <v>10.325631406899667</v>
      </c>
      <c r="U36" s="13">
        <f t="shared" si="6"/>
        <v>0.22011578356213318</v>
      </c>
      <c r="V36" s="12" cm="1">
        <f t="array" ref="V36">SUM(($C36-_xlfn.SEQUENCE(1,$C36-1))/($W$5*((_xlfn.SEQUENCE(1,$C36-1)*$O36)^3)+$X$5*((_xlfn.SEQUENCE(1,$C36-1)*$O36)^2)+$Y$5*(_xlfn.SEQUENCE(1,$C36-1)*$O36)+$Z$5))</f>
        <v>4.646553502917194</v>
      </c>
      <c r="W36" s="12">
        <f t="shared" si="8"/>
        <v>0.54837180962697185</v>
      </c>
      <c r="Y36" s="12">
        <f t="shared" si="19"/>
        <v>19.82</v>
      </c>
      <c r="AC36" s="12">
        <f t="shared" si="9"/>
        <v>50.369204806153647</v>
      </c>
      <c r="AD36" s="13">
        <f t="shared" si="10"/>
        <v>7.3741309020542545E-2</v>
      </c>
    </row>
    <row r="37" spans="1:30" s="14" customFormat="1" x14ac:dyDescent="0.25">
      <c r="A37" s="75"/>
      <c r="B37" s="19" t="s">
        <v>8</v>
      </c>
      <c r="C37" s="14">
        <v>4</v>
      </c>
      <c r="D37" s="14">
        <v>9</v>
      </c>
      <c r="E37" s="14">
        <v>0.9</v>
      </c>
      <c r="F37" s="14">
        <v>0.15</v>
      </c>
      <c r="G37" s="14">
        <v>40</v>
      </c>
      <c r="H37" s="14">
        <v>0.8</v>
      </c>
      <c r="I37" s="39">
        <v>4420.8000000000011</v>
      </c>
      <c r="J37" s="14">
        <f t="shared" si="0"/>
        <v>2816</v>
      </c>
      <c r="K37" s="14">
        <v>2599</v>
      </c>
      <c r="L37" s="14">
        <f t="shared" si="2"/>
        <v>11</v>
      </c>
      <c r="M37" s="14">
        <f t="shared" si="3"/>
        <v>228</v>
      </c>
      <c r="N37" s="15">
        <f t="shared" si="18"/>
        <v>8.7726048480184685E-2</v>
      </c>
      <c r="O37" s="14">
        <f>O36</f>
        <v>0.21033333333333337</v>
      </c>
      <c r="P37" s="33">
        <v>3.945289900687476</v>
      </c>
      <c r="Q37" s="33">
        <f t="shared" si="11"/>
        <v>47.196010688769832</v>
      </c>
      <c r="R37" s="14">
        <v>59.38</v>
      </c>
      <c r="S37" s="15">
        <f t="shared" si="4"/>
        <v>6.505220613001011E-3</v>
      </c>
      <c r="T37" s="33">
        <f t="shared" si="5"/>
        <v>12.183989311230171</v>
      </c>
      <c r="U37" s="15">
        <f t="shared" si="6"/>
        <v>0.2051867516205822</v>
      </c>
      <c r="V37" s="14" cm="1">
        <f t="array" ref="V37">SUM(($C37-_xlfn.SEQUENCE(1,$C37-1))/($W$5*((_xlfn.SEQUENCE(1,$C37-1)*$O37)^3)+$X$5*((_xlfn.SEQUENCE(1,$C37-1)*$O37)^2)+$Y$5*(_xlfn.SEQUENCE(1,$C37-1)*$O37)+$Z$5))</f>
        <v>4.646553502917194</v>
      </c>
      <c r="W37" s="14">
        <f t="shared" si="8"/>
        <v>0.54837180962697185</v>
      </c>
      <c r="Y37" s="14">
        <f>Y$8</f>
        <v>21.4</v>
      </c>
      <c r="AC37" s="14">
        <f t="shared" si="9"/>
        <v>64.979269011202774</v>
      </c>
      <c r="AD37" s="15">
        <f t="shared" si="10"/>
        <v>9.4295537406580865E-2</v>
      </c>
    </row>
    <row r="38" spans="1:30" s="5" customFormat="1" x14ac:dyDescent="0.25">
      <c r="A38" s="75"/>
      <c r="B38" s="5" t="s">
        <v>9</v>
      </c>
      <c r="C38" s="5">
        <v>4</v>
      </c>
      <c r="D38" s="21">
        <v>6</v>
      </c>
      <c r="E38" s="5">
        <v>0.9</v>
      </c>
      <c r="F38" s="5">
        <v>0.15</v>
      </c>
      <c r="G38" s="5">
        <v>40</v>
      </c>
      <c r="H38" s="5">
        <v>0.8</v>
      </c>
      <c r="I38" s="44">
        <v>2473.061736905885</v>
      </c>
      <c r="J38" s="5">
        <f t="shared" si="0"/>
        <v>1575</v>
      </c>
      <c r="K38" s="5">
        <v>1469</v>
      </c>
      <c r="L38" s="5">
        <f t="shared" si="2"/>
        <v>10</v>
      </c>
      <c r="M38" s="5">
        <f t="shared" si="3"/>
        <v>116</v>
      </c>
      <c r="N38" s="6">
        <f t="shared" si="18"/>
        <v>7.8965282505105511E-2</v>
      </c>
      <c r="O38" s="5">
        <f>O36</f>
        <v>0.21033333333333337</v>
      </c>
      <c r="P38" s="38">
        <v>1.855169938334563</v>
      </c>
      <c r="Q38" s="38">
        <f t="shared" si="11"/>
        <v>18.186293288428764</v>
      </c>
      <c r="R38" s="5">
        <v>28.22</v>
      </c>
      <c r="S38" s="6">
        <f t="shared" si="4"/>
        <v>7.0630758327427361E-3</v>
      </c>
      <c r="T38" s="38">
        <f t="shared" si="5"/>
        <v>10.033706711571234</v>
      </c>
      <c r="U38" s="6">
        <f t="shared" si="6"/>
        <v>0.35555303726333221</v>
      </c>
      <c r="V38" s="5" cm="1">
        <f t="array" ref="V38">SUM(($C38-_xlfn.SEQUENCE(1,$C38-1))/($W$5*((_xlfn.SEQUENCE(1,$C38-1)*$O38)^3)+$X$5*((_xlfn.SEQUENCE(1,$C38-1)*$O38)^2)+$Y$5*(_xlfn.SEQUENCE(1,$C38-1)*$O38)+$Z$5))</f>
        <v>4.646553502917194</v>
      </c>
      <c r="W38" s="5">
        <f t="shared" si="8"/>
        <v>0.39964476021314388</v>
      </c>
      <c r="Y38" s="5">
        <f>Y16</f>
        <v>26.12</v>
      </c>
      <c r="AC38" s="5">
        <f t="shared" si="9"/>
        <v>30.554810804532341</v>
      </c>
      <c r="AD38" s="6">
        <f t="shared" si="10"/>
        <v>8.2736031344165212E-2</v>
      </c>
    </row>
    <row r="39" spans="1:30" s="12" customFormat="1" x14ac:dyDescent="0.25">
      <c r="A39" s="75"/>
      <c r="B39" s="12" t="s">
        <v>9</v>
      </c>
      <c r="C39" s="20">
        <v>2</v>
      </c>
      <c r="D39" s="12">
        <v>9</v>
      </c>
      <c r="E39" s="12">
        <v>0.9</v>
      </c>
      <c r="F39" s="20">
        <v>0.3</v>
      </c>
      <c r="G39" s="12">
        <v>40</v>
      </c>
      <c r="H39" s="20" t="s">
        <v>43</v>
      </c>
      <c r="I39" s="40">
        <v>1676.6679992208731</v>
      </c>
      <c r="J39" s="12">
        <f t="shared" ref="J39:J46" si="20">ROUND(1000 * $J$4*(I39/1000) / (($J$5/1000000) * (E39/1000)), 0)</f>
        <v>1068</v>
      </c>
      <c r="K39" s="12">
        <v>822</v>
      </c>
      <c r="L39" s="12">
        <f t="shared" ref="L39:L46" si="21">ROUND($L$6*K39+$M$6, 0)</f>
        <v>10</v>
      </c>
      <c r="M39" s="12">
        <f t="shared" ref="M39:M46" si="22">MAX(ABS(K39+L39-J39), ABS(K39-L39-J39))</f>
        <v>256</v>
      </c>
      <c r="N39" s="13">
        <f t="shared" si="18"/>
        <v>0.31143552311435524</v>
      </c>
      <c r="O39" s="20">
        <f>(0.035 + 0.203 + 0.03 + 0.2 + 0.03 + 0.203 + 0.035) - ((0.035+0.035)/2)</f>
        <v>0.70100000000000007</v>
      </c>
      <c r="P39" s="34">
        <f>P$20</f>
        <v>2.688808608987256</v>
      </c>
      <c r="Q39" s="34">
        <f t="shared" si="11"/>
        <v>8.3812695839795541</v>
      </c>
      <c r="R39" s="20">
        <v>10.23</v>
      </c>
      <c r="S39" s="13">
        <f t="shared" si="4"/>
        <v>2.5488758553274683E-2</v>
      </c>
      <c r="T39" s="34">
        <f t="shared" si="5"/>
        <v>1.8487304160204463</v>
      </c>
      <c r="U39" s="13">
        <f t="shared" ref="U39:U46" si="23">T39/R39</f>
        <v>0.18071656070581096</v>
      </c>
      <c r="V39" s="12" cm="1">
        <f t="array" ref="V39">SUM(($C39-_xlfn.SEQUENCE(1,$C39-1))/($W$5*((_xlfn.SEQUENCE(1,$C39-1)*$O39)^3)+$X$5*((_xlfn.SEQUENCE(1,$C39-1)*$O39)^2)+$Y$5*(_xlfn.SEQUENCE(1,$C39-1)*$O39)+$Z$5))</f>
        <v>0.65187546394298146</v>
      </c>
      <c r="W39" s="12">
        <f t="shared" si="8"/>
        <v>0.54837180962697185</v>
      </c>
      <c r="Y39" s="12">
        <f t="shared" ref="Y39:Y43" si="24">Y$9</f>
        <v>19.82</v>
      </c>
      <c r="AC39" s="12">
        <f t="shared" si="9"/>
        <v>10.081571323089973</v>
      </c>
      <c r="AD39" s="13">
        <f t="shared" si="10"/>
        <v>1.4509157078204065E-2</v>
      </c>
    </row>
    <row r="40" spans="1:30" s="12" customFormat="1" x14ac:dyDescent="0.25">
      <c r="A40" s="75"/>
      <c r="B40" s="12" t="s">
        <v>9</v>
      </c>
      <c r="C40" s="20">
        <v>2</v>
      </c>
      <c r="D40" s="12">
        <v>9</v>
      </c>
      <c r="E40" s="12">
        <v>0.9</v>
      </c>
      <c r="F40" s="20">
        <v>0.3</v>
      </c>
      <c r="G40" s="12">
        <v>40</v>
      </c>
      <c r="H40" s="20" t="s">
        <v>44</v>
      </c>
      <c r="I40" s="40">
        <v>1676.6679992208731</v>
      </c>
      <c r="J40" s="12">
        <f t="shared" si="20"/>
        <v>1068</v>
      </c>
      <c r="K40" s="12">
        <v>1003</v>
      </c>
      <c r="L40" s="12">
        <f t="shared" si="21"/>
        <v>10</v>
      </c>
      <c r="M40" s="12">
        <f t="shared" si="22"/>
        <v>75</v>
      </c>
      <c r="N40" s="13">
        <f t="shared" si="18"/>
        <v>7.4775672981056834E-2</v>
      </c>
      <c r="O40" s="20">
        <f>0.035 + 0.203 + 0.03 + 0.2 + 0.03 - ((0.035+0.03)/2)</f>
        <v>0.46550000000000002</v>
      </c>
      <c r="P40" s="34">
        <f t="shared" ref="P40:P42" si="25">P$20</f>
        <v>2.688808608987256</v>
      </c>
      <c r="Q40" s="34">
        <f t="shared" si="11"/>
        <v>8.6949343008220836</v>
      </c>
      <c r="R40" s="20">
        <v>10.414999999999999</v>
      </c>
      <c r="S40" s="13">
        <f t="shared" si="4"/>
        <v>2.5480076812289965E-2</v>
      </c>
      <c r="T40" s="34">
        <f t="shared" si="5"/>
        <v>1.7200656991779155</v>
      </c>
      <c r="U40" s="13">
        <f t="shared" si="23"/>
        <v>0.16515273155812921</v>
      </c>
      <c r="V40" s="12" cm="1">
        <f t="array" ref="V40">SUM(($C40-_xlfn.SEQUENCE(1,$C40-1))/($W$5*((_xlfn.SEQUENCE(1,$C40-1)*$O40)^3)+$X$5*((_xlfn.SEQUENCE(1,$C40-1)*$O40)^2)+$Y$5*(_xlfn.SEQUENCE(1,$C40-1)*$O40)+$Z$5))</f>
        <v>0.71994936461419023</v>
      </c>
      <c r="W40" s="12">
        <f t="shared" si="8"/>
        <v>0.54837180962697185</v>
      </c>
      <c r="Y40" s="12">
        <f t="shared" si="24"/>
        <v>19.82</v>
      </c>
      <c r="AC40" s="12">
        <f t="shared" si="9"/>
        <v>10.572794757972257</v>
      </c>
      <c r="AD40" s="13">
        <f t="shared" si="10"/>
        <v>1.5150720880677704E-2</v>
      </c>
    </row>
    <row r="41" spans="1:30" s="12" customFormat="1" x14ac:dyDescent="0.25">
      <c r="A41" s="75"/>
      <c r="B41" s="12" t="s">
        <v>9</v>
      </c>
      <c r="C41" s="20">
        <v>2</v>
      </c>
      <c r="D41" s="12">
        <v>9</v>
      </c>
      <c r="E41" s="12">
        <v>0.9</v>
      </c>
      <c r="F41" s="20">
        <v>0.3</v>
      </c>
      <c r="G41" s="12">
        <v>40</v>
      </c>
      <c r="H41" s="20" t="s">
        <v>45</v>
      </c>
      <c r="I41" s="40">
        <v>1676.6679992208731</v>
      </c>
      <c r="J41" s="12">
        <f t="shared" si="20"/>
        <v>1068</v>
      </c>
      <c r="K41" s="12">
        <v>1138</v>
      </c>
      <c r="L41" s="12">
        <f t="shared" si="21"/>
        <v>10</v>
      </c>
      <c r="M41" s="12">
        <f t="shared" si="22"/>
        <v>80</v>
      </c>
      <c r="N41" s="13">
        <f t="shared" si="18"/>
        <v>7.0298769771529004E-2</v>
      </c>
      <c r="O41" s="20">
        <f>0.03 + 0.2 + 0.03 - ((0.03+0.03)/2)</f>
        <v>0.23</v>
      </c>
      <c r="P41" s="34">
        <f t="shared" si="25"/>
        <v>2.688808608987256</v>
      </c>
      <c r="Q41" s="34">
        <f t="shared" si="11"/>
        <v>9.1724494112451715</v>
      </c>
      <c r="R41" s="20">
        <v>10.583</v>
      </c>
      <c r="S41" s="13">
        <f t="shared" si="4"/>
        <v>2.5472455825380328E-2</v>
      </c>
      <c r="T41" s="34">
        <f t="shared" si="5"/>
        <v>1.4105505887548286</v>
      </c>
      <c r="U41" s="13">
        <f t="shared" si="23"/>
        <v>0.13328456853017373</v>
      </c>
      <c r="V41" s="12" cm="1">
        <f t="array" ref="V41">SUM(($C41-_xlfn.SEQUENCE(1,$C41-1))/($W$5*((_xlfn.SEQUENCE(1,$C41-1)*$O41)^3)+$X$5*((_xlfn.SEQUENCE(1,$C41-1)*$O41)^2)+$Y$5*(_xlfn.SEQUENCE(1,$C41-1)*$O41)+$Z$5))</f>
        <v>0.82358332294767322</v>
      </c>
      <c r="W41" s="12">
        <f t="shared" si="8"/>
        <v>0.54837180962697185</v>
      </c>
      <c r="Y41" s="12">
        <f t="shared" si="24"/>
        <v>19.82</v>
      </c>
      <c r="AC41" s="12">
        <f t="shared" si="9"/>
        <v>11.320620701264383</v>
      </c>
      <c r="AD41" s="13">
        <f t="shared" si="10"/>
        <v>6.9698639446695937E-2</v>
      </c>
    </row>
    <row r="42" spans="1:30" s="12" customFormat="1" x14ac:dyDescent="0.25">
      <c r="A42" s="75"/>
      <c r="B42" s="12" t="s">
        <v>9</v>
      </c>
      <c r="C42" s="20">
        <v>2</v>
      </c>
      <c r="D42" s="12">
        <v>9</v>
      </c>
      <c r="E42" s="12">
        <v>0.9</v>
      </c>
      <c r="F42" s="20">
        <v>0.3</v>
      </c>
      <c r="G42" s="12">
        <v>40</v>
      </c>
      <c r="H42" s="20" t="s">
        <v>47</v>
      </c>
      <c r="I42" s="40">
        <v>1676.6679992208731</v>
      </c>
      <c r="J42" s="12">
        <f t="shared" si="20"/>
        <v>1068</v>
      </c>
      <c r="K42" s="12">
        <v>984</v>
      </c>
      <c r="L42" s="12">
        <f t="shared" si="21"/>
        <v>10</v>
      </c>
      <c r="M42" s="12">
        <f t="shared" si="22"/>
        <v>94</v>
      </c>
      <c r="N42" s="13">
        <f t="shared" si="18"/>
        <v>9.5528455284552852E-2</v>
      </c>
      <c r="O42" s="20">
        <f>0.035 + 0.203 + 0.03 - ((0.035+0.03)/2)</f>
        <v>0.23550000000000001</v>
      </c>
      <c r="P42" s="34">
        <f t="shared" si="25"/>
        <v>2.688808608987256</v>
      </c>
      <c r="Q42" s="34">
        <f t="shared" si="11"/>
        <v>9.1583461865867211</v>
      </c>
      <c r="R42" s="20">
        <v>10.611000000000001</v>
      </c>
      <c r="S42" s="13">
        <f t="shared" si="4"/>
        <v>2.5471209122608616E-2</v>
      </c>
      <c r="T42" s="34">
        <f t="shared" si="5"/>
        <v>1.4526538134132796</v>
      </c>
      <c r="U42" s="13">
        <f t="shared" si="23"/>
        <v>0.13690074577450564</v>
      </c>
      <c r="V42" s="12" cm="1">
        <f t="array" ref="V42">SUM(($C42-_xlfn.SEQUENCE(1,$C42-1))/($W$5*((_xlfn.SEQUENCE(1,$C42-1)*$O42)^3)+$X$5*((_xlfn.SEQUENCE(1,$C42-1)*$O42)^2)+$Y$5*(_xlfn.SEQUENCE(1,$C42-1)*$O42)+$Z$5))</f>
        <v>0.82052253394912944</v>
      </c>
      <c r="W42" s="12">
        <f t="shared" si="8"/>
        <v>0.54837180962697185</v>
      </c>
      <c r="Y42" s="12">
        <f t="shared" si="24"/>
        <v>19.82</v>
      </c>
      <c r="AC42" s="12">
        <f t="shared" si="9"/>
        <v>11.298533950387911</v>
      </c>
      <c r="AD42" s="13">
        <f t="shared" si="10"/>
        <v>6.4794453905184304E-2</v>
      </c>
    </row>
    <row r="43" spans="1:30" s="12" customFormat="1" ht="15" customHeight="1" x14ac:dyDescent="0.25">
      <c r="A43" s="75"/>
      <c r="B43" s="12" t="s">
        <v>9</v>
      </c>
      <c r="C43" s="20">
        <v>3</v>
      </c>
      <c r="D43" s="12">
        <v>9</v>
      </c>
      <c r="E43" s="12">
        <v>0.9</v>
      </c>
      <c r="F43" s="12">
        <v>0.15</v>
      </c>
      <c r="G43" s="12">
        <v>40</v>
      </c>
      <c r="H43" s="20" t="s">
        <v>46</v>
      </c>
      <c r="I43" s="40">
        <v>2515.0019988313088</v>
      </c>
      <c r="J43" s="12">
        <f t="shared" si="20"/>
        <v>1602</v>
      </c>
      <c r="K43" s="12">
        <v>1447</v>
      </c>
      <c r="L43" s="12">
        <f t="shared" si="21"/>
        <v>10</v>
      </c>
      <c r="M43" s="12">
        <f t="shared" si="22"/>
        <v>165</v>
      </c>
      <c r="N43" s="13">
        <f t="shared" si="18"/>
        <v>0.11402902557014513</v>
      </c>
      <c r="O43" s="20" t="s">
        <v>48</v>
      </c>
      <c r="P43" s="34">
        <v>3.05822330800792</v>
      </c>
      <c r="Q43" s="12" t="e">
        <f t="shared" si="11"/>
        <v>#VALUE!</v>
      </c>
      <c r="R43" s="20">
        <v>26.53</v>
      </c>
      <c r="S43" s="13">
        <f t="shared" si="4"/>
        <v>7.1307953260459859E-3</v>
      </c>
      <c r="T43" s="34" t="e">
        <f t="shared" si="5"/>
        <v>#VALUE!</v>
      </c>
      <c r="U43" s="13" t="e">
        <f t="shared" si="23"/>
        <v>#VALUE!</v>
      </c>
      <c r="V43" s="12" t="e" cm="1">
        <f t="array" ref="V43">SUM(($C43-_xlfn.SEQUENCE(1,$C43-1))/($W$5*((_xlfn.SEQUENCE(1,$C43-1)*$O43)^3)+$X$5*((_xlfn.SEQUENCE(1,$C43-1)*$O43)^2)+$Y$5*(_xlfn.SEQUENCE(1,$C43-1)*$O43)+$Z$5))</f>
        <v>#VALUE!</v>
      </c>
      <c r="Y43" s="12">
        <f t="shared" si="24"/>
        <v>19.82</v>
      </c>
      <c r="AD43" s="13"/>
    </row>
    <row r="44" spans="1:30" s="5" customFormat="1" x14ac:dyDescent="0.25">
      <c r="A44" s="75"/>
      <c r="B44" s="5" t="s">
        <v>9</v>
      </c>
      <c r="C44" s="5">
        <v>4</v>
      </c>
      <c r="D44" s="31">
        <v>9</v>
      </c>
      <c r="E44" s="21">
        <v>0.4</v>
      </c>
      <c r="F44" s="21">
        <v>0.1</v>
      </c>
      <c r="G44" s="21">
        <v>12</v>
      </c>
      <c r="H44" s="5">
        <v>0.8</v>
      </c>
      <c r="I44" s="44">
        <v>802.99</v>
      </c>
      <c r="J44" s="5">
        <f t="shared" si="20"/>
        <v>1151</v>
      </c>
      <c r="K44" s="5">
        <v>1170</v>
      </c>
      <c r="L44" s="5">
        <f t="shared" si="21"/>
        <v>10</v>
      </c>
      <c r="M44" s="5">
        <f t="shared" si="22"/>
        <v>29</v>
      </c>
      <c r="N44" s="6">
        <f t="shared" si="18"/>
        <v>2.4786324786324785E-2</v>
      </c>
      <c r="O44" s="5">
        <f>O36</f>
        <v>0.21033333333333337</v>
      </c>
      <c r="P44" s="38">
        <v>0.50900000000000001</v>
      </c>
      <c r="Q44" s="5">
        <f t="shared" si="11"/>
        <v>6.0889744594935395</v>
      </c>
      <c r="R44" s="21">
        <v>7.1719999999999997</v>
      </c>
      <c r="S44" s="6">
        <f t="shared" si="4"/>
        <v>2.569715560513107E-2</v>
      </c>
      <c r="T44" s="38">
        <f t="shared" si="5"/>
        <v>1.0830255405064602</v>
      </c>
      <c r="U44" s="6">
        <f t="shared" si="23"/>
        <v>0.15100746521283606</v>
      </c>
      <c r="V44" s="5" cm="1">
        <f t="array" ref="V44">SUM(($C44-_xlfn.SEQUENCE(1,$C44-1))/($W$5*((_xlfn.SEQUENCE(1,$C44-1)*$O44)^3)+$X$5*((_xlfn.SEQUENCE(1,$C44-1)*$O44)^2)+$Y$5*(_xlfn.SEQUENCE(1,$C44-1)*$O44)+$Z$5))</f>
        <v>4.646553502917194</v>
      </c>
      <c r="W44" s="5">
        <f>($D44^2)/($AA$5*($D44^2)+$AB$5*$D44+$AC$5)</f>
        <v>0.54837180962697185</v>
      </c>
      <c r="Y44" s="5">
        <v>2.4500000000000002</v>
      </c>
      <c r="AC44" s="5">
        <f>P44*(C44+2*V44*$AD$6)</f>
        <v>8.3832744257751273</v>
      </c>
      <c r="AD44" s="6">
        <f>ABS(R44-AC44)/R44</f>
        <v>0.16888935105620853</v>
      </c>
    </row>
    <row r="45" spans="1:30" s="5" customFormat="1" x14ac:dyDescent="0.25">
      <c r="A45" s="75"/>
      <c r="B45" s="21" t="s">
        <v>8</v>
      </c>
      <c r="C45" s="5">
        <v>4</v>
      </c>
      <c r="D45" s="31">
        <v>9</v>
      </c>
      <c r="E45" s="21">
        <v>0.4</v>
      </c>
      <c r="F45" s="21">
        <v>0.1</v>
      </c>
      <c r="G45" s="21">
        <v>12</v>
      </c>
      <c r="H45" s="5">
        <v>0.8</v>
      </c>
      <c r="I45" s="44">
        <v>1094.4000000000001</v>
      </c>
      <c r="J45" s="5">
        <f t="shared" si="20"/>
        <v>1569</v>
      </c>
      <c r="K45" s="5">
        <v>1590</v>
      </c>
      <c r="L45" s="5">
        <f t="shared" si="21"/>
        <v>10</v>
      </c>
      <c r="M45" s="5">
        <f t="shared" si="22"/>
        <v>31</v>
      </c>
      <c r="N45" s="6">
        <f t="shared" si="18"/>
        <v>1.9496855345911949E-2</v>
      </c>
      <c r="O45" s="5">
        <f>O36</f>
        <v>0.21033333333333337</v>
      </c>
      <c r="P45" s="38">
        <v>0.69799999999999995</v>
      </c>
      <c r="Q45" s="5">
        <f t="shared" si="11"/>
        <v>8.3499099660638318</v>
      </c>
      <c r="R45" s="21">
        <v>9.5670000000000002</v>
      </c>
      <c r="S45" s="6">
        <f t="shared" si="4"/>
        <v>2.5522629873523574E-2</v>
      </c>
      <c r="T45" s="38">
        <f t="shared" si="5"/>
        <v>1.2170900339361683</v>
      </c>
      <c r="U45" s="6">
        <f t="shared" si="23"/>
        <v>0.12721752210057158</v>
      </c>
      <c r="V45" s="5" cm="1">
        <f t="array" ref="V45">SUM(($C45-_xlfn.SEQUENCE(1,$C45-1))/($W$5*((_xlfn.SEQUENCE(1,$C45-1)*$O45)^3)+$X$5*((_xlfn.SEQUENCE(1,$C45-1)*$O45)^2)+$Y$5*(_xlfn.SEQUENCE(1,$C45-1)*$O45)+$Z$5))</f>
        <v>4.646553502917194</v>
      </c>
      <c r="W45" s="5">
        <f>($D45^2)/($AA$5*($D45^2)+$AB$5*$D45+$AC$5)</f>
        <v>0.54837180962697185</v>
      </c>
      <c r="Y45" s="5">
        <v>3.2</v>
      </c>
      <c r="AC45" s="5">
        <f>P45*(C45+2*V45*$AD$6)</f>
        <v>11.49612092178986</v>
      </c>
      <c r="AD45" s="6">
        <f>ABS(R45-AC45)/R45</f>
        <v>0.20164324467334166</v>
      </c>
    </row>
    <row r="46" spans="1:30" s="5" customFormat="1" ht="15" hidden="1" customHeight="1" x14ac:dyDescent="0.25">
      <c r="A46" s="75"/>
      <c r="B46" s="5" t="s">
        <v>41</v>
      </c>
      <c r="C46" s="5">
        <v>4</v>
      </c>
      <c r="D46" s="31">
        <v>9</v>
      </c>
      <c r="E46" s="21">
        <v>0.4</v>
      </c>
      <c r="F46" s="21">
        <v>0.1</v>
      </c>
      <c r="G46" s="21">
        <v>12</v>
      </c>
      <c r="H46" s="5">
        <v>0.8</v>
      </c>
      <c r="I46" s="44">
        <v>1328.14</v>
      </c>
      <c r="J46" s="5">
        <f t="shared" si="20"/>
        <v>1904</v>
      </c>
      <c r="K46" s="5">
        <v>1880</v>
      </c>
      <c r="L46" s="5">
        <f t="shared" si="21"/>
        <v>11</v>
      </c>
      <c r="M46" s="5">
        <f t="shared" si="22"/>
        <v>35</v>
      </c>
      <c r="N46" s="6">
        <f t="shared" si="18"/>
        <v>1.8617021276595744E-2</v>
      </c>
      <c r="O46" s="5">
        <f>(H46-($J$5/1000))/(C46-1)</f>
        <v>0.25666666666666665</v>
      </c>
      <c r="P46" s="38"/>
      <c r="R46" s="5">
        <v>10.622999999999999</v>
      </c>
      <c r="S46" s="6">
        <f t="shared" si="4"/>
        <v>2.5470676833286267E-2</v>
      </c>
      <c r="T46" s="38">
        <f t="shared" si="5"/>
        <v>10.622999999999999</v>
      </c>
      <c r="U46" s="6">
        <f t="shared" si="23"/>
        <v>1</v>
      </c>
      <c r="V46" s="5" cm="1">
        <f t="array" ref="V46">SUM(($C46-_xlfn.SEQUENCE(1,$C46))/($W$5*((_xlfn.SEQUENCE(1,$C46)*$O46)^3)+$X$5*((_xlfn.SEQUENCE(1,$C46)*$O46)^2)+$Y$5*(_xlfn.SEQUENCE(1,$C46)*$O46)+$Z$5))</f>
        <v>4.4710916830367555</v>
      </c>
      <c r="W46" s="5">
        <f>($D46^2)/($AA$5*($D46^2)+$AB$5*$D46+$AC$5)</f>
        <v>0.54837180962697185</v>
      </c>
      <c r="AA46" s="6"/>
    </row>
    <row r="50" spans="1:27" s="26" customFormat="1" ht="30" hidden="1" customHeight="1" outlineLevel="1" x14ac:dyDescent="0.25">
      <c r="C50" s="24" t="str">
        <f>C$7</f>
        <v>Layers:</v>
      </c>
    </row>
    <row r="51" spans="1:27" hidden="1" outlineLevel="1" x14ac:dyDescent="0.25">
      <c r="A51" s="50" t="str">
        <f>A$11</f>
        <v>2-layer PCB</v>
      </c>
      <c r="B51" s="12" t="str" cm="1">
        <f t="array" ref="B51:W51">B12:W12</f>
        <v>Circular</v>
      </c>
      <c r="C51" s="20">
        <v>1</v>
      </c>
      <c r="D51">
        <v>9</v>
      </c>
      <c r="E51">
        <v>0.9</v>
      </c>
      <c r="F51">
        <v>0.15</v>
      </c>
      <c r="G51">
        <v>40</v>
      </c>
      <c r="H51">
        <v>0.6</v>
      </c>
      <c r="I51">
        <v>838.33399961043631</v>
      </c>
      <c r="J51">
        <v>534</v>
      </c>
      <c r="K51">
        <v>538</v>
      </c>
      <c r="L51">
        <v>10</v>
      </c>
      <c r="M51">
        <v>14</v>
      </c>
      <c r="N51" s="4">
        <v>2.6022304832713755E-2</v>
      </c>
      <c r="O51">
        <v>0</v>
      </c>
      <c r="P51">
        <v>3.05822330800792</v>
      </c>
      <c r="Q51">
        <v>3.05822330800792</v>
      </c>
      <c r="R51">
        <v>3.0990000000000002</v>
      </c>
      <c r="S51" s="11">
        <v>2.6613423685059701E-2</v>
      </c>
      <c r="T51">
        <v>4.0776691992080227E-2</v>
      </c>
      <c r="U51" s="11">
        <v>1.3158016131681259E-2</v>
      </c>
      <c r="V51" s="17">
        <v>0</v>
      </c>
      <c r="W51">
        <v>0</v>
      </c>
      <c r="AA51" s="46"/>
    </row>
    <row r="52" spans="1:27" hidden="1" outlineLevel="1" x14ac:dyDescent="0.25">
      <c r="A52" s="67" t="str">
        <f>A$35</f>
        <v>4-layer PCB</v>
      </c>
      <c r="B52" s="12" t="str" cm="1">
        <f t="array" ref="B52:W52">B42:W42</f>
        <v>Circular</v>
      </c>
      <c r="C52" s="20">
        <v>2</v>
      </c>
      <c r="D52">
        <v>9</v>
      </c>
      <c r="E52">
        <v>0.9</v>
      </c>
      <c r="F52">
        <v>0.3</v>
      </c>
      <c r="G52">
        <v>40</v>
      </c>
      <c r="H52" t="str">
        <v>(top_in1)0,8</v>
      </c>
      <c r="I52">
        <v>1676.6679992208731</v>
      </c>
      <c r="J52">
        <v>1068</v>
      </c>
      <c r="K52">
        <v>984</v>
      </c>
      <c r="L52">
        <v>10</v>
      </c>
      <c r="M52">
        <v>94</v>
      </c>
      <c r="N52" s="4">
        <v>9.5528455284552852E-2</v>
      </c>
      <c r="O52">
        <v>0.23550000000000001</v>
      </c>
      <c r="P52">
        <v>2.688808608987256</v>
      </c>
      <c r="Q52">
        <v>9.1583461865867211</v>
      </c>
      <c r="R52">
        <v>10.611000000000001</v>
      </c>
      <c r="S52" s="11">
        <v>2.5471209122608616E-2</v>
      </c>
      <c r="T52">
        <v>1.4526538134132796</v>
      </c>
      <c r="U52" s="11">
        <v>0.13690074577450564</v>
      </c>
      <c r="V52" s="17">
        <v>0.82052253394912944</v>
      </c>
      <c r="W52">
        <v>0.54837180962697185</v>
      </c>
      <c r="Y52" cm="1">
        <f t="array" ref="Y52">SUM(($C52-_xlfn.SEQUENCE(1,$C52-1))/($W$5*((_xlfn.SEQUENCE(1,$C52-1)*$O52)^3)+$X$5*((_xlfn.SEQUENCE(1,$C52-1)*$O52)^2)+$Y$5*(_xlfn.SEQUENCE(1,$C52-1)*$O52)+$Z$5))</f>
        <v>0.82052253394912944</v>
      </c>
      <c r="AA52" s="46"/>
    </row>
    <row r="53" spans="1:27" hidden="1" outlineLevel="1" x14ac:dyDescent="0.25">
      <c r="A53" s="67"/>
      <c r="B53" s="12" t="str" cm="1">
        <f t="array" ref="B53:W53">B35:W35</f>
        <v>Circular</v>
      </c>
      <c r="C53" s="20">
        <v>3</v>
      </c>
      <c r="D53">
        <v>9</v>
      </c>
      <c r="E53">
        <v>0.9</v>
      </c>
      <c r="F53">
        <v>0.15</v>
      </c>
      <c r="G53">
        <v>40</v>
      </c>
      <c r="H53" t="str">
        <v>(top_in1_in2)0,8</v>
      </c>
      <c r="I53">
        <v>2515.0019988313088</v>
      </c>
      <c r="J53">
        <v>1602</v>
      </c>
      <c r="K53">
        <v>1599</v>
      </c>
      <c r="L53">
        <v>10</v>
      </c>
      <c r="M53">
        <v>13</v>
      </c>
      <c r="N53" s="4">
        <v>8.130081300813009E-3</v>
      </c>
      <c r="O53">
        <v>0.2165</v>
      </c>
      <c r="P53">
        <v>3.05822330800792</v>
      </c>
      <c r="Q53">
        <v>21.721469018237283</v>
      </c>
      <c r="R53">
        <v>26.87</v>
      </c>
      <c r="S53" s="11">
        <v>7.1164867882396723E-3</v>
      </c>
      <c r="T53">
        <v>5.1485309817627183</v>
      </c>
      <c r="U53" s="11">
        <v>0.19160889399935682</v>
      </c>
      <c r="V53" s="17">
        <v>2.394079718669567</v>
      </c>
      <c r="W53">
        <v>0.54837180962697185</v>
      </c>
      <c r="Y53" cm="1">
        <f t="array" ref="Y53">SUM(($C53-_xlfn.SEQUENCE(1,$C53-1))/($W$5*((_xlfn.SEQUENCE(1,$C53-1)*$O53)^3)+$X$5*((_xlfn.SEQUENCE(1,$C53-1)*$O53)^2)+$Y$5*(_xlfn.SEQUENCE(1,$C53-1)*$O53)+$Z$5))</f>
        <v>2.394079718669567</v>
      </c>
      <c r="AA53" s="46"/>
    </row>
    <row r="54" spans="1:27" hidden="1" outlineLevel="1" x14ac:dyDescent="0.25">
      <c r="A54" s="67"/>
      <c r="B54" s="12" t="str" cm="1">
        <f t="array" ref="B54:W54">B36:W36</f>
        <v>Circular</v>
      </c>
      <c r="C54" s="20">
        <v>4</v>
      </c>
      <c r="D54">
        <v>9</v>
      </c>
      <c r="E54">
        <v>0.9</v>
      </c>
      <c r="F54">
        <v>0.15</v>
      </c>
      <c r="G54">
        <v>40</v>
      </c>
      <c r="H54">
        <v>0.8</v>
      </c>
      <c r="I54">
        <v>3353.3359984417448</v>
      </c>
      <c r="J54">
        <v>2136</v>
      </c>
      <c r="K54">
        <v>1995</v>
      </c>
      <c r="L54">
        <v>11</v>
      </c>
      <c r="M54">
        <v>152</v>
      </c>
      <c r="N54" s="4">
        <v>7.6190476190476197E-2</v>
      </c>
      <c r="O54">
        <v>0.21033333333333337</v>
      </c>
      <c r="P54">
        <v>3.05822330800792</v>
      </c>
      <c r="Q54">
        <v>36.584368593100329</v>
      </c>
      <c r="R54">
        <v>46.91</v>
      </c>
      <c r="S54" s="11">
        <v>6.6395224898742273E-3</v>
      </c>
      <c r="T54">
        <v>10.325631406899667</v>
      </c>
      <c r="U54" s="11">
        <v>0.22011578356213318</v>
      </c>
      <c r="V54" s="17">
        <v>4.646553502917194</v>
      </c>
      <c r="W54">
        <v>0.54837180962697185</v>
      </c>
      <c r="Y54" cm="1">
        <f t="array" ref="Y54">SUM(($C54-_xlfn.SEQUENCE(1,$C54-1))/($W$5*((_xlfn.SEQUENCE(1,$C54-1)*$O54)^3)+$X$5*((_xlfn.SEQUENCE(1,$C54-1)*$O54)^2)+$Y$5*(_xlfn.SEQUENCE(1,$C54-1)*$O54)+$Z$5))</f>
        <v>4.646553502917194</v>
      </c>
      <c r="AA54" s="46"/>
    </row>
    <row r="55" spans="1:27" hidden="1" outlineLevel="1" x14ac:dyDescent="0.25"/>
    <row r="56" spans="1:27" s="26" customFormat="1" ht="30" hidden="1" customHeight="1" outlineLevel="1" x14ac:dyDescent="0.25">
      <c r="D56" s="25" t="str">
        <f>D$7</f>
        <v>Turns:</v>
      </c>
      <c r="N56" s="27"/>
      <c r="U56" s="27"/>
      <c r="Y56" s="26" t="s">
        <v>49</v>
      </c>
    </row>
    <row r="57" spans="1:27" hidden="1" outlineLevel="1" x14ac:dyDescent="0.25">
      <c r="A57" s="69" t="str">
        <f>A$11</f>
        <v>2-layer PCB</v>
      </c>
      <c r="B57" t="str" cm="1">
        <f t="array" ref="B57:W57">B26:W26</f>
        <v>Square</v>
      </c>
      <c r="C57">
        <v>2</v>
      </c>
      <c r="D57" s="17">
        <v>14</v>
      </c>
      <c r="E57">
        <v>0.9</v>
      </c>
      <c r="F57">
        <v>0.15</v>
      </c>
      <c r="G57">
        <v>40</v>
      </c>
      <c r="H57">
        <v>0.6</v>
      </c>
      <c r="I57">
        <v>2850.4</v>
      </c>
      <c r="J57">
        <v>1816</v>
      </c>
      <c r="K57">
        <v>2339</v>
      </c>
      <c r="L57">
        <v>11</v>
      </c>
      <c r="M57">
        <v>534</v>
      </c>
      <c r="N57" s="4">
        <v>0.22830269345874304</v>
      </c>
      <c r="O57">
        <v>0.56999999999999995</v>
      </c>
      <c r="P57">
        <v>5.700227800954166</v>
      </c>
      <c r="Q57">
        <v>19.120908746661936</v>
      </c>
      <c r="R57">
        <v>21.73</v>
      </c>
      <c r="S57" s="4">
        <v>7.380579843534284E-3</v>
      </c>
      <c r="T57">
        <v>2.6090912533380646</v>
      </c>
      <c r="U57" s="4">
        <v>0.12006862647667117</v>
      </c>
      <c r="V57">
        <v>0.68673630064708724</v>
      </c>
      <c r="W57" s="17">
        <v>0.6311179804224627</v>
      </c>
      <c r="Y57">
        <f t="shared" ref="Y57:Y72" si="26">((R57/P57)-C57)/(2*V57*$AD$5)</f>
        <v>0.84440136828468959</v>
      </c>
    </row>
    <row r="58" spans="1:27" hidden="1" outlineLevel="1" x14ac:dyDescent="0.25">
      <c r="A58" s="69"/>
      <c r="B58" t="str" cm="1">
        <f t="array" ref="B58:W58">B25:W25</f>
        <v>Square</v>
      </c>
      <c r="C58">
        <v>2</v>
      </c>
      <c r="D58" s="17">
        <v>11</v>
      </c>
      <c r="E58">
        <v>0.9</v>
      </c>
      <c r="F58">
        <v>0.15</v>
      </c>
      <c r="G58">
        <v>40</v>
      </c>
      <c r="H58">
        <v>0.6</v>
      </c>
      <c r="I58">
        <v>2516.8000000000002</v>
      </c>
      <c r="J58">
        <v>1603</v>
      </c>
      <c r="K58">
        <v>2037</v>
      </c>
      <c r="L58">
        <v>11</v>
      </c>
      <c r="M58">
        <v>445</v>
      </c>
      <c r="N58" s="4">
        <v>0.21845851742758959</v>
      </c>
      <c r="O58">
        <v>0.56999999999999995</v>
      </c>
      <c r="P58">
        <v>4.8041946478743043</v>
      </c>
      <c r="Q58">
        <v>15.758937138591723</v>
      </c>
      <c r="R58">
        <v>18.334</v>
      </c>
      <c r="S58" s="4">
        <v>2.527271735573252E-2</v>
      </c>
      <c r="T58">
        <v>2.5750628614082771</v>
      </c>
      <c r="U58" s="4">
        <v>0.14045286688165579</v>
      </c>
      <c r="V58">
        <v>0.68673630064708724</v>
      </c>
      <c r="W58" s="17">
        <v>0.5965586944732042</v>
      </c>
      <c r="Y58">
        <f t="shared" si="26"/>
        <v>0.84632118361076569</v>
      </c>
    </row>
    <row r="59" spans="1:27" s="14" customFormat="1" hidden="1" outlineLevel="1" x14ac:dyDescent="0.25">
      <c r="A59" s="69"/>
      <c r="B59" s="14" t="str" cm="1">
        <f t="array" ref="B59:W59">B$13:W$13</f>
        <v>Square</v>
      </c>
      <c r="C59" s="14">
        <v>2</v>
      </c>
      <c r="D59" s="14">
        <v>9</v>
      </c>
      <c r="E59" s="14">
        <v>0.9</v>
      </c>
      <c r="F59" s="14">
        <v>0.15</v>
      </c>
      <c r="G59" s="14">
        <v>40</v>
      </c>
      <c r="H59" s="14">
        <v>0.6</v>
      </c>
      <c r="I59" s="14">
        <v>2210.400000000001</v>
      </c>
      <c r="J59" s="14">
        <v>1408</v>
      </c>
      <c r="K59" s="14">
        <v>1502</v>
      </c>
      <c r="L59" s="14">
        <v>10</v>
      </c>
      <c r="M59" s="14">
        <v>104</v>
      </c>
      <c r="N59" s="15">
        <v>6.92410119840213E-2</v>
      </c>
      <c r="O59" s="14">
        <v>0.56999999999999995</v>
      </c>
      <c r="P59" s="14">
        <v>3.945289900687476</v>
      </c>
      <c r="Q59" s="14">
        <v>12.533530454293953</v>
      </c>
      <c r="R59" s="14">
        <v>15.034000000000001</v>
      </c>
      <c r="S59" s="15">
        <v>2.5332579486497274E-2</v>
      </c>
      <c r="T59" s="14">
        <v>2.5004695457060482</v>
      </c>
      <c r="U59" s="15">
        <v>0.16632097550259731</v>
      </c>
      <c r="V59" s="14">
        <v>0.68673630064708724</v>
      </c>
      <c r="W59" s="19">
        <v>0.54837180962697185</v>
      </c>
      <c r="Y59" s="14">
        <f t="shared" si="26"/>
        <v>0.84369844826654039</v>
      </c>
    </row>
    <row r="60" spans="1:27" hidden="1" outlineLevel="1" x14ac:dyDescent="0.25">
      <c r="A60" s="69"/>
      <c r="B60" t="str" cm="1">
        <f t="array" ref="B60:W60">B24:W24</f>
        <v>Square</v>
      </c>
      <c r="C60">
        <v>2</v>
      </c>
      <c r="D60" s="17">
        <v>8</v>
      </c>
      <c r="E60">
        <v>0.9</v>
      </c>
      <c r="F60">
        <v>0.15</v>
      </c>
      <c r="G60">
        <v>40</v>
      </c>
      <c r="H60">
        <v>0.6</v>
      </c>
      <c r="I60">
        <v>2032</v>
      </c>
      <c r="J60">
        <v>1294</v>
      </c>
      <c r="K60">
        <v>1678</v>
      </c>
      <c r="L60">
        <v>11</v>
      </c>
      <c r="M60">
        <v>395</v>
      </c>
      <c r="N60" s="4">
        <v>0.23539928486293207</v>
      </c>
      <c r="O60">
        <v>0.56999999999999995</v>
      </c>
      <c r="P60">
        <v>3.454978287469658</v>
      </c>
      <c r="Q60">
        <v>10.701357993847788</v>
      </c>
      <c r="R60">
        <v>13.186999999999999</v>
      </c>
      <c r="S60" s="4">
        <v>2.5379161295214985E-2</v>
      </c>
      <c r="T60">
        <v>2.4856420061522115</v>
      </c>
      <c r="U60" s="4">
        <v>0.188491848498689</v>
      </c>
      <c r="V60">
        <v>0.68673630064708724</v>
      </c>
      <c r="W60" s="17">
        <v>0.51134547778843087</v>
      </c>
      <c r="Y60">
        <f t="shared" si="26"/>
        <v>0.84658346997465994</v>
      </c>
    </row>
    <row r="61" spans="1:27" hidden="1" outlineLevel="1" x14ac:dyDescent="0.25">
      <c r="A61" s="69"/>
      <c r="B61" t="str" cm="1">
        <f t="array" ref="B61:W61">B15:W15</f>
        <v>Square</v>
      </c>
      <c r="C61">
        <v>2</v>
      </c>
      <c r="D61" s="17">
        <v>6</v>
      </c>
      <c r="E61">
        <v>0.9</v>
      </c>
      <c r="F61">
        <v>0.15</v>
      </c>
      <c r="G61">
        <v>40</v>
      </c>
      <c r="H61">
        <v>0.6</v>
      </c>
      <c r="I61">
        <v>1624.8</v>
      </c>
      <c r="J61">
        <v>1035</v>
      </c>
      <c r="K61">
        <v>1116</v>
      </c>
      <c r="L61">
        <v>10</v>
      </c>
      <c r="M61">
        <v>91</v>
      </c>
      <c r="N61" s="4">
        <v>8.1541218637992838E-2</v>
      </c>
      <c r="O61">
        <v>0.56999999999999995</v>
      </c>
      <c r="P61">
        <v>2.4018559447428518</v>
      </c>
      <c r="Q61">
        <v>6.8636828868795883</v>
      </c>
      <c r="R61">
        <v>9.0920000000000005</v>
      </c>
      <c r="S61" s="4">
        <v>2.5549934007919051E-2</v>
      </c>
      <c r="T61">
        <v>2.2283171131204123</v>
      </c>
      <c r="U61" s="4">
        <v>0.24508547218658294</v>
      </c>
      <c r="V61">
        <v>0.68673630064708724</v>
      </c>
      <c r="W61" s="17">
        <v>0.39964476021314388</v>
      </c>
      <c r="Y61">
        <f t="shared" si="26"/>
        <v>0.83194951570654097</v>
      </c>
    </row>
    <row r="62" spans="1:27" hidden="1" outlineLevel="1" x14ac:dyDescent="0.25">
      <c r="A62" s="69"/>
      <c r="B62" t="str" cm="1">
        <f t="array" ref="B62:W62">B23:W23</f>
        <v>Square</v>
      </c>
      <c r="C62">
        <v>2</v>
      </c>
      <c r="D62" s="17">
        <v>5</v>
      </c>
      <c r="E62">
        <v>0.9</v>
      </c>
      <c r="F62">
        <v>0.15</v>
      </c>
      <c r="G62">
        <v>40</v>
      </c>
      <c r="H62">
        <v>0.6</v>
      </c>
      <c r="I62">
        <v>1396</v>
      </c>
      <c r="J62">
        <v>889</v>
      </c>
      <c r="K62">
        <v>1155</v>
      </c>
      <c r="L62">
        <v>10</v>
      </c>
      <c r="M62">
        <v>276</v>
      </c>
      <c r="N62" s="4">
        <v>0.23896103896103896</v>
      </c>
      <c r="O62">
        <v>0.56999999999999995</v>
      </c>
      <c r="P62">
        <v>1.8657932380643421</v>
      </c>
      <c r="Q62">
        <v>5.0223947712615189</v>
      </c>
      <c r="R62">
        <v>7.0129999999999999</v>
      </c>
      <c r="S62" s="4">
        <v>2.5712961642663627E-2</v>
      </c>
      <c r="T62">
        <v>1.990605228738481</v>
      </c>
      <c r="U62" s="4">
        <v>0.28384503475523759</v>
      </c>
      <c r="V62">
        <v>0.68673630064708724</v>
      </c>
      <c r="W62" s="17">
        <v>0.32237266279819471</v>
      </c>
      <c r="Y62">
        <f t="shared" si="26"/>
        <v>0.81951597260501341</v>
      </c>
    </row>
    <row r="63" spans="1:27" hidden="1" outlineLevel="1" x14ac:dyDescent="0.25">
      <c r="A63" s="69"/>
      <c r="B63" t="str" cm="1">
        <f t="array" ref="B63:W63">B34:W34</f>
        <v>Circular</v>
      </c>
      <c r="C63">
        <v>2</v>
      </c>
      <c r="D63" s="17">
        <v>14</v>
      </c>
      <c r="E63">
        <v>0.9</v>
      </c>
      <c r="F63">
        <v>0.15</v>
      </c>
      <c r="G63">
        <v>40</v>
      </c>
      <c r="H63">
        <v>0.6</v>
      </c>
      <c r="I63">
        <v>2146.3361009325472</v>
      </c>
      <c r="J63">
        <v>1367</v>
      </c>
      <c r="K63">
        <v>1698</v>
      </c>
      <c r="L63">
        <v>11</v>
      </c>
      <c r="M63">
        <v>342</v>
      </c>
      <c r="N63" s="4">
        <v>0.20141342756183744</v>
      </c>
      <c r="O63">
        <v>0.56999999999999995</v>
      </c>
      <c r="P63">
        <v>4.3812484720633993</v>
      </c>
      <c r="Q63">
        <v>14.696509535417755</v>
      </c>
      <c r="R63">
        <v>17.003</v>
      </c>
      <c r="S63" s="4">
        <v>2.5294065753102397E-2</v>
      </c>
      <c r="T63">
        <v>2.3064904645822448</v>
      </c>
      <c r="U63" s="4">
        <v>0.13565197109817353</v>
      </c>
      <c r="V63">
        <v>0.68673630064708724</v>
      </c>
      <c r="W63" s="17">
        <v>0.6311179804224627</v>
      </c>
      <c r="Y63">
        <f t="shared" si="26"/>
        <v>0.87642713362635394</v>
      </c>
    </row>
    <row r="64" spans="1:27" hidden="1" outlineLevel="1" x14ac:dyDescent="0.25">
      <c r="A64" s="69"/>
      <c r="B64" t="str" cm="1">
        <f t="array" ref="B64:W64">B33:W33</f>
        <v>Circular</v>
      </c>
      <c r="C64">
        <v>2</v>
      </c>
      <c r="D64" s="17">
        <v>13</v>
      </c>
      <c r="E64">
        <v>0.9</v>
      </c>
      <c r="F64">
        <v>0.15</v>
      </c>
      <c r="G64">
        <v>40</v>
      </c>
      <c r="H64">
        <v>0.6</v>
      </c>
      <c r="I64">
        <v>2078.7918588803659</v>
      </c>
      <c r="J64">
        <v>1324</v>
      </c>
      <c r="K64">
        <v>1631</v>
      </c>
      <c r="L64">
        <v>10</v>
      </c>
      <c r="M64">
        <v>317</v>
      </c>
      <c r="N64" s="4">
        <v>0.19435928877988964</v>
      </c>
      <c r="O64">
        <v>0.56999999999999995</v>
      </c>
      <c r="P64">
        <v>4.2070707609229636</v>
      </c>
      <c r="Q64">
        <v>14.038082397193005</v>
      </c>
      <c r="R64">
        <v>16.312000000000001</v>
      </c>
      <c r="S64" s="4">
        <v>2.5306522805296716E-2</v>
      </c>
      <c r="T64">
        <v>2.2739176028069963</v>
      </c>
      <c r="U64" s="4">
        <v>0.13940152052519594</v>
      </c>
      <c r="V64">
        <v>0.68673630064708724</v>
      </c>
      <c r="W64" s="17">
        <v>0.62290368950646879</v>
      </c>
      <c r="Y64">
        <f t="shared" si="26"/>
        <v>0.87476118513399348</v>
      </c>
    </row>
    <row r="65" spans="1:31" hidden="1" outlineLevel="1" x14ac:dyDescent="0.25">
      <c r="A65" s="69"/>
      <c r="B65" t="str" cm="1">
        <f t="array" ref="B65:W65">B32:W32</f>
        <v>Circular</v>
      </c>
      <c r="C65">
        <v>2</v>
      </c>
      <c r="D65" s="17">
        <v>12</v>
      </c>
      <c r="E65">
        <v>0.9</v>
      </c>
      <c r="F65">
        <v>0.15</v>
      </c>
      <c r="G65">
        <v>40</v>
      </c>
      <c r="H65">
        <v>0.6</v>
      </c>
      <c r="I65">
        <v>1998.052927683108</v>
      </c>
      <c r="J65">
        <v>1273</v>
      </c>
      <c r="K65">
        <v>1579</v>
      </c>
      <c r="L65">
        <v>10</v>
      </c>
      <c r="M65">
        <v>316</v>
      </c>
      <c r="N65" s="4">
        <v>0.20012666244458518</v>
      </c>
      <c r="O65">
        <v>0.56999999999999995</v>
      </c>
      <c r="P65">
        <v>3.9854627551467412</v>
      </c>
      <c r="Q65">
        <v>13.203010799062811</v>
      </c>
      <c r="R65">
        <v>15.468999999999999</v>
      </c>
      <c r="S65" s="4">
        <v>2.532322709936001E-2</v>
      </c>
      <c r="T65">
        <v>2.265989200937188</v>
      </c>
      <c r="U65" s="4">
        <v>0.14648582332000698</v>
      </c>
      <c r="V65">
        <v>0.68673630064708724</v>
      </c>
      <c r="W65" s="17">
        <v>0.61172472387425669</v>
      </c>
      <c r="Y65">
        <f t="shared" si="26"/>
        <v>0.87665955229166548</v>
      </c>
    </row>
    <row r="66" spans="1:31" hidden="1" outlineLevel="1" x14ac:dyDescent="0.25">
      <c r="A66" s="69"/>
      <c r="B66" t="str" cm="1">
        <f t="array" ref="B66:W66">B31:W31</f>
        <v>Circular</v>
      </c>
      <c r="C66">
        <v>2</v>
      </c>
      <c r="D66" s="17">
        <v>11</v>
      </c>
      <c r="E66">
        <v>0.9</v>
      </c>
      <c r="F66">
        <v>0.15</v>
      </c>
      <c r="G66">
        <v>40</v>
      </c>
      <c r="H66">
        <v>0.6</v>
      </c>
      <c r="I66">
        <v>1904.119307340774</v>
      </c>
      <c r="J66">
        <v>1213</v>
      </c>
      <c r="K66">
        <v>1515</v>
      </c>
      <c r="L66">
        <v>10</v>
      </c>
      <c r="M66">
        <v>312</v>
      </c>
      <c r="N66" s="4">
        <v>0.20594059405940593</v>
      </c>
      <c r="O66">
        <v>0.56999999999999995</v>
      </c>
      <c r="P66">
        <v>3.7177899383464439</v>
      </c>
      <c r="Q66">
        <v>12.195263145470973</v>
      </c>
      <c r="R66">
        <v>14.409000000000001</v>
      </c>
      <c r="S66" s="4">
        <v>2.5347005343882296E-2</v>
      </c>
      <c r="T66">
        <v>2.2137368545290279</v>
      </c>
      <c r="U66" s="4">
        <v>0.15363570369415142</v>
      </c>
      <c r="V66">
        <v>0.68673630064708724</v>
      </c>
      <c r="W66" s="17">
        <v>0.5965586944732042</v>
      </c>
      <c r="Y66">
        <f t="shared" si="26"/>
        <v>0.87401916679242375</v>
      </c>
    </row>
    <row r="67" spans="1:31" hidden="1" outlineLevel="1" x14ac:dyDescent="0.25">
      <c r="A67" s="69"/>
      <c r="B67" t="str" cm="1">
        <f t="array" ref="B67:W67">B30:W30</f>
        <v>Circular</v>
      </c>
      <c r="C67">
        <v>2</v>
      </c>
      <c r="D67" s="17">
        <v>10</v>
      </c>
      <c r="E67">
        <v>0.9</v>
      </c>
      <c r="F67">
        <v>0.15</v>
      </c>
      <c r="G67">
        <v>40</v>
      </c>
      <c r="H67">
        <v>0.6</v>
      </c>
      <c r="I67">
        <v>1796.9909978533619</v>
      </c>
      <c r="J67">
        <v>1145</v>
      </c>
      <c r="K67">
        <v>1492</v>
      </c>
      <c r="L67">
        <v>10</v>
      </c>
      <c r="M67">
        <v>357</v>
      </c>
      <c r="N67" s="4">
        <v>0.23927613941018766</v>
      </c>
      <c r="O67">
        <v>0.56999999999999995</v>
      </c>
      <c r="P67">
        <v>3.4071285456772702</v>
      </c>
      <c r="Q67">
        <v>11.026164589351911</v>
      </c>
      <c r="R67">
        <v>13.19</v>
      </c>
      <c r="S67" s="4">
        <v>2.537907505686126E-2</v>
      </c>
      <c r="T67">
        <v>2.1638354106480886</v>
      </c>
      <c r="U67" s="4">
        <v>0.16405120626596578</v>
      </c>
      <c r="V67">
        <v>0.68673630064708724</v>
      </c>
      <c r="W67" s="17">
        <v>0.57603686635944706</v>
      </c>
      <c r="Y67">
        <f t="shared" si="26"/>
        <v>0.87197142091934177</v>
      </c>
    </row>
    <row r="68" spans="1:31" s="12" customFormat="1" hidden="1" outlineLevel="1" x14ac:dyDescent="0.25">
      <c r="A68" s="69"/>
      <c r="B68" s="12" t="str" cm="1">
        <f t="array" ref="B68:W68">B$14:W$14</f>
        <v>Circular</v>
      </c>
      <c r="C68" s="12">
        <v>2</v>
      </c>
      <c r="D68" s="23">
        <v>9</v>
      </c>
      <c r="E68" s="12">
        <v>0.9</v>
      </c>
      <c r="F68" s="12">
        <v>0.15</v>
      </c>
      <c r="G68" s="12">
        <v>40</v>
      </c>
      <c r="H68" s="12">
        <v>0.6</v>
      </c>
      <c r="I68" s="12">
        <v>1676.6679992208731</v>
      </c>
      <c r="J68" s="12">
        <v>1068</v>
      </c>
      <c r="K68" s="12">
        <v>1050</v>
      </c>
      <c r="L68" s="12">
        <v>10</v>
      </c>
      <c r="M68" s="12">
        <v>28</v>
      </c>
      <c r="N68" s="13">
        <v>2.6666666666666668E-2</v>
      </c>
      <c r="O68" s="12">
        <v>0.56999999999999995</v>
      </c>
      <c r="P68" s="12">
        <v>3.05822330800792</v>
      </c>
      <c r="Q68" s="12">
        <v>9.7154672867688916</v>
      </c>
      <c r="R68" s="12">
        <v>11.866</v>
      </c>
      <c r="S68" s="13">
        <v>2.5421371987190296E-2</v>
      </c>
      <c r="T68" s="12">
        <v>2.1505327132311081</v>
      </c>
      <c r="U68" s="13">
        <v>0.18123484857838429</v>
      </c>
      <c r="V68" s="12">
        <v>0.68673630064708724</v>
      </c>
      <c r="W68" s="20">
        <v>0.54837180962697185</v>
      </c>
      <c r="Y68" s="12">
        <f t="shared" si="26"/>
        <v>0.87604192422228278</v>
      </c>
    </row>
    <row r="69" spans="1:31" hidden="1" outlineLevel="1" x14ac:dyDescent="0.25">
      <c r="A69" s="69"/>
      <c r="B69" t="str" cm="1">
        <f t="array" ref="B69:W69">B29:W29</f>
        <v>Circular</v>
      </c>
      <c r="C69">
        <v>2</v>
      </c>
      <c r="D69" s="17">
        <v>8</v>
      </c>
      <c r="E69">
        <v>0.9</v>
      </c>
      <c r="F69">
        <v>0.15</v>
      </c>
      <c r="G69">
        <v>40</v>
      </c>
      <c r="H69">
        <v>0.6</v>
      </c>
      <c r="I69">
        <v>1543.150311443306</v>
      </c>
      <c r="J69">
        <v>983</v>
      </c>
      <c r="K69">
        <v>1242</v>
      </c>
      <c r="L69">
        <v>10</v>
      </c>
      <c r="M69">
        <v>269</v>
      </c>
      <c r="N69" s="4">
        <v>0.21658615136876005</v>
      </c>
      <c r="O69">
        <v>0.56999999999999995</v>
      </c>
      <c r="P69">
        <v>2.677497962690337</v>
      </c>
      <c r="Q69">
        <v>8.2932110833993296</v>
      </c>
      <c r="R69">
        <v>10.374000000000001</v>
      </c>
      <c r="S69" s="4">
        <v>2.5481974166184695E-2</v>
      </c>
      <c r="T69">
        <v>2.080788916600671</v>
      </c>
      <c r="U69" s="4">
        <v>0.20057730061699161</v>
      </c>
      <c r="V69">
        <v>0.68673630064708724</v>
      </c>
      <c r="W69" s="17">
        <v>0.51134547778843087</v>
      </c>
      <c r="Y69">
        <f t="shared" si="26"/>
        <v>0.87347076321291151</v>
      </c>
    </row>
    <row r="70" spans="1:31" hidden="1" outlineLevel="1" x14ac:dyDescent="0.25">
      <c r="A70" s="69"/>
      <c r="B70" t="str" cm="1">
        <f t="array" ref="B70:W70">B28:W28</f>
        <v>Circular</v>
      </c>
      <c r="C70">
        <v>2</v>
      </c>
      <c r="D70" s="17">
        <v>7</v>
      </c>
      <c r="E70">
        <v>0.9</v>
      </c>
      <c r="F70">
        <v>0.15</v>
      </c>
      <c r="G70">
        <v>40</v>
      </c>
      <c r="H70">
        <v>0.6</v>
      </c>
      <c r="I70">
        <v>1396.437934520663</v>
      </c>
      <c r="J70">
        <v>890</v>
      </c>
      <c r="K70">
        <v>1126</v>
      </c>
      <c r="L70">
        <v>10</v>
      </c>
      <c r="M70">
        <v>246</v>
      </c>
      <c r="N70" s="4">
        <v>0.21847246891651864</v>
      </c>
      <c r="O70">
        <v>0.56999999999999995</v>
      </c>
      <c r="P70">
        <v>2.273124943237737</v>
      </c>
      <c r="Q70">
        <v>6.8023504441370317</v>
      </c>
      <c r="R70">
        <v>8.7750000000000004</v>
      </c>
      <c r="S70" s="4">
        <v>2.5569800569800571E-2</v>
      </c>
      <c r="T70">
        <v>1.9726495558629686</v>
      </c>
      <c r="U70" s="4">
        <v>0.22480336818951208</v>
      </c>
      <c r="V70">
        <v>0.68673630064708724</v>
      </c>
      <c r="W70" s="17">
        <v>0.4624823029731005</v>
      </c>
      <c r="Y70">
        <f t="shared" si="26"/>
        <v>0.86685945117077734</v>
      </c>
    </row>
    <row r="71" spans="1:31" hidden="1" outlineLevel="1" x14ac:dyDescent="0.25">
      <c r="A71" s="69"/>
      <c r="B71" t="str" cm="1">
        <f t="array" ref="B71:W71">B16:W16</f>
        <v>Circular</v>
      </c>
      <c r="C71">
        <v>2</v>
      </c>
      <c r="D71" s="17">
        <v>6</v>
      </c>
      <c r="E71">
        <v>0.9</v>
      </c>
      <c r="F71">
        <v>0.15</v>
      </c>
      <c r="G71">
        <v>40</v>
      </c>
      <c r="H71">
        <v>0.6</v>
      </c>
      <c r="I71">
        <v>1236.530868452943</v>
      </c>
      <c r="J71">
        <v>788</v>
      </c>
      <c r="K71">
        <v>767</v>
      </c>
      <c r="L71">
        <v>10</v>
      </c>
      <c r="M71">
        <v>31</v>
      </c>
      <c r="N71" s="4">
        <v>4.0417209908735333E-2</v>
      </c>
      <c r="O71">
        <v>0.56999999999999995</v>
      </c>
      <c r="P71">
        <v>1.855169938334563</v>
      </c>
      <c r="Q71">
        <v>5.3014412400006181</v>
      </c>
      <c r="R71">
        <v>7.1440000000000001</v>
      </c>
      <c r="S71" s="4">
        <v>2.5699888017917134E-2</v>
      </c>
      <c r="T71">
        <v>1.842558759999382</v>
      </c>
      <c r="U71" s="4">
        <v>0.25791695968636363</v>
      </c>
      <c r="V71">
        <v>0.68673630064708724</v>
      </c>
      <c r="W71" s="17">
        <v>0.39964476021314388</v>
      </c>
      <c r="Y71">
        <f t="shared" si="26"/>
        <v>0.8624493123233572</v>
      </c>
    </row>
    <row r="72" spans="1:31" hidden="1" outlineLevel="1" x14ac:dyDescent="0.25">
      <c r="A72" s="69"/>
      <c r="B72" t="str" cm="1">
        <f t="array" ref="B72:W72">B27:W27</f>
        <v>Circular</v>
      </c>
      <c r="C72">
        <v>2</v>
      </c>
      <c r="D72" s="17">
        <v>5</v>
      </c>
      <c r="E72">
        <v>0.9</v>
      </c>
      <c r="F72">
        <v>0.15</v>
      </c>
      <c r="G72">
        <v>40</v>
      </c>
      <c r="H72">
        <v>0.6</v>
      </c>
      <c r="I72">
        <v>1063.4291132401449</v>
      </c>
      <c r="J72">
        <v>677</v>
      </c>
      <c r="K72">
        <v>818</v>
      </c>
      <c r="L72">
        <v>10</v>
      </c>
      <c r="M72">
        <v>151</v>
      </c>
      <c r="N72" s="4">
        <v>0.1845965770171149</v>
      </c>
      <c r="O72">
        <v>0.56999999999999995</v>
      </c>
      <c r="P72">
        <v>1.435843148206867</v>
      </c>
      <c r="Q72">
        <v>3.8650430137624721</v>
      </c>
      <c r="R72">
        <v>5.508</v>
      </c>
      <c r="S72" s="4">
        <v>2.5907770515613656E-2</v>
      </c>
      <c r="T72">
        <v>1.6429569862375279</v>
      </c>
      <c r="U72" s="4">
        <v>0.29828558210557876</v>
      </c>
      <c r="V72">
        <v>0.68673630064708724</v>
      </c>
      <c r="W72" s="17">
        <v>0.32237266279819471</v>
      </c>
      <c r="Y72">
        <f t="shared" si="26"/>
        <v>0.85555919012133608</v>
      </c>
    </row>
    <row r="73" spans="1:31" hidden="1" outlineLevel="1" x14ac:dyDescent="0.25"/>
    <row r="74" spans="1:31" s="26" customFormat="1" ht="30" hidden="1" customHeight="1" outlineLevel="1" x14ac:dyDescent="0.25">
      <c r="E74" s="28"/>
      <c r="F74" s="28"/>
      <c r="O74" s="25" t="str">
        <f>O$7</f>
        <v>Layer spacing [mm]:</v>
      </c>
      <c r="Y74" s="26" t="s">
        <v>54</v>
      </c>
    </row>
    <row r="75" spans="1:31" s="12" customFormat="1" hidden="1" outlineLevel="1" x14ac:dyDescent="0.25">
      <c r="A75" s="51" t="str">
        <f>A$35</f>
        <v>4-layer PCB</v>
      </c>
      <c r="B75" s="12" t="str" cm="1">
        <f t="array" ref="B75:W75">B39:W39</f>
        <v>Circular</v>
      </c>
      <c r="C75" s="12">
        <v>2</v>
      </c>
      <c r="D75" s="23">
        <v>9</v>
      </c>
      <c r="E75" s="23">
        <v>0.9</v>
      </c>
      <c r="F75" s="12">
        <v>0.3</v>
      </c>
      <c r="G75" s="12">
        <v>40</v>
      </c>
      <c r="H75" s="20" t="str">
        <v>(top_bot)0,8</v>
      </c>
      <c r="I75" s="12">
        <v>1676.6679992208731</v>
      </c>
      <c r="J75" s="12">
        <v>1068</v>
      </c>
      <c r="K75" s="12">
        <v>822</v>
      </c>
      <c r="L75" s="12">
        <v>10</v>
      </c>
      <c r="M75" s="12">
        <v>256</v>
      </c>
      <c r="N75" s="13">
        <v>0.31143552311435524</v>
      </c>
      <c r="O75" s="20">
        <v>0.70100000000000007</v>
      </c>
      <c r="P75" s="12">
        <v>2.688808608987256</v>
      </c>
      <c r="Q75" s="12">
        <v>8.3812695839795541</v>
      </c>
      <c r="R75" s="12">
        <v>10.23</v>
      </c>
      <c r="S75" s="13">
        <v>2.5488758553274683E-2</v>
      </c>
      <c r="T75" s="12">
        <v>1.8487304160204463</v>
      </c>
      <c r="U75" s="13">
        <v>0.18071656070581096</v>
      </c>
      <c r="V75" s="12">
        <v>0.65187546394298146</v>
      </c>
      <c r="W75" s="12">
        <v>0.54837180962697185</v>
      </c>
      <c r="AC75" s="47"/>
    </row>
    <row r="76" spans="1:31" s="12" customFormat="1" hidden="1" outlineLevel="1" x14ac:dyDescent="0.25">
      <c r="A76" s="50" t="str">
        <f>A$11</f>
        <v>2-layer PCB</v>
      </c>
      <c r="B76" s="12" t="str" cm="1">
        <f t="array" ref="B76:W76">B$14:W$14</f>
        <v>Circular</v>
      </c>
      <c r="C76" s="12">
        <v>2</v>
      </c>
      <c r="D76" s="23">
        <v>9</v>
      </c>
      <c r="E76" s="23">
        <v>0.9</v>
      </c>
      <c r="F76" s="12">
        <v>0.15</v>
      </c>
      <c r="G76" s="12">
        <v>40</v>
      </c>
      <c r="H76" s="20">
        <v>0.6</v>
      </c>
      <c r="I76" s="12">
        <v>1676.6679992208731</v>
      </c>
      <c r="J76" s="12">
        <v>1068</v>
      </c>
      <c r="K76" s="12">
        <v>1050</v>
      </c>
      <c r="L76" s="12">
        <v>10</v>
      </c>
      <c r="M76" s="12">
        <v>28</v>
      </c>
      <c r="N76" s="13">
        <v>2.6666666666666668E-2</v>
      </c>
      <c r="O76" s="20">
        <v>0.56999999999999995</v>
      </c>
      <c r="P76" s="12">
        <v>3.05822330800792</v>
      </c>
      <c r="Q76" s="12">
        <v>9.7154672867688916</v>
      </c>
      <c r="R76" s="12">
        <v>11.866</v>
      </c>
      <c r="S76" s="13">
        <v>2.5421371987190296E-2</v>
      </c>
      <c r="T76" s="12">
        <v>2.1505327132311081</v>
      </c>
      <c r="U76" s="13">
        <v>0.18123484857838429</v>
      </c>
      <c r="V76" s="12">
        <v>0.68673630064708724</v>
      </c>
      <c r="W76" s="12">
        <v>0.54837180962697185</v>
      </c>
      <c r="AC76" s="47"/>
    </row>
    <row r="77" spans="1:31" s="12" customFormat="1" hidden="1" outlineLevel="1" x14ac:dyDescent="0.25">
      <c r="A77" s="67" t="str">
        <f>A$35</f>
        <v>4-layer PCB</v>
      </c>
      <c r="B77" s="12" t="str" cm="1">
        <f t="array" ref="B77:W77">B40:W40</f>
        <v>Circular</v>
      </c>
      <c r="C77" s="12">
        <v>2</v>
      </c>
      <c r="D77" s="23">
        <v>9</v>
      </c>
      <c r="E77" s="23">
        <v>0.9</v>
      </c>
      <c r="F77" s="12">
        <v>0.3</v>
      </c>
      <c r="G77" s="12">
        <v>40</v>
      </c>
      <c r="H77" s="20" t="str">
        <v>(top_in2)0,8</v>
      </c>
      <c r="I77" s="12">
        <v>1676.6679992208731</v>
      </c>
      <c r="J77" s="12">
        <v>1068</v>
      </c>
      <c r="K77" s="12">
        <v>1003</v>
      </c>
      <c r="L77" s="12">
        <v>10</v>
      </c>
      <c r="M77" s="12">
        <v>75</v>
      </c>
      <c r="N77" s="13">
        <v>7.4775672981056834E-2</v>
      </c>
      <c r="O77" s="20">
        <v>0.46550000000000002</v>
      </c>
      <c r="P77" s="12">
        <v>2.688808608987256</v>
      </c>
      <c r="Q77" s="12">
        <v>8.6949343008220836</v>
      </c>
      <c r="R77" s="12">
        <v>10.414999999999999</v>
      </c>
      <c r="S77" s="13">
        <v>2.5480076812289965E-2</v>
      </c>
      <c r="T77" s="12">
        <v>1.7200656991779155</v>
      </c>
      <c r="U77" s="13">
        <v>0.16515273155812921</v>
      </c>
      <c r="V77" s="12">
        <v>0.71994936461419023</v>
      </c>
      <c r="W77" s="12">
        <v>0.54837180962697185</v>
      </c>
      <c r="AC77" s="47"/>
    </row>
    <row r="78" spans="1:31" s="12" customFormat="1" hidden="1" outlineLevel="1" x14ac:dyDescent="0.25">
      <c r="A78" s="67"/>
      <c r="B78" s="12" t="str" cm="1">
        <f t="array" ref="B78:W78">B41:W41</f>
        <v>Circular</v>
      </c>
      <c r="C78" s="12">
        <v>2</v>
      </c>
      <c r="D78" s="23">
        <v>9</v>
      </c>
      <c r="E78" s="23">
        <v>0.9</v>
      </c>
      <c r="F78" s="12">
        <v>0.3</v>
      </c>
      <c r="G78" s="12">
        <v>40</v>
      </c>
      <c r="H78" s="20" t="str">
        <v>(in1_in2)0,8</v>
      </c>
      <c r="I78" s="12">
        <v>1676.6679992208731</v>
      </c>
      <c r="J78" s="12">
        <v>1068</v>
      </c>
      <c r="K78" s="12">
        <v>1138</v>
      </c>
      <c r="L78" s="12">
        <v>10</v>
      </c>
      <c r="M78" s="12">
        <v>80</v>
      </c>
      <c r="N78" s="13">
        <v>7.0298769771529004E-2</v>
      </c>
      <c r="O78" s="20">
        <v>0.23</v>
      </c>
      <c r="P78" s="12">
        <v>2.688808608987256</v>
      </c>
      <c r="Q78" s="12">
        <v>9.1724494112451715</v>
      </c>
      <c r="R78" s="12">
        <v>10.583</v>
      </c>
      <c r="S78" s="13">
        <v>2.5472455825380328E-2</v>
      </c>
      <c r="T78" s="12">
        <v>1.4105505887548286</v>
      </c>
      <c r="U78" s="13">
        <v>0.13328456853017373</v>
      </c>
      <c r="V78" s="12">
        <v>0.82358332294767322</v>
      </c>
      <c r="W78" s="12">
        <v>0.54837180962697185</v>
      </c>
      <c r="AC78" s="47"/>
    </row>
    <row r="79" spans="1:31" s="12" customFormat="1" hidden="1" outlineLevel="1" x14ac:dyDescent="0.25">
      <c r="A79" s="67"/>
      <c r="B79" s="12" t="str" cm="1">
        <f t="array" ref="B79:W79">B42:W42</f>
        <v>Circular</v>
      </c>
      <c r="C79" s="12">
        <v>2</v>
      </c>
      <c r="D79" s="23">
        <v>9</v>
      </c>
      <c r="E79" s="23">
        <v>0.9</v>
      </c>
      <c r="F79" s="12">
        <v>0.3</v>
      </c>
      <c r="G79" s="12">
        <v>40</v>
      </c>
      <c r="H79" s="20" t="str">
        <v>(top_in1)0,8</v>
      </c>
      <c r="I79" s="12">
        <v>1676.6679992208731</v>
      </c>
      <c r="J79" s="12">
        <v>1068</v>
      </c>
      <c r="K79" s="12">
        <v>984</v>
      </c>
      <c r="L79" s="12">
        <v>10</v>
      </c>
      <c r="M79" s="12">
        <v>94</v>
      </c>
      <c r="N79" s="13">
        <v>9.5528455284552852E-2</v>
      </c>
      <c r="O79" s="20">
        <v>0.23550000000000001</v>
      </c>
      <c r="P79" s="12">
        <v>2.688808608987256</v>
      </c>
      <c r="Q79" s="12">
        <v>9.1583461865867211</v>
      </c>
      <c r="R79" s="12">
        <v>10.611000000000001</v>
      </c>
      <c r="S79" s="13">
        <v>2.5471209122608616E-2</v>
      </c>
      <c r="T79" s="12">
        <v>1.4526538134132796</v>
      </c>
      <c r="U79" s="13">
        <v>0.13690074577450564</v>
      </c>
      <c r="V79" s="12">
        <v>0.82052253394912944</v>
      </c>
      <c r="W79" s="12">
        <v>0.54837180962697185</v>
      </c>
      <c r="Y79" s="12">
        <f>((R79/P79)-C79)/2</f>
        <v>0.97317874625458201</v>
      </c>
      <c r="Z79" s="12">
        <f>Y79</f>
        <v>0.97317874625458201</v>
      </c>
      <c r="AC79" s="32" cm="1">
        <f t="array" ref="AC79">(($C79-_xlfn.SEQUENCE(1,$C79-1))/($W$5*((_xlfn.SEQUENCE(1,$C79-1)*$O79)^3)+$X$5*((_xlfn.SEQUENCE(1,$C79-1)*$O79)^2)+$Y$5*(_xlfn.SEQUENCE(1,$C79-1)*$O79)+$Z$5))/($C79-_xlfn.SEQUENCE(1,$C79-1))</f>
        <v>0.82052253394912944</v>
      </c>
      <c r="AD79" s="49"/>
      <c r="AE79" s="32"/>
    </row>
    <row r="80" spans="1:31" s="12" customFormat="1" hidden="1" outlineLevel="1" x14ac:dyDescent="0.25">
      <c r="A80" s="67"/>
      <c r="B80" s="12" t="str" cm="1">
        <f t="array" ref="B80:W80">B35:W35</f>
        <v>Circular</v>
      </c>
      <c r="C80" s="23">
        <v>3</v>
      </c>
      <c r="D80" s="23">
        <v>9</v>
      </c>
      <c r="E80" s="23">
        <v>0.9</v>
      </c>
      <c r="F80" s="12">
        <v>0.15</v>
      </c>
      <c r="G80" s="12">
        <v>40</v>
      </c>
      <c r="H80" s="20" t="str">
        <v>(top_in1_in2)0,8</v>
      </c>
      <c r="I80" s="12">
        <v>2515.0019988313088</v>
      </c>
      <c r="J80" s="12">
        <v>1602</v>
      </c>
      <c r="K80" s="12">
        <v>1599</v>
      </c>
      <c r="L80" s="12">
        <v>10</v>
      </c>
      <c r="M80" s="12">
        <v>13</v>
      </c>
      <c r="N80" s="13">
        <v>8.130081300813009E-3</v>
      </c>
      <c r="O80" s="20">
        <v>0.2165</v>
      </c>
      <c r="P80" s="12">
        <v>3.05822330800792</v>
      </c>
      <c r="Q80" s="12">
        <v>21.721469018237283</v>
      </c>
      <c r="R80" s="12">
        <v>26.87</v>
      </c>
      <c r="S80" s="13">
        <v>7.1164867882396723E-3</v>
      </c>
      <c r="T80" s="12">
        <v>5.1485309817627183</v>
      </c>
      <c r="U80" s="13">
        <v>0.19160889399935682</v>
      </c>
      <c r="V80" s="12">
        <v>2.394079718669567</v>
      </c>
      <c r="W80" s="12">
        <v>0.54837180962697185</v>
      </c>
      <c r="Y80" s="12">
        <f>((R80/P80)-C80)/2</f>
        <v>2.8930735747192227</v>
      </c>
      <c r="Z80" s="12">
        <f>2*Z79</f>
        <v>1.946357492509164</v>
      </c>
      <c r="AA80" s="12">
        <f>Y80-(2*Z79)</f>
        <v>0.94671608221005865</v>
      </c>
      <c r="AC80" s="32" cm="1">
        <f t="array" ref="AC80:AD80">(($C80-_xlfn.SEQUENCE(1,$C80-1))/($W$5*((_xlfn.SEQUENCE(1,$C80-1)*$O80)^3)+$X$5*((_xlfn.SEQUENCE(1,$C80-1)*$O80)^2)+$Y$5*(_xlfn.SEQUENCE(1,$C80-1)*$O80)+$Z$5))/($C80-_xlfn.SEQUENCE(1,$C80-1))</f>
        <v>0.83126468150465171</v>
      </c>
      <c r="AD80" s="49">
        <v>0.73155035566026339</v>
      </c>
      <c r="AE80" s="32"/>
    </row>
    <row r="81" spans="1:31" s="12" customFormat="1" hidden="1" outlineLevel="1" x14ac:dyDescent="0.25">
      <c r="A81" s="67"/>
      <c r="B81" s="12" t="str" cm="1">
        <f t="array" ref="B81:W81">B$36:W$36</f>
        <v>Circular</v>
      </c>
      <c r="C81" s="12">
        <v>4</v>
      </c>
      <c r="D81" s="23">
        <v>9</v>
      </c>
      <c r="E81" s="12">
        <v>0.9</v>
      </c>
      <c r="F81" s="12">
        <v>0.15</v>
      </c>
      <c r="G81" s="12">
        <v>40</v>
      </c>
      <c r="H81" s="12">
        <v>0.8</v>
      </c>
      <c r="I81" s="12">
        <v>3353.3359984417448</v>
      </c>
      <c r="J81" s="12">
        <v>2136</v>
      </c>
      <c r="K81" s="12">
        <v>1995</v>
      </c>
      <c r="L81" s="12">
        <v>11</v>
      </c>
      <c r="M81" s="12">
        <v>152</v>
      </c>
      <c r="N81" s="13">
        <v>7.6190476190476197E-2</v>
      </c>
      <c r="O81" s="12">
        <v>0.21033333333333337</v>
      </c>
      <c r="P81" s="12">
        <v>3.05822330800792</v>
      </c>
      <c r="Q81" s="12">
        <v>36.584368593100329</v>
      </c>
      <c r="R81" s="12">
        <v>46.91</v>
      </c>
      <c r="S81" s="13">
        <v>6.6395224898742273E-3</v>
      </c>
      <c r="T81" s="12">
        <v>10.325631406899667</v>
      </c>
      <c r="U81" s="13">
        <v>0.22011578356213318</v>
      </c>
      <c r="V81" s="12">
        <v>4.646553502917194</v>
      </c>
      <c r="W81" s="12">
        <v>0.54837180962697185</v>
      </c>
      <c r="Y81" s="12">
        <f>((R81/P81)-C81)/2</f>
        <v>5.6694857234863685</v>
      </c>
      <c r="Z81" s="12">
        <f>3*Z79</f>
        <v>2.919536238763746</v>
      </c>
      <c r="AA81" s="12">
        <f>2*AA80</f>
        <v>1.8934321644201173</v>
      </c>
      <c r="AB81" s="12">
        <f>Y81-(3*Z79)-(2*AA80)</f>
        <v>0.85651732030250516</v>
      </c>
      <c r="AC81" s="32" cm="1">
        <f t="array" ref="AC81:AE81">(($C81-_xlfn.SEQUENCE(1,$C81-1))/($W$5*((_xlfn.SEQUENCE(1,$C81-1)*$O81)^3)+$X$5*((_xlfn.SEQUENCE(1,$C81-1)*$O81)^2)+$Y$5*(_xlfn.SEQUENCE(1,$C81-1)*$O81)+$Z$5))/($C81-_xlfn.SEQUENCE(1,$C81-1))</f>
        <v>0.83485548850510416</v>
      </c>
      <c r="AD81" s="32">
        <v>0.73613581481745427</v>
      </c>
      <c r="AE81" s="32">
        <v>0.66971540776697291</v>
      </c>
    </row>
    <row r="82" spans="1:31" hidden="1" outlineLevel="1" x14ac:dyDescent="0.25"/>
    <row r="83" spans="1:31" s="26" customFormat="1" ht="30" hidden="1" customHeight="1" outlineLevel="1" x14ac:dyDescent="0.25">
      <c r="E83" s="25" t="str">
        <f>E$7</f>
        <v>Trace width [mm]:</v>
      </c>
    </row>
    <row r="84" spans="1:31" s="14" customFormat="1" hidden="1" outlineLevel="1" x14ac:dyDescent="0.25">
      <c r="A84" s="69" t="str">
        <f>A$11</f>
        <v>2-layer PCB</v>
      </c>
      <c r="B84" s="14" t="str" cm="1">
        <f t="array" ref="B84:U84">B$13:U$13</f>
        <v>Square</v>
      </c>
      <c r="C84" s="14">
        <v>2</v>
      </c>
      <c r="D84" s="14">
        <v>9</v>
      </c>
      <c r="E84" s="14">
        <v>0.9</v>
      </c>
      <c r="F84" s="14">
        <v>0.15</v>
      </c>
      <c r="G84" s="14">
        <v>40</v>
      </c>
      <c r="H84" s="14">
        <v>0.6</v>
      </c>
      <c r="I84" s="14">
        <v>2210.400000000001</v>
      </c>
      <c r="J84" s="14">
        <v>1408</v>
      </c>
      <c r="K84" s="14">
        <v>1502</v>
      </c>
      <c r="L84" s="14">
        <v>10</v>
      </c>
      <c r="M84" s="14">
        <v>104</v>
      </c>
      <c r="N84" s="15">
        <v>6.92410119840213E-2</v>
      </c>
      <c r="O84" s="14">
        <v>0.56999999999999995</v>
      </c>
      <c r="P84" s="14">
        <v>3.945289900687476</v>
      </c>
      <c r="Q84" s="14">
        <v>12.533530454293953</v>
      </c>
      <c r="R84" s="14">
        <v>15.034000000000001</v>
      </c>
      <c r="S84" s="15">
        <v>2.5332579486497274E-2</v>
      </c>
      <c r="T84" s="14">
        <v>2.5004695457060482</v>
      </c>
      <c r="U84" s="15">
        <v>0.16632097550259731</v>
      </c>
      <c r="V84" s="68" t="s">
        <v>53</v>
      </c>
      <c r="W84" s="68"/>
      <c r="X84" s="68"/>
      <c r="Y84" s="68"/>
      <c r="Z84" s="68"/>
    </row>
    <row r="85" spans="1:31" hidden="1" outlineLevel="1" x14ac:dyDescent="0.25">
      <c r="A85" s="69"/>
      <c r="B85" t="str" cm="1">
        <f t="array" ref="B85:U85">B17:U17</f>
        <v>Square</v>
      </c>
      <c r="C85">
        <v>2</v>
      </c>
      <c r="D85">
        <v>9</v>
      </c>
      <c r="E85" s="17">
        <v>1.2</v>
      </c>
      <c r="F85">
        <v>0.15</v>
      </c>
      <c r="G85">
        <v>40</v>
      </c>
      <c r="H85">
        <v>0.6</v>
      </c>
      <c r="I85">
        <v>2016</v>
      </c>
      <c r="J85">
        <v>963</v>
      </c>
      <c r="K85">
        <v>1073</v>
      </c>
      <c r="L85">
        <v>10</v>
      </c>
      <c r="M85">
        <v>120</v>
      </c>
      <c r="N85">
        <v>0.11183597390493942</v>
      </c>
      <c r="O85">
        <v>0.56999999999999995</v>
      </c>
      <c r="P85">
        <v>3.032956325881794</v>
      </c>
      <c r="Q85">
        <v>9.6351982829852361</v>
      </c>
      <c r="R85">
        <v>11.587</v>
      </c>
      <c r="S85" s="4">
        <v>2.543151808060758E-2</v>
      </c>
      <c r="T85">
        <v>1.9518017170147637</v>
      </c>
      <c r="U85" s="4">
        <v>0.16844754613055699</v>
      </c>
      <c r="V85" s="68"/>
      <c r="W85" s="68"/>
      <c r="X85" s="68"/>
      <c r="Y85" s="68"/>
      <c r="Z85" s="68"/>
    </row>
    <row r="86" spans="1:31" s="12" customFormat="1" hidden="1" outlineLevel="1" x14ac:dyDescent="0.25">
      <c r="A86" s="69"/>
      <c r="B86" s="12" t="str" cm="1">
        <f t="array" ref="B86:U86">B$14:U$14</f>
        <v>Circular</v>
      </c>
      <c r="C86" s="12">
        <v>2</v>
      </c>
      <c r="D86" s="23">
        <v>9</v>
      </c>
      <c r="E86" s="12">
        <v>0.9</v>
      </c>
      <c r="F86" s="12">
        <v>0.15</v>
      </c>
      <c r="G86" s="12">
        <v>40</v>
      </c>
      <c r="H86" s="12">
        <v>0.6</v>
      </c>
      <c r="I86" s="12">
        <v>1676.6679992208731</v>
      </c>
      <c r="J86" s="12">
        <v>1068</v>
      </c>
      <c r="K86" s="12">
        <v>1050</v>
      </c>
      <c r="L86" s="12">
        <v>10</v>
      </c>
      <c r="M86" s="12">
        <v>28</v>
      </c>
      <c r="N86" s="13">
        <v>2.6666666666666668E-2</v>
      </c>
      <c r="O86" s="12">
        <v>0.56999999999999995</v>
      </c>
      <c r="P86" s="12">
        <v>3.05822330800792</v>
      </c>
      <c r="Q86" s="12">
        <v>9.7154672867688916</v>
      </c>
      <c r="R86" s="12">
        <v>11.866</v>
      </c>
      <c r="S86" s="13">
        <v>2.5421371987190296E-2</v>
      </c>
      <c r="T86" s="12">
        <v>2.1505327132311081</v>
      </c>
      <c r="U86" s="13">
        <v>0.18123484857838429</v>
      </c>
      <c r="V86" s="68"/>
      <c r="W86" s="68"/>
      <c r="X86" s="68"/>
      <c r="Y86" s="68"/>
      <c r="Z86" s="68"/>
    </row>
    <row r="87" spans="1:31" hidden="1" outlineLevel="1" x14ac:dyDescent="0.25">
      <c r="A87" s="69"/>
      <c r="B87" t="str" cm="1">
        <f t="array" ref="B87:U87">B18:U18</f>
        <v>Circular</v>
      </c>
      <c r="C87">
        <v>2</v>
      </c>
      <c r="D87" s="22">
        <v>9</v>
      </c>
      <c r="E87" s="17">
        <v>1.2</v>
      </c>
      <c r="F87">
        <v>0.15</v>
      </c>
      <c r="G87">
        <v>40</v>
      </c>
      <c r="H87">
        <v>0.6</v>
      </c>
      <c r="I87">
        <v>1507.0219959270239</v>
      </c>
      <c r="J87">
        <v>720</v>
      </c>
      <c r="K87">
        <v>731</v>
      </c>
      <c r="L87">
        <v>10</v>
      </c>
      <c r="M87">
        <v>21</v>
      </c>
      <c r="N87" s="4">
        <v>2.8727770177838577E-2</v>
      </c>
      <c r="O87">
        <v>0.56999999999999995</v>
      </c>
      <c r="P87">
        <v>2.2902271913163901</v>
      </c>
      <c r="Q87">
        <v>7.2756712363809379</v>
      </c>
      <c r="R87">
        <v>8.9469999999999992</v>
      </c>
      <c r="S87" s="4">
        <v>2.5558846540739914E-2</v>
      </c>
      <c r="T87">
        <v>1.6713287636190612</v>
      </c>
      <c r="U87" s="4">
        <v>0.18680325959752558</v>
      </c>
      <c r="V87" s="68"/>
      <c r="W87" s="68"/>
      <c r="X87" s="68"/>
      <c r="Y87" s="68"/>
      <c r="Z87" s="68"/>
    </row>
    <row r="88" spans="1:31" hidden="1" outlineLevel="1" x14ac:dyDescent="0.25"/>
    <row r="89" spans="1:31" s="26" customFormat="1" ht="30" hidden="1" customHeight="1" outlineLevel="1" x14ac:dyDescent="0.25">
      <c r="F89" s="25" t="str">
        <f>F$7</f>
        <v>Clearance [mm]:</v>
      </c>
    </row>
    <row r="90" spans="1:31" s="14" customFormat="1" hidden="1" outlineLevel="1" x14ac:dyDescent="0.25">
      <c r="A90" s="69" t="str">
        <f>A$11</f>
        <v>2-layer PCB</v>
      </c>
      <c r="B90" s="14" t="str" cm="1">
        <f t="array" ref="B90:U90">B$13:U$13</f>
        <v>Square</v>
      </c>
      <c r="C90" s="14">
        <v>2</v>
      </c>
      <c r="D90" s="14">
        <v>9</v>
      </c>
      <c r="E90" s="14">
        <v>0.9</v>
      </c>
      <c r="F90" s="14">
        <v>0.15</v>
      </c>
      <c r="G90" s="14">
        <v>40</v>
      </c>
      <c r="H90" s="14">
        <v>0.6</v>
      </c>
      <c r="I90" s="14">
        <v>2210.400000000001</v>
      </c>
      <c r="J90" s="14">
        <v>1408</v>
      </c>
      <c r="K90" s="14">
        <v>1502</v>
      </c>
      <c r="L90" s="14">
        <v>10</v>
      </c>
      <c r="M90" s="14">
        <v>104</v>
      </c>
      <c r="N90" s="15">
        <v>6.92410119840213E-2</v>
      </c>
      <c r="O90" s="14">
        <v>0.56999999999999995</v>
      </c>
      <c r="P90" s="14">
        <v>3.945289900687476</v>
      </c>
      <c r="Q90" s="14">
        <v>12.533530454293953</v>
      </c>
      <c r="R90" s="14">
        <v>15.034000000000001</v>
      </c>
      <c r="S90" s="15">
        <v>2.5332579486497274E-2</v>
      </c>
      <c r="T90" s="14">
        <v>2.5004695457060482</v>
      </c>
      <c r="U90" s="15">
        <v>0.16632097550259731</v>
      </c>
      <c r="V90" s="68" t="s">
        <v>53</v>
      </c>
      <c r="W90" s="68"/>
      <c r="X90" s="68"/>
      <c r="Y90" s="68"/>
      <c r="Z90" s="68"/>
    </row>
    <row r="91" spans="1:31" hidden="1" outlineLevel="1" x14ac:dyDescent="0.25">
      <c r="A91" s="69"/>
      <c r="B91" t="str" cm="1">
        <f t="array" ref="B91:U91">B19:U19</f>
        <v>Square</v>
      </c>
      <c r="C91">
        <v>2</v>
      </c>
      <c r="D91">
        <v>9</v>
      </c>
      <c r="E91">
        <v>0.9</v>
      </c>
      <c r="F91" s="17">
        <v>0.3</v>
      </c>
      <c r="G91">
        <v>40</v>
      </c>
      <c r="H91">
        <v>0.6</v>
      </c>
      <c r="I91">
        <v>2124</v>
      </c>
      <c r="J91">
        <v>1353</v>
      </c>
      <c r="K91">
        <v>1473</v>
      </c>
      <c r="L91">
        <v>10</v>
      </c>
      <c r="M91">
        <v>130</v>
      </c>
      <c r="N91">
        <v>8.8255261371350979E-2</v>
      </c>
      <c r="O91">
        <v>0.56999999999999995</v>
      </c>
      <c r="P91">
        <v>3.5104936720560538</v>
      </c>
      <c r="Q91">
        <v>11.152255082865736</v>
      </c>
      <c r="R91">
        <v>13.393000000000001</v>
      </c>
      <c r="S91" s="4">
        <v>2.5373329351153589E-2</v>
      </c>
      <c r="T91">
        <v>2.2407449171342648</v>
      </c>
      <c r="U91" s="4">
        <v>0.16730716920288694</v>
      </c>
      <c r="V91" s="68"/>
      <c r="W91" s="68"/>
      <c r="X91" s="68"/>
      <c r="Y91" s="68"/>
      <c r="Z91" s="68"/>
    </row>
    <row r="92" spans="1:31" s="12" customFormat="1" hidden="1" outlineLevel="1" x14ac:dyDescent="0.25">
      <c r="A92" s="69"/>
      <c r="B92" s="12" t="str" cm="1">
        <f t="array" ref="B92:U92">B$14:U$14</f>
        <v>Circular</v>
      </c>
      <c r="C92" s="12">
        <v>2</v>
      </c>
      <c r="D92" s="23">
        <v>9</v>
      </c>
      <c r="E92" s="12">
        <v>0.9</v>
      </c>
      <c r="F92" s="12">
        <v>0.15</v>
      </c>
      <c r="G92" s="12">
        <v>40</v>
      </c>
      <c r="H92" s="12">
        <v>0.6</v>
      </c>
      <c r="I92" s="12">
        <v>1676.6679992208731</v>
      </c>
      <c r="J92" s="12">
        <v>1068</v>
      </c>
      <c r="K92" s="12">
        <v>1050</v>
      </c>
      <c r="L92" s="12">
        <v>10</v>
      </c>
      <c r="M92" s="12">
        <v>28</v>
      </c>
      <c r="N92" s="13">
        <v>2.6666666666666668E-2</v>
      </c>
      <c r="O92" s="12">
        <v>0.56999999999999995</v>
      </c>
      <c r="P92" s="12">
        <v>3.05822330800792</v>
      </c>
      <c r="Q92" s="12">
        <v>9.7154672867688916</v>
      </c>
      <c r="R92" s="12">
        <v>11.866</v>
      </c>
      <c r="S92" s="13">
        <v>2.5421371987190296E-2</v>
      </c>
      <c r="T92" s="12">
        <v>2.1505327132311081</v>
      </c>
      <c r="U92" s="13">
        <v>0.18123484857838429</v>
      </c>
      <c r="V92" s="68"/>
      <c r="W92" s="68"/>
      <c r="X92" s="68"/>
      <c r="Y92" s="68"/>
      <c r="Z92" s="68"/>
    </row>
    <row r="93" spans="1:31" hidden="1" outlineLevel="1" x14ac:dyDescent="0.25">
      <c r="A93" s="69"/>
      <c r="B93" t="str" cm="1">
        <f t="array" ref="B93:U93">B20:U20</f>
        <v>Circular</v>
      </c>
      <c r="C93">
        <v>2</v>
      </c>
      <c r="D93" s="22">
        <v>9</v>
      </c>
      <c r="E93">
        <v>0.9</v>
      </c>
      <c r="F93" s="17">
        <v>0.3</v>
      </c>
      <c r="G93">
        <v>40</v>
      </c>
      <c r="H93">
        <v>0.6</v>
      </c>
      <c r="I93">
        <v>1600.3272977386409</v>
      </c>
      <c r="J93">
        <v>1019</v>
      </c>
      <c r="K93">
        <v>1007</v>
      </c>
      <c r="L93">
        <v>10</v>
      </c>
      <c r="M93">
        <v>22</v>
      </c>
      <c r="N93" s="4">
        <v>2.1847070506454815E-2</v>
      </c>
      <c r="O93">
        <v>0.56999999999999995</v>
      </c>
      <c r="P93">
        <v>2.688808608987256</v>
      </c>
      <c r="Q93">
        <v>8.5418981709397794</v>
      </c>
      <c r="R93">
        <v>10.414999999999999</v>
      </c>
      <c r="S93" s="4">
        <v>2.5480076812289965E-2</v>
      </c>
      <c r="T93">
        <v>1.8731018290602197</v>
      </c>
      <c r="U93" s="4">
        <v>0.17984655103794717</v>
      </c>
      <c r="V93" s="68"/>
      <c r="W93" s="68"/>
      <c r="X93" s="68"/>
      <c r="Y93" s="68"/>
      <c r="Z93" s="68"/>
    </row>
    <row r="94" spans="1:31" hidden="1" outlineLevel="1" x14ac:dyDescent="0.25"/>
    <row r="95" spans="1:31" s="26" customFormat="1" ht="30" hidden="1" customHeight="1" outlineLevel="1" x14ac:dyDescent="0.25">
      <c r="E95" s="28"/>
      <c r="F95" s="28"/>
      <c r="G95" s="25" t="str">
        <f>G$7</f>
        <v>Diam. [mm]:</v>
      </c>
    </row>
    <row r="96" spans="1:31" s="14" customFormat="1" hidden="1" outlineLevel="1" x14ac:dyDescent="0.25">
      <c r="A96" s="69" t="str">
        <f>A$11</f>
        <v>2-layer PCB</v>
      </c>
      <c r="B96" s="14" t="str" cm="1">
        <f t="array" ref="B96:U96">B$13:U$13</f>
        <v>Square</v>
      </c>
      <c r="C96" s="14">
        <v>2</v>
      </c>
      <c r="D96" s="14">
        <v>9</v>
      </c>
      <c r="E96" s="14">
        <v>0.9</v>
      </c>
      <c r="F96" s="14">
        <v>0.15</v>
      </c>
      <c r="G96" s="14">
        <v>40</v>
      </c>
      <c r="H96" s="14">
        <v>0.6</v>
      </c>
      <c r="I96" s="14">
        <v>2210.400000000001</v>
      </c>
      <c r="J96" s="14">
        <v>1408</v>
      </c>
      <c r="K96" s="14">
        <v>1502</v>
      </c>
      <c r="L96" s="14">
        <v>10</v>
      </c>
      <c r="M96" s="14">
        <v>104</v>
      </c>
      <c r="N96" s="15">
        <v>6.92410119840213E-2</v>
      </c>
      <c r="O96" s="14">
        <v>0.56999999999999995</v>
      </c>
      <c r="P96" s="14">
        <v>3.945289900687476</v>
      </c>
      <c r="Q96" s="14">
        <v>12.533530454293953</v>
      </c>
      <c r="R96" s="14">
        <v>15.034000000000001</v>
      </c>
      <c r="S96" s="15">
        <v>2.5332579486497274E-2</v>
      </c>
      <c r="T96" s="14">
        <v>2.5004695457060482</v>
      </c>
      <c r="U96" s="15">
        <v>0.16632097550259731</v>
      </c>
      <c r="V96" s="68" t="s">
        <v>53</v>
      </c>
      <c r="W96" s="68"/>
      <c r="X96" s="68"/>
      <c r="Y96" s="68"/>
      <c r="Z96" s="68"/>
    </row>
    <row r="97" spans="1:31" hidden="1" outlineLevel="1" x14ac:dyDescent="0.25">
      <c r="A97" s="69"/>
      <c r="B97" t="str" cm="1">
        <f t="array" ref="B97:U97">B21:U21</f>
        <v>Square</v>
      </c>
      <c r="C97">
        <v>2</v>
      </c>
      <c r="D97" s="22">
        <v>9</v>
      </c>
      <c r="E97">
        <v>0.9</v>
      </c>
      <c r="F97" s="22">
        <v>0.15</v>
      </c>
      <c r="G97" s="17">
        <v>30</v>
      </c>
      <c r="H97">
        <v>0.6</v>
      </c>
      <c r="I97">
        <v>1490.4</v>
      </c>
      <c r="J97">
        <v>949</v>
      </c>
      <c r="K97">
        <v>965</v>
      </c>
      <c r="L97">
        <v>10</v>
      </c>
      <c r="M97">
        <v>26</v>
      </c>
      <c r="N97" s="4">
        <v>2.6943005181347152E-2</v>
      </c>
      <c r="O97">
        <v>0.56999999999999995</v>
      </c>
      <c r="P97">
        <v>2.1872462166826581</v>
      </c>
      <c r="Q97">
        <v>6.9485177915707501</v>
      </c>
      <c r="R97">
        <v>8.2050000000000001</v>
      </c>
      <c r="S97" s="4">
        <v>2.5609384521633152E-2</v>
      </c>
      <c r="T97">
        <v>1.25648220842925</v>
      </c>
      <c r="U97" s="4">
        <v>0.15313616190484461</v>
      </c>
      <c r="V97" s="68"/>
      <c r="W97" s="68"/>
      <c r="X97" s="68"/>
      <c r="Y97" s="68"/>
      <c r="Z97" s="68"/>
    </row>
    <row r="98" spans="1:31" s="12" customFormat="1" hidden="1" outlineLevel="1" x14ac:dyDescent="0.25">
      <c r="A98" s="69"/>
      <c r="B98" s="12" t="str" cm="1">
        <f t="array" ref="B98:U98">B$14:U$14</f>
        <v>Circular</v>
      </c>
      <c r="C98" s="12">
        <v>2</v>
      </c>
      <c r="D98" s="23">
        <v>9</v>
      </c>
      <c r="E98" s="12">
        <v>0.9</v>
      </c>
      <c r="F98" s="12">
        <v>0.15</v>
      </c>
      <c r="G98" s="12">
        <v>40</v>
      </c>
      <c r="H98" s="12">
        <v>0.6</v>
      </c>
      <c r="I98" s="12">
        <v>1676.6679992208731</v>
      </c>
      <c r="J98" s="12">
        <v>1068</v>
      </c>
      <c r="K98" s="12">
        <v>1050</v>
      </c>
      <c r="L98" s="12">
        <v>10</v>
      </c>
      <c r="M98" s="12">
        <v>28</v>
      </c>
      <c r="N98" s="13">
        <v>2.6666666666666668E-2</v>
      </c>
      <c r="O98" s="12">
        <v>0.56999999999999995</v>
      </c>
      <c r="P98" s="12">
        <v>3.05822330800792</v>
      </c>
      <c r="Q98" s="12">
        <v>9.7154672867688916</v>
      </c>
      <c r="R98" s="12">
        <v>11.866</v>
      </c>
      <c r="S98" s="13">
        <v>2.5421371987190296E-2</v>
      </c>
      <c r="T98" s="12">
        <v>2.1505327132311081</v>
      </c>
      <c r="U98" s="13">
        <v>0.18123484857838429</v>
      </c>
      <c r="V98" s="68"/>
      <c r="W98" s="68"/>
      <c r="X98" s="68"/>
      <c r="Y98" s="68"/>
      <c r="Z98" s="68"/>
    </row>
    <row r="99" spans="1:31" hidden="1" outlineLevel="1" x14ac:dyDescent="0.25">
      <c r="A99" s="69"/>
      <c r="B99" t="str" cm="1">
        <f t="array" ref="B99:U99">B22:U22</f>
        <v>Circular</v>
      </c>
      <c r="C99">
        <v>2</v>
      </c>
      <c r="D99" s="22">
        <v>9</v>
      </c>
      <c r="E99">
        <v>0.9</v>
      </c>
      <c r="F99" s="22">
        <v>0.15</v>
      </c>
      <c r="G99" s="17">
        <v>30</v>
      </c>
      <c r="H99">
        <v>0.6</v>
      </c>
      <c r="I99">
        <v>1111.18132157471</v>
      </c>
      <c r="J99">
        <v>708</v>
      </c>
      <c r="K99">
        <v>677</v>
      </c>
      <c r="L99">
        <v>10</v>
      </c>
      <c r="M99">
        <v>41</v>
      </c>
      <c r="N99" s="4">
        <v>6.0561299852289516E-2</v>
      </c>
      <c r="O99">
        <v>0.56999999999999995</v>
      </c>
      <c r="P99">
        <v>1.6434123702126029</v>
      </c>
      <c r="Q99">
        <v>5.2208480262588202</v>
      </c>
      <c r="R99">
        <v>6.3040000000000003</v>
      </c>
      <c r="S99" s="4">
        <v>2.5793147208121831E-2</v>
      </c>
      <c r="T99">
        <v>1.0831519737411801</v>
      </c>
      <c r="U99" s="4">
        <v>0.17181979278889278</v>
      </c>
      <c r="V99" s="68"/>
      <c r="W99" s="68"/>
      <c r="X99" s="68"/>
      <c r="Y99" s="68"/>
      <c r="Z99" s="68"/>
    </row>
    <row r="100" spans="1:31" hidden="1" outlineLevel="1" x14ac:dyDescent="0.25"/>
    <row r="101" spans="1:31" s="26" customFormat="1" ht="30" hidden="1" customHeight="1" outlineLevel="1" x14ac:dyDescent="0.25">
      <c r="E101" s="28"/>
      <c r="F101" s="28"/>
      <c r="J101" s="25" t="str">
        <f>J$7</f>
        <v>Predicted Resistance [mΩ]:</v>
      </c>
      <c r="K101" s="25" t="str">
        <f>K$7</f>
        <v>Measured Resistance [mΩ]:</v>
      </c>
      <c r="M101" s="53" t="s">
        <v>69</v>
      </c>
      <c r="N101" s="53" t="s">
        <v>70</v>
      </c>
      <c r="O101" s="53" t="s">
        <v>71</v>
      </c>
      <c r="P101" s="26" t="s">
        <v>72</v>
      </c>
      <c r="Y101" s="26" t="s">
        <v>54</v>
      </c>
    </row>
    <row r="102" spans="1:31" s="12" customFormat="1" hidden="1" outlineLevel="1" x14ac:dyDescent="0.25">
      <c r="A102" s="50" t="str">
        <f>A$11</f>
        <v>2-layer PCB</v>
      </c>
      <c r="B102" s="12" t="str" cm="1">
        <f t="array" ref="B102:K102">B$14:K$14</f>
        <v>Circular</v>
      </c>
      <c r="C102" s="12">
        <v>2</v>
      </c>
      <c r="D102" s="23">
        <v>9</v>
      </c>
      <c r="E102" s="23">
        <v>0.9</v>
      </c>
      <c r="F102" s="12">
        <v>0.15</v>
      </c>
      <c r="G102" s="12">
        <v>40</v>
      </c>
      <c r="H102" s="20">
        <v>0.6</v>
      </c>
      <c r="I102" s="12">
        <v>1676.6679992208731</v>
      </c>
      <c r="J102" s="12">
        <v>1068</v>
      </c>
      <c r="K102" s="12">
        <v>1050</v>
      </c>
      <c r="L102" s="12" t="s">
        <v>15</v>
      </c>
      <c r="M102" s="12">
        <v>2</v>
      </c>
      <c r="N102" s="47"/>
      <c r="O102" s="52">
        <f>K102/M102</f>
        <v>525</v>
      </c>
      <c r="S102" s="13"/>
      <c r="U102" s="13"/>
      <c r="AC102" s="47"/>
    </row>
    <row r="103" spans="1:31" s="12" customFormat="1" hidden="1" outlineLevel="1" x14ac:dyDescent="0.25">
      <c r="A103" s="67" t="str">
        <f>A$35</f>
        <v>4-layer PCB</v>
      </c>
      <c r="B103" s="12" t="str" cm="1">
        <f t="array" ref="B103:K103">B39:K39</f>
        <v>Circular</v>
      </c>
      <c r="C103" s="12">
        <v>2</v>
      </c>
      <c r="D103" s="23">
        <v>9</v>
      </c>
      <c r="E103" s="23">
        <v>0.9</v>
      </c>
      <c r="F103" s="12">
        <v>0.3</v>
      </c>
      <c r="G103" s="12">
        <v>40</v>
      </c>
      <c r="H103" s="20" t="str">
        <v>(top_bot)0,8</v>
      </c>
      <c r="I103" s="12">
        <v>1676.6679992208731</v>
      </c>
      <c r="J103" s="12">
        <v>1068</v>
      </c>
      <c r="K103" s="12">
        <v>822</v>
      </c>
      <c r="L103" s="12" t="s">
        <v>63</v>
      </c>
      <c r="M103" s="12">
        <v>2</v>
      </c>
      <c r="N103" s="47">
        <v>0</v>
      </c>
      <c r="O103" s="52">
        <f>K103/M103</f>
        <v>411</v>
      </c>
      <c r="S103" s="13"/>
      <c r="U103" s="13"/>
      <c r="AC103" s="47"/>
    </row>
    <row r="104" spans="1:31" s="12" customFormat="1" hidden="1" outlineLevel="1" x14ac:dyDescent="0.25">
      <c r="A104" s="67"/>
      <c r="B104" s="12" t="str" cm="1">
        <f t="array" ref="B104:K104">B40:K40</f>
        <v>Circular</v>
      </c>
      <c r="C104" s="12">
        <v>2</v>
      </c>
      <c r="D104" s="23">
        <v>9</v>
      </c>
      <c r="E104" s="23">
        <v>0.9</v>
      </c>
      <c r="F104" s="12">
        <v>0.3</v>
      </c>
      <c r="G104" s="12">
        <v>40</v>
      </c>
      <c r="H104" s="20" t="str">
        <v>(top_in2)0,8</v>
      </c>
      <c r="I104" s="12">
        <v>1676.6679992208731</v>
      </c>
      <c r="J104" s="12">
        <v>1068</v>
      </c>
      <c r="K104" s="12">
        <v>1003</v>
      </c>
      <c r="L104" s="12" t="s">
        <v>64</v>
      </c>
      <c r="M104" s="12">
        <v>1</v>
      </c>
      <c r="N104" s="47">
        <v>1</v>
      </c>
      <c r="P104" s="23">
        <f>M104*O$103+N104*O$106</f>
        <v>980</v>
      </c>
      <c r="S104" s="13"/>
      <c r="U104" s="13"/>
      <c r="AC104" s="47"/>
    </row>
    <row r="105" spans="1:31" s="12" customFormat="1" hidden="1" outlineLevel="1" x14ac:dyDescent="0.25">
      <c r="A105" s="67"/>
      <c r="B105" s="12" t="str" cm="1">
        <f t="array" ref="B105:K105">B42:K42</f>
        <v>Circular</v>
      </c>
      <c r="C105" s="12">
        <v>2</v>
      </c>
      <c r="D105" s="23">
        <v>9</v>
      </c>
      <c r="E105" s="23">
        <v>0.9</v>
      </c>
      <c r="F105" s="12">
        <v>0.3</v>
      </c>
      <c r="G105" s="12">
        <v>40</v>
      </c>
      <c r="H105" s="20" t="str">
        <v>(top_in1)0,8</v>
      </c>
      <c r="I105" s="12">
        <v>1676.6679992208731</v>
      </c>
      <c r="J105" s="12">
        <v>1068</v>
      </c>
      <c r="K105" s="12">
        <v>984</v>
      </c>
      <c r="L105" s="12" t="s">
        <v>64</v>
      </c>
      <c r="M105" s="12">
        <v>1</v>
      </c>
      <c r="N105" s="47">
        <v>1</v>
      </c>
      <c r="P105" s="23">
        <f>M105*O$103+N105*O$106</f>
        <v>980</v>
      </c>
      <c r="S105" s="13"/>
      <c r="U105" s="13"/>
      <c r="Y105" s="12" t="e">
        <f>((R105/#REF!)-C105)/2</f>
        <v>#REF!</v>
      </c>
      <c r="Z105" s="12" t="e">
        <f>Y105</f>
        <v>#REF!</v>
      </c>
      <c r="AC105" s="32" cm="1">
        <f t="array" ref="AC105">(($C105-_xlfn.SEQUENCE(1,$C105-1))/($W$5*((_xlfn.SEQUENCE(1,$C105-1)*$P105)^3)+$X$5*((_xlfn.SEQUENCE(1,$C105-1)*$P105)^2)+$Y$5*(_xlfn.SEQUENCE(1,$C105-1)*$P105)+$Z$5))/($C105-_xlfn.SEQUENCE(1,$C105-1))</f>
        <v>5.7911881848243559E-9</v>
      </c>
      <c r="AD105" s="49"/>
      <c r="AE105" s="32"/>
    </row>
    <row r="106" spans="1:31" s="12" customFormat="1" hidden="1" outlineLevel="1" x14ac:dyDescent="0.25">
      <c r="A106" s="67"/>
      <c r="B106" s="12" t="str" cm="1">
        <f t="array" ref="B106:K106">B41:K41</f>
        <v>Circular</v>
      </c>
      <c r="C106" s="12">
        <v>2</v>
      </c>
      <c r="D106" s="23">
        <v>9</v>
      </c>
      <c r="E106" s="23">
        <v>0.9</v>
      </c>
      <c r="F106" s="12">
        <v>0.3</v>
      </c>
      <c r="G106" s="12">
        <v>40</v>
      </c>
      <c r="H106" s="20" t="str">
        <v>(in1_in2)0,8</v>
      </c>
      <c r="I106" s="12">
        <v>1676.6679992208731</v>
      </c>
      <c r="J106" s="12">
        <v>1068</v>
      </c>
      <c r="K106" s="12">
        <v>1138</v>
      </c>
      <c r="L106" s="12" t="s">
        <v>65</v>
      </c>
      <c r="N106" s="47">
        <v>2</v>
      </c>
      <c r="O106" s="52">
        <f>K106/N106</f>
        <v>569</v>
      </c>
      <c r="S106" s="13"/>
      <c r="U106" s="13"/>
      <c r="AC106" s="47"/>
    </row>
    <row r="107" spans="1:31" s="12" customFormat="1" hidden="1" outlineLevel="1" x14ac:dyDescent="0.25">
      <c r="A107" s="67"/>
      <c r="B107" s="12" t="str" cm="1">
        <f t="array" ref="B107:K107">B35:K35</f>
        <v>Circular</v>
      </c>
      <c r="C107" s="23">
        <v>3</v>
      </c>
      <c r="D107" s="23">
        <v>9</v>
      </c>
      <c r="E107" s="23">
        <v>0.9</v>
      </c>
      <c r="F107" s="12">
        <v>0.15</v>
      </c>
      <c r="G107" s="12">
        <v>40</v>
      </c>
      <c r="H107" s="20" t="str">
        <v>(top_in1_in2)0,8</v>
      </c>
      <c r="I107" s="12">
        <v>2515.0019988313088</v>
      </c>
      <c r="J107" s="12">
        <v>1602</v>
      </c>
      <c r="K107" s="12">
        <v>1599</v>
      </c>
      <c r="L107" s="12" t="s">
        <v>66</v>
      </c>
      <c r="M107" s="12">
        <v>1</v>
      </c>
      <c r="N107" s="47">
        <v>2</v>
      </c>
      <c r="P107" s="23">
        <f>M107*O$103+N107*O$106</f>
        <v>1549</v>
      </c>
      <c r="S107" s="13"/>
      <c r="U107" s="13"/>
      <c r="Y107" s="12" t="e">
        <f>((R107/#REF!)-C107)/2</f>
        <v>#REF!</v>
      </c>
      <c r="Z107" s="12" t="e">
        <f>2*Z105</f>
        <v>#REF!</v>
      </c>
      <c r="AA107" s="12" t="e">
        <f>Y107-(2*Z105)</f>
        <v>#REF!</v>
      </c>
      <c r="AC107" s="32" cm="1">
        <f t="array" ref="AC107:AD107">(($C107-_xlfn.SEQUENCE(1,$C107-1))/($W$5*((_xlfn.SEQUENCE(1,$C107-1)*$P107)^3)+$X$5*((_xlfn.SEQUENCE(1,$C107-1)*$P107)^2)+$Y$5*(_xlfn.SEQUENCE(1,$C107-1)*$P107)+$Z$5))/($C107-_xlfn.SEQUENCE(1,$C107-1))</f>
        <v>1.4649662146933589E-9</v>
      </c>
      <c r="AD107" s="49">
        <v>1.8295229049470996E-10</v>
      </c>
      <c r="AE107" s="32"/>
    </row>
    <row r="108" spans="1:31" s="12" customFormat="1" hidden="1" outlineLevel="1" x14ac:dyDescent="0.25">
      <c r="A108" s="67"/>
      <c r="B108" s="12" t="str" cm="1">
        <f t="array" ref="B108:K108">B43:K43</f>
        <v>Circular</v>
      </c>
      <c r="C108" s="23">
        <v>3</v>
      </c>
      <c r="D108" s="23">
        <v>9</v>
      </c>
      <c r="E108" s="23">
        <v>0.9</v>
      </c>
      <c r="F108" s="12">
        <v>0.15</v>
      </c>
      <c r="G108" s="12">
        <v>40</v>
      </c>
      <c r="H108" s="20" t="str">
        <v>(top_in1_bot)0,8</v>
      </c>
      <c r="I108" s="12">
        <v>2515.0019988313088</v>
      </c>
      <c r="J108" s="12">
        <v>1602</v>
      </c>
      <c r="K108" s="12">
        <v>1447</v>
      </c>
      <c r="L108" s="12" t="s">
        <v>67</v>
      </c>
      <c r="M108" s="12">
        <v>2</v>
      </c>
      <c r="N108" s="47">
        <v>1</v>
      </c>
      <c r="P108" s="23">
        <f>M108*O$103+N108*O$106</f>
        <v>1391</v>
      </c>
      <c r="S108" s="13"/>
      <c r="U108" s="13"/>
      <c r="Y108" s="12" t="e">
        <f>((R108/#REF!)-C108)/2</f>
        <v>#REF!</v>
      </c>
      <c r="Z108" s="12" t="e">
        <f>2*Z107</f>
        <v>#REF!</v>
      </c>
      <c r="AA108" s="12" t="e">
        <f>Y108-(2*Z107)</f>
        <v>#REF!</v>
      </c>
      <c r="AC108" s="32" cm="1">
        <f t="array" ref="AC108:AD108">(($C108-_xlfn.SEQUENCE(1,$C108-1))/($W$5*((_xlfn.SEQUENCE(1,$C108-1)*$P108)^3)+$X$5*((_xlfn.SEQUENCE(1,$C108-1)*$P108)^2)+$Y$5*(_xlfn.SEQUENCE(1,$C108-1)*$P108)+$Z$5))/($C108-_xlfn.SEQUENCE(1,$C108-1))</f>
        <v>2.0234443752137393E-9</v>
      </c>
      <c r="AD108" s="49">
        <v>2.5267142550167207E-10</v>
      </c>
      <c r="AE108" s="32"/>
    </row>
    <row r="109" spans="1:31" s="12" customFormat="1" hidden="1" outlineLevel="1" x14ac:dyDescent="0.25">
      <c r="A109" s="67"/>
      <c r="B109" s="12" t="str" cm="1">
        <f t="array" ref="B109:K109">B$36:K$36</f>
        <v>Circular</v>
      </c>
      <c r="C109" s="12">
        <v>4</v>
      </c>
      <c r="D109" s="23">
        <v>9</v>
      </c>
      <c r="E109" s="12">
        <v>0.9</v>
      </c>
      <c r="F109" s="12">
        <v>0.15</v>
      </c>
      <c r="G109" s="12">
        <v>40</v>
      </c>
      <c r="H109" s="12">
        <v>0.8</v>
      </c>
      <c r="I109" s="12">
        <v>3353.3359984417448</v>
      </c>
      <c r="J109" s="12">
        <v>2136</v>
      </c>
      <c r="K109" s="12">
        <v>1995</v>
      </c>
      <c r="L109" s="12" t="s">
        <v>68</v>
      </c>
      <c r="M109" s="12">
        <v>2</v>
      </c>
      <c r="N109" s="47">
        <v>2</v>
      </c>
      <c r="P109" s="23">
        <f>M109*O$103+N109*O$106</f>
        <v>1960</v>
      </c>
      <c r="S109" s="13"/>
      <c r="U109" s="13"/>
      <c r="Y109" s="12" t="e">
        <f>((R109/#REF!)-C109)/2</f>
        <v>#REF!</v>
      </c>
      <c r="Z109" s="12" t="e">
        <f>3*Z105</f>
        <v>#REF!</v>
      </c>
      <c r="AA109" s="12" t="e">
        <f>2*AA107</f>
        <v>#REF!</v>
      </c>
      <c r="AB109" s="12" t="e">
        <f>Y109-(3*Z105)-(2*AA107)</f>
        <v>#REF!</v>
      </c>
      <c r="AC109" s="32" cm="1">
        <f t="array" ref="AC109:AE109">(($C109-_xlfn.SEQUENCE(1,$C109-1))/($W$5*((_xlfn.SEQUENCE(1,$C109-1)*$P109)^3)+$X$5*((_xlfn.SEQUENCE(1,$C109-1)*$P109)^2)+$Y$5*(_xlfn.SEQUENCE(1,$C109-1)*$P109)+$Z$5))/($C109-_xlfn.SEQUENCE(1,$C109-1))</f>
        <v>7.2284637383260654E-10</v>
      </c>
      <c r="AD109" s="32">
        <v>9.0290080976653842E-11</v>
      </c>
      <c r="AE109" s="32">
        <v>2.674612806339717E-11</v>
      </c>
    </row>
    <row r="110" spans="1:31" collapsed="1" x14ac:dyDescent="0.25"/>
  </sheetData>
  <mergeCells count="17">
    <mergeCell ref="A77:A81"/>
    <mergeCell ref="H1:O1"/>
    <mergeCell ref="B4:H4"/>
    <mergeCell ref="B6:H6"/>
    <mergeCell ref="B5:H5"/>
    <mergeCell ref="A8:A10"/>
    <mergeCell ref="A11:A34"/>
    <mergeCell ref="A35:A46"/>
    <mergeCell ref="A57:A72"/>
    <mergeCell ref="A52:A54"/>
    <mergeCell ref="A103:A109"/>
    <mergeCell ref="V84:Z87"/>
    <mergeCell ref="V90:Z93"/>
    <mergeCell ref="V96:Z99"/>
    <mergeCell ref="A84:A87"/>
    <mergeCell ref="A90:A93"/>
    <mergeCell ref="A96:A9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88E1-C902-45EC-AE8D-E957B2E1B616}">
  <dimension ref="A1:AD48"/>
  <sheetViews>
    <sheetView zoomScaleNormal="100" workbookViewId="0">
      <pane xSplit="1" topLeftCell="M1" activePane="topRight" state="frozen"/>
      <selection pane="topRight" activeCell="V9" sqref="V9"/>
    </sheetView>
  </sheetViews>
  <sheetFormatPr defaultRowHeight="15" outlineLevelRow="1" outlineLevelCol="1" x14ac:dyDescent="0.25"/>
  <cols>
    <col min="1" max="1" width="16.28515625" customWidth="1"/>
    <col min="2" max="2" width="13.5703125" bestFit="1" customWidth="1"/>
    <col min="5" max="5" width="11.85546875" customWidth="1"/>
    <col min="6" max="6" width="10.140625" customWidth="1"/>
    <col min="7" max="7" width="7.28515625" customWidth="1"/>
    <col min="8" max="8" width="15.28515625" customWidth="1"/>
    <col min="9" max="9" width="14.7109375" customWidth="1" outlineLevel="1"/>
    <col min="10" max="10" width="17" customWidth="1" outlineLevel="1"/>
    <col min="11" max="11" width="16.28515625" customWidth="1" outlineLevel="1"/>
    <col min="12" max="12" width="12.85546875" customWidth="1" outlineLevel="1"/>
    <col min="13" max="13" width="11" customWidth="1" outlineLevel="1"/>
    <col min="14" max="14" width="14.85546875" customWidth="1" outlineLevel="1"/>
    <col min="15" max="15" width="14.7109375" customWidth="1"/>
    <col min="16" max="16" width="16.7109375" customWidth="1"/>
    <col min="17" max="17" width="16.140625" customWidth="1"/>
    <col min="18" max="18" width="15.42578125" customWidth="1"/>
    <col min="19" max="19" width="13.5703125" hidden="1" customWidth="1"/>
    <col min="20" max="20" width="10.7109375" customWidth="1"/>
    <col min="21" max="21" width="14.85546875" customWidth="1"/>
    <col min="27" max="27" width="16.85546875" bestFit="1" customWidth="1"/>
    <col min="28" max="29" width="10.5703125" bestFit="1" customWidth="1"/>
  </cols>
  <sheetData>
    <row r="1" spans="1:30" x14ac:dyDescent="0.25">
      <c r="H1" s="70" t="s">
        <v>55</v>
      </c>
      <c r="I1" s="70"/>
      <c r="J1" s="70"/>
      <c r="K1" s="70"/>
      <c r="L1" s="70"/>
      <c r="M1" s="70"/>
      <c r="N1" s="70"/>
      <c r="O1" s="70"/>
      <c r="P1" t="s">
        <v>56</v>
      </c>
      <c r="Q1" t="s">
        <v>57</v>
      </c>
      <c r="R1" t="s">
        <v>91</v>
      </c>
    </row>
    <row r="2" spans="1:30" x14ac:dyDescent="0.25">
      <c r="P2" t="s">
        <v>59</v>
      </c>
      <c r="Q2" t="s">
        <v>58</v>
      </c>
      <c r="R2" t="s">
        <v>90</v>
      </c>
    </row>
    <row r="3" spans="1:30" x14ac:dyDescent="0.25">
      <c r="B3" t="s">
        <v>107</v>
      </c>
    </row>
    <row r="4" spans="1:30" x14ac:dyDescent="0.25">
      <c r="B4" t="s">
        <v>103</v>
      </c>
      <c r="C4">
        <v>1.2</v>
      </c>
      <c r="D4" t="s">
        <v>105</v>
      </c>
    </row>
    <row r="5" spans="1:30" x14ac:dyDescent="0.25">
      <c r="B5" t="s">
        <v>104</v>
      </c>
      <c r="C5">
        <v>3.5000000000000003E-2</v>
      </c>
      <c r="D5" t="s">
        <v>105</v>
      </c>
    </row>
    <row r="6" spans="1:30" x14ac:dyDescent="0.25">
      <c r="B6" t="s">
        <v>106</v>
      </c>
      <c r="C6">
        <v>1.52E-2</v>
      </c>
      <c r="D6" t="s">
        <v>105</v>
      </c>
    </row>
    <row r="7" spans="1:30" x14ac:dyDescent="0.25">
      <c r="B7" t="s">
        <v>109</v>
      </c>
      <c r="C7">
        <v>9.9400000000000002E-2</v>
      </c>
      <c r="D7" t="s">
        <v>105</v>
      </c>
    </row>
    <row r="8" spans="1:30" x14ac:dyDescent="0.25">
      <c r="B8" t="s">
        <v>108</v>
      </c>
      <c r="C8">
        <v>0.35</v>
      </c>
      <c r="D8" t="s">
        <v>105</v>
      </c>
      <c r="I8" t="s">
        <v>18</v>
      </c>
      <c r="J8">
        <f>1.72 * 10^-8</f>
        <v>1.7199999999999999E-8</v>
      </c>
    </row>
    <row r="9" spans="1:30" x14ac:dyDescent="0.25">
      <c r="B9" t="s">
        <v>110</v>
      </c>
      <c r="C9">
        <v>0.10879999999999999</v>
      </c>
      <c r="D9" t="s">
        <v>105</v>
      </c>
      <c r="I9" t="s">
        <v>23</v>
      </c>
      <c r="J9">
        <v>30</v>
      </c>
      <c r="K9" s="76" t="s">
        <v>112</v>
      </c>
    </row>
    <row r="10" spans="1:30" x14ac:dyDescent="0.25">
      <c r="I10" t="s">
        <v>22</v>
      </c>
      <c r="J10" s="57" cm="1">
        <f t="array" ref="J10">1000000 * AVERAGE($J$8*(I15:I30/1000) / ((K15:K30/1000) * (E15:E30/1000)))</f>
        <v>18.882118188267366</v>
      </c>
      <c r="K10" s="76"/>
    </row>
    <row r="11" spans="1:30" x14ac:dyDescent="0.25">
      <c r="B11" s="71" t="s">
        <v>28</v>
      </c>
      <c r="C11" s="71"/>
      <c r="D11" s="71"/>
      <c r="E11" s="71"/>
      <c r="F11" s="71"/>
      <c r="G11" s="71"/>
      <c r="H11" s="71"/>
      <c r="I11" t="s">
        <v>23</v>
      </c>
      <c r="J11">
        <v>15</v>
      </c>
      <c r="K11" s="76" t="s">
        <v>113</v>
      </c>
      <c r="W11" s="29"/>
      <c r="X11" s="29"/>
      <c r="Y11" s="29"/>
      <c r="Z11" s="29"/>
      <c r="AA11" s="29"/>
      <c r="AB11" s="29"/>
      <c r="AC11" s="29"/>
      <c r="AD11" s="29"/>
    </row>
    <row r="12" spans="1:30" x14ac:dyDescent="0.25">
      <c r="B12" s="72" t="s">
        <v>27</v>
      </c>
      <c r="C12" s="72"/>
      <c r="D12" s="72"/>
      <c r="E12" s="72"/>
      <c r="F12" s="72"/>
      <c r="G12" s="72"/>
      <c r="H12" s="72"/>
      <c r="I12" t="s">
        <v>22</v>
      </c>
      <c r="J12" s="57" cm="1">
        <f t="array" ref="J12">1000000 * AVERAGE($J$8*(I15:I30/1000) / ((K15:K30/1000) * (E15:E30/1000)))</f>
        <v>18.882118188267366</v>
      </c>
      <c r="K12" s="76"/>
      <c r="R12">
        <v>20</v>
      </c>
      <c r="S12" s="2">
        <v>2.5000000000000001E-2</v>
      </c>
      <c r="T12">
        <f>5*0.001</f>
        <v>5.0000000000000001E-3</v>
      </c>
    </row>
    <row r="13" spans="1:30" x14ac:dyDescent="0.25">
      <c r="B13" s="70" t="s">
        <v>29</v>
      </c>
      <c r="C13" s="70"/>
      <c r="D13" s="70"/>
      <c r="E13" s="70"/>
      <c r="F13" s="70"/>
      <c r="G13" s="70"/>
      <c r="H13" s="70"/>
      <c r="K13" t="s">
        <v>17</v>
      </c>
      <c r="L13" s="2">
        <v>2.9999999999999997E-4</v>
      </c>
      <c r="M13">
        <f>0.005%*200000</f>
        <v>10</v>
      </c>
      <c r="R13" t="s">
        <v>17</v>
      </c>
      <c r="S13" s="2">
        <v>6.0000000000000001E-3</v>
      </c>
      <c r="T13">
        <f>3*0.01</f>
        <v>0.03</v>
      </c>
    </row>
    <row r="14" spans="1:30" s="1" customFormat="1" ht="30" customHeight="1" x14ac:dyDescent="0.25">
      <c r="A14" s="1" t="s">
        <v>73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25</v>
      </c>
      <c r="I14" s="1" t="s">
        <v>11</v>
      </c>
      <c r="J14" s="1" t="s">
        <v>6</v>
      </c>
      <c r="K14" s="1" t="s">
        <v>7</v>
      </c>
      <c r="L14" s="1" t="s">
        <v>12</v>
      </c>
      <c r="M14" s="1" t="s">
        <v>13</v>
      </c>
      <c r="N14" s="1" t="s">
        <v>31</v>
      </c>
      <c r="O14" s="1" t="s">
        <v>24</v>
      </c>
      <c r="P14" s="1" t="s">
        <v>26</v>
      </c>
      <c r="Q14" s="1" t="s">
        <v>19</v>
      </c>
      <c r="R14" s="1" t="s">
        <v>20</v>
      </c>
      <c r="S14" s="1" t="s">
        <v>52</v>
      </c>
      <c r="T14" s="1" t="s">
        <v>21</v>
      </c>
      <c r="U14" s="1" t="s">
        <v>31</v>
      </c>
      <c r="Y14" s="1" t="s">
        <v>147</v>
      </c>
    </row>
    <row r="15" spans="1:30" x14ac:dyDescent="0.25">
      <c r="A15" s="54" t="s">
        <v>75</v>
      </c>
      <c r="B15" t="s">
        <v>9</v>
      </c>
      <c r="C15" s="17">
        <v>1</v>
      </c>
      <c r="D15" s="22">
        <v>8</v>
      </c>
      <c r="E15">
        <v>1</v>
      </c>
      <c r="F15">
        <v>0.1</v>
      </c>
      <c r="G15">
        <v>24</v>
      </c>
      <c r="H15" s="22">
        <v>1.2</v>
      </c>
      <c r="I15" s="43">
        <f t="shared" ref="I15:I24" si="0">(C15/C$26)*I$26</f>
        <v>356.88492544780001</v>
      </c>
      <c r="J15">
        <f>ROUND(1000 * $J$8*(I15/1000) / (($J$9/1000000) * (E15/1000)), 0)</f>
        <v>205</v>
      </c>
      <c r="K15">
        <v>197</v>
      </c>
      <c r="N15" s="11"/>
      <c r="P15" s="37">
        <v>0.80721451953940504</v>
      </c>
      <c r="Q15" s="37"/>
      <c r="R15">
        <v>0.872</v>
      </c>
      <c r="S15" s="11"/>
      <c r="T15" s="37"/>
      <c r="U15" s="11"/>
      <c r="X15" s="22"/>
      <c r="Y15">
        <v>4.95</v>
      </c>
      <c r="AD15" s="11"/>
    </row>
    <row r="16" spans="1:30" s="9" customFormat="1" x14ac:dyDescent="0.25">
      <c r="A16" s="55" t="s">
        <v>74</v>
      </c>
      <c r="B16" s="9" t="s">
        <v>9</v>
      </c>
      <c r="C16" s="9">
        <v>2</v>
      </c>
      <c r="D16" s="48">
        <v>8</v>
      </c>
      <c r="E16" s="9">
        <v>1</v>
      </c>
      <c r="F16" s="9">
        <v>0.1</v>
      </c>
      <c r="G16" s="9">
        <v>24</v>
      </c>
      <c r="H16" s="48">
        <v>1.2</v>
      </c>
      <c r="I16" s="42">
        <f t="shared" si="0"/>
        <v>713.76985089560003</v>
      </c>
      <c r="J16" s="9">
        <f>J$15*2</f>
        <v>410</v>
      </c>
      <c r="K16" s="9">
        <v>257</v>
      </c>
      <c r="N16" s="10"/>
      <c r="O16" s="16">
        <f xml:space="preserve"> C5 + C7 + C6 + C8 + C6 + C9  + C6 + C8 + C6 + C7 + C5 - ((C5+C5)/2)</f>
        <v>1.1033999999999999</v>
      </c>
      <c r="P16" s="36">
        <v>0.80721451953940515</v>
      </c>
      <c r="Q16" s="36"/>
      <c r="R16" s="9">
        <v>2.9039999999999999</v>
      </c>
      <c r="S16" s="10"/>
      <c r="T16" s="36"/>
      <c r="U16" s="10"/>
      <c r="Y16" s="9">
        <f>Y$15</f>
        <v>4.95</v>
      </c>
      <c r="AD16" s="10"/>
    </row>
    <row r="17" spans="1:30" x14ac:dyDescent="0.25">
      <c r="A17" s="54" t="s">
        <v>76</v>
      </c>
      <c r="B17" t="s">
        <v>9</v>
      </c>
      <c r="C17" s="17">
        <v>1</v>
      </c>
      <c r="D17" s="22">
        <v>8</v>
      </c>
      <c r="E17">
        <v>1</v>
      </c>
      <c r="F17">
        <v>0.1</v>
      </c>
      <c r="G17">
        <v>24</v>
      </c>
      <c r="H17" s="22">
        <v>1.2</v>
      </c>
      <c r="I17" s="43">
        <f t="shared" si="0"/>
        <v>356.88492544780001</v>
      </c>
      <c r="J17">
        <f>ROUND(1000 * $J$8*(I17/1000) / (($J$11/1000000) * (E17/1000)), 0)</f>
        <v>409</v>
      </c>
      <c r="K17">
        <v>456</v>
      </c>
      <c r="N17" s="11"/>
      <c r="P17" s="37">
        <v>0.80721451953940515</v>
      </c>
      <c r="Q17" s="37"/>
      <c r="R17">
        <v>0.92200000000000004</v>
      </c>
      <c r="S17" s="11"/>
      <c r="T17" s="37"/>
      <c r="U17" s="11"/>
      <c r="X17" s="22"/>
      <c r="Y17">
        <f t="shared" ref="Y17:Y30" si="1">Y$15</f>
        <v>4.95</v>
      </c>
      <c r="AD17" s="11"/>
    </row>
    <row r="18" spans="1:30" s="9" customFormat="1" x14ac:dyDescent="0.25">
      <c r="A18" s="55" t="s">
        <v>77</v>
      </c>
      <c r="B18" s="9" t="s">
        <v>9</v>
      </c>
      <c r="C18" s="16">
        <v>1</v>
      </c>
      <c r="D18" s="48">
        <v>8</v>
      </c>
      <c r="E18" s="9">
        <v>1</v>
      </c>
      <c r="F18" s="9">
        <v>0.1</v>
      </c>
      <c r="G18" s="9">
        <v>24</v>
      </c>
      <c r="H18" s="48">
        <v>1.2</v>
      </c>
      <c r="I18" s="42">
        <f t="shared" si="0"/>
        <v>356.88492544780001</v>
      </c>
      <c r="J18" s="9">
        <f>J$17</f>
        <v>409</v>
      </c>
      <c r="K18" s="9">
        <v>441</v>
      </c>
      <c r="N18" s="10"/>
      <c r="P18" s="36">
        <v>0.80721451953940515</v>
      </c>
      <c r="Q18" s="36"/>
      <c r="R18" s="9">
        <v>0.91</v>
      </c>
      <c r="S18" s="10"/>
      <c r="T18" s="36"/>
      <c r="U18" s="10"/>
      <c r="Y18" s="9">
        <f t="shared" si="1"/>
        <v>4.95</v>
      </c>
      <c r="AD18" s="10"/>
    </row>
    <row r="19" spans="1:30" x14ac:dyDescent="0.25">
      <c r="A19" s="54" t="s">
        <v>78</v>
      </c>
      <c r="B19" t="s">
        <v>9</v>
      </c>
      <c r="C19">
        <v>2</v>
      </c>
      <c r="D19" s="22">
        <v>8</v>
      </c>
      <c r="E19">
        <v>1</v>
      </c>
      <c r="F19">
        <v>0.1</v>
      </c>
      <c r="G19">
        <v>24</v>
      </c>
      <c r="H19" s="17" t="s">
        <v>93</v>
      </c>
      <c r="I19" s="43">
        <f t="shared" si="0"/>
        <v>713.76985089560003</v>
      </c>
      <c r="J19">
        <f>J$15+J$17</f>
        <v>614</v>
      </c>
      <c r="K19">
        <v>743</v>
      </c>
      <c r="N19" s="11"/>
      <c r="O19" s="17">
        <f xml:space="preserve"> C5 + C7 + C6 - ((C5+C6)/2)</f>
        <v>0.12450000000000001</v>
      </c>
      <c r="P19" s="37">
        <v>0.80721451953940515</v>
      </c>
      <c r="Q19" s="37"/>
      <c r="R19">
        <v>3.2240000000000002</v>
      </c>
      <c r="S19" s="11"/>
      <c r="T19" s="37"/>
      <c r="U19" s="11"/>
      <c r="X19" s="22"/>
      <c r="Y19">
        <f t="shared" si="1"/>
        <v>4.95</v>
      </c>
      <c r="AD19" s="11"/>
    </row>
    <row r="20" spans="1:30" s="9" customFormat="1" x14ac:dyDescent="0.25">
      <c r="A20" s="55" t="s">
        <v>79</v>
      </c>
      <c r="B20" s="9" t="s">
        <v>9</v>
      </c>
      <c r="C20" s="9">
        <v>2</v>
      </c>
      <c r="D20" s="48">
        <v>8</v>
      </c>
      <c r="E20" s="9">
        <v>1</v>
      </c>
      <c r="F20" s="9">
        <v>0.1</v>
      </c>
      <c r="G20" s="9">
        <v>24</v>
      </c>
      <c r="H20" s="16" t="s">
        <v>94</v>
      </c>
      <c r="I20" s="42">
        <f t="shared" si="0"/>
        <v>713.76985089560003</v>
      </c>
      <c r="J20" s="9">
        <f>J$15+J$17</f>
        <v>614</v>
      </c>
      <c r="K20" s="9">
        <v>670</v>
      </c>
      <c r="N20" s="10"/>
      <c r="O20" s="16">
        <f xml:space="preserve"> C5 + C7 + C6 + C8 + C6 - ((C5+C6)/2)</f>
        <v>0.48970000000000002</v>
      </c>
      <c r="P20" s="36">
        <v>0.80721451953940515</v>
      </c>
      <c r="Q20" s="36"/>
      <c r="R20" s="9">
        <v>3.101</v>
      </c>
      <c r="S20" s="10"/>
      <c r="T20" s="36"/>
      <c r="U20" s="10"/>
      <c r="Y20" s="9">
        <f t="shared" si="1"/>
        <v>4.95</v>
      </c>
      <c r="AD20" s="10"/>
    </row>
    <row r="21" spans="1:30" x14ac:dyDescent="0.25">
      <c r="A21" s="54" t="s">
        <v>80</v>
      </c>
      <c r="B21" t="s">
        <v>9</v>
      </c>
      <c r="C21">
        <v>2</v>
      </c>
      <c r="D21">
        <v>8</v>
      </c>
      <c r="E21">
        <v>1</v>
      </c>
      <c r="F21">
        <v>0.1</v>
      </c>
      <c r="G21">
        <v>24</v>
      </c>
      <c r="H21" s="17" t="s">
        <v>95</v>
      </c>
      <c r="I21" s="43">
        <f t="shared" si="0"/>
        <v>713.76985089560003</v>
      </c>
      <c r="J21">
        <f>J$15+J$17</f>
        <v>614</v>
      </c>
      <c r="K21">
        <v>661</v>
      </c>
      <c r="N21" s="11"/>
      <c r="O21" s="17">
        <f xml:space="preserve"> C5 + C7 + C6 + C8 + C6 + C9 + C6 - ((C5+C6)/2)</f>
        <v>0.61370000000000002</v>
      </c>
      <c r="P21" s="37">
        <v>0.80721451953940515</v>
      </c>
      <c r="Q21" s="37"/>
      <c r="R21">
        <v>3.0579999999999998</v>
      </c>
      <c r="S21" s="11"/>
      <c r="T21" s="37"/>
      <c r="U21" s="11"/>
      <c r="X21" s="22"/>
      <c r="Y21">
        <f t="shared" si="1"/>
        <v>4.95</v>
      </c>
      <c r="AD21" s="11"/>
    </row>
    <row r="22" spans="1:30" s="9" customFormat="1" x14ac:dyDescent="0.25">
      <c r="A22" s="55" t="s">
        <v>81</v>
      </c>
      <c r="B22" s="9" t="s">
        <v>9</v>
      </c>
      <c r="C22" s="9">
        <v>2</v>
      </c>
      <c r="D22" s="9">
        <v>8</v>
      </c>
      <c r="E22" s="9">
        <v>1</v>
      </c>
      <c r="F22" s="9">
        <v>0.1</v>
      </c>
      <c r="G22" s="9">
        <v>24</v>
      </c>
      <c r="H22" s="16" t="s">
        <v>96</v>
      </c>
      <c r="I22" s="42">
        <f t="shared" si="0"/>
        <v>713.76985089560003</v>
      </c>
      <c r="J22" s="9">
        <f>J$15+J$17</f>
        <v>614</v>
      </c>
      <c r="K22" s="9">
        <v>667</v>
      </c>
      <c r="N22" s="10"/>
      <c r="O22" s="16">
        <f xml:space="preserve"> C5 + C7 + C6 + C8 + C6 + C9  + C6 + C8 + C6 - ((C5+C6)/2)</f>
        <v>0.97889999999999999</v>
      </c>
      <c r="P22" s="36">
        <v>0.80721451953940515</v>
      </c>
      <c r="Q22" s="36"/>
      <c r="R22" s="9">
        <v>2.9470000000000001</v>
      </c>
      <c r="S22" s="10"/>
      <c r="T22" s="36"/>
      <c r="U22" s="10"/>
      <c r="Y22" s="9">
        <f t="shared" si="1"/>
        <v>4.95</v>
      </c>
      <c r="AD22" s="10"/>
    </row>
    <row r="23" spans="1:30" x14ac:dyDescent="0.25">
      <c r="A23" s="54" t="s">
        <v>82</v>
      </c>
      <c r="B23" t="s">
        <v>9</v>
      </c>
      <c r="C23" s="17">
        <v>3</v>
      </c>
      <c r="D23">
        <v>8</v>
      </c>
      <c r="E23">
        <v>1</v>
      </c>
      <c r="F23">
        <v>0.1</v>
      </c>
      <c r="G23">
        <v>24</v>
      </c>
      <c r="H23" s="17" t="s">
        <v>92</v>
      </c>
      <c r="I23" s="43">
        <f t="shared" si="0"/>
        <v>1070.6547763434</v>
      </c>
      <c r="J23">
        <f>J$15+(2*J$17)</f>
        <v>1023</v>
      </c>
      <c r="K23">
        <v>1111</v>
      </c>
      <c r="N23" s="11"/>
      <c r="O23" s="17" t="s">
        <v>111</v>
      </c>
      <c r="P23" s="37">
        <v>0.80721451953940515</v>
      </c>
      <c r="Q23" s="37"/>
      <c r="R23">
        <v>7.1379999999999999</v>
      </c>
      <c r="S23" s="11"/>
      <c r="T23" s="37"/>
      <c r="U23" s="11"/>
      <c r="X23" s="22"/>
      <c r="Y23">
        <f t="shared" si="1"/>
        <v>4.95</v>
      </c>
      <c r="AD23" s="11"/>
    </row>
    <row r="24" spans="1:30" s="9" customFormat="1" x14ac:dyDescent="0.25">
      <c r="A24" s="55" t="s">
        <v>83</v>
      </c>
      <c r="B24" s="9" t="s">
        <v>9</v>
      </c>
      <c r="C24" s="16">
        <v>4</v>
      </c>
      <c r="D24" s="9">
        <v>8</v>
      </c>
      <c r="E24" s="9">
        <v>1</v>
      </c>
      <c r="F24" s="9">
        <v>0.1</v>
      </c>
      <c r="G24" s="9">
        <v>24</v>
      </c>
      <c r="H24" s="16" t="s">
        <v>97</v>
      </c>
      <c r="I24" s="42">
        <f t="shared" si="0"/>
        <v>1427.5397017912001</v>
      </c>
      <c r="J24" s="9">
        <f>J$15+(3*J$17)</f>
        <v>1432</v>
      </c>
      <c r="K24" s="9">
        <v>1527</v>
      </c>
      <c r="N24" s="10"/>
      <c r="O24" s="16" t="s">
        <v>111</v>
      </c>
      <c r="P24" s="36">
        <v>0.80721451953940515</v>
      </c>
      <c r="Q24" s="36"/>
      <c r="R24" s="9">
        <v>12.28</v>
      </c>
      <c r="S24" s="10"/>
      <c r="T24" s="36"/>
      <c r="U24" s="10"/>
      <c r="Y24" s="9">
        <f t="shared" si="1"/>
        <v>4.95</v>
      </c>
      <c r="AD24" s="10"/>
    </row>
    <row r="25" spans="1:30" x14ac:dyDescent="0.25">
      <c r="A25" s="54" t="s">
        <v>84</v>
      </c>
      <c r="B25" t="s">
        <v>9</v>
      </c>
      <c r="C25" s="17">
        <v>5</v>
      </c>
      <c r="D25">
        <v>8</v>
      </c>
      <c r="E25">
        <v>1</v>
      </c>
      <c r="F25">
        <v>0.1</v>
      </c>
      <c r="G25">
        <v>24</v>
      </c>
      <c r="H25" s="17" t="s">
        <v>98</v>
      </c>
      <c r="I25" s="43">
        <f>(C25/C$26)*I$26</f>
        <v>1784.4246272390001</v>
      </c>
      <c r="J25">
        <f>J$15+(4*J$17)</f>
        <v>1841</v>
      </c>
      <c r="K25">
        <v>1971</v>
      </c>
      <c r="N25" s="11"/>
      <c r="O25" s="17" t="s">
        <v>111</v>
      </c>
      <c r="P25" s="37">
        <v>0.80721451953940515</v>
      </c>
      <c r="Q25" s="37"/>
      <c r="R25">
        <v>18.956</v>
      </c>
      <c r="S25" s="11"/>
      <c r="T25" s="37"/>
      <c r="U25" s="11"/>
      <c r="X25" s="22"/>
      <c r="Y25">
        <f t="shared" si="1"/>
        <v>4.95</v>
      </c>
      <c r="AD25" s="11"/>
    </row>
    <row r="26" spans="1:30" s="9" customFormat="1" x14ac:dyDescent="0.25">
      <c r="A26" s="55" t="s">
        <v>85</v>
      </c>
      <c r="B26" s="9" t="s">
        <v>9</v>
      </c>
      <c r="C26" s="16">
        <v>6</v>
      </c>
      <c r="D26" s="9">
        <v>8</v>
      </c>
      <c r="E26" s="9">
        <v>1</v>
      </c>
      <c r="F26" s="9">
        <v>0.1</v>
      </c>
      <c r="G26" s="9">
        <v>24</v>
      </c>
      <c r="H26" s="48">
        <v>1.2</v>
      </c>
      <c r="I26" s="42">
        <v>2141.3095526868001</v>
      </c>
      <c r="J26" s="9">
        <f>(2*J$15)+(2*J$17)</f>
        <v>1228</v>
      </c>
      <c r="K26" s="9">
        <v>2178</v>
      </c>
      <c r="N26" s="10"/>
      <c r="O26" s="16" t="s">
        <v>111</v>
      </c>
      <c r="P26" s="36">
        <v>0.80721451953940515</v>
      </c>
      <c r="Q26" s="36"/>
      <c r="R26" s="9">
        <v>26.43</v>
      </c>
      <c r="S26" s="10"/>
      <c r="T26" s="36"/>
      <c r="U26" s="10"/>
      <c r="Y26" s="9">
        <f t="shared" si="1"/>
        <v>4.95</v>
      </c>
      <c r="AD26" s="10"/>
    </row>
    <row r="27" spans="1:30" x14ac:dyDescent="0.25">
      <c r="A27" s="54" t="s">
        <v>86</v>
      </c>
      <c r="B27" t="s">
        <v>9</v>
      </c>
      <c r="C27">
        <v>2</v>
      </c>
      <c r="D27">
        <v>8</v>
      </c>
      <c r="E27">
        <v>1</v>
      </c>
      <c r="F27">
        <v>0.1</v>
      </c>
      <c r="G27">
        <v>24</v>
      </c>
      <c r="H27" s="17" t="s">
        <v>99</v>
      </c>
      <c r="I27" s="43">
        <f>(C27/C$26)*I$26</f>
        <v>713.76985089560003</v>
      </c>
      <c r="J27">
        <f>2*J$17</f>
        <v>818</v>
      </c>
      <c r="K27">
        <v>877</v>
      </c>
      <c r="N27" s="11"/>
      <c r="O27" s="17">
        <f xml:space="preserve"> C6 + C8 + C6 - ((C6+C6)/2)</f>
        <v>0.36519999999999997</v>
      </c>
      <c r="P27" s="37">
        <v>0.80721451953940515</v>
      </c>
      <c r="Q27" s="37"/>
      <c r="R27">
        <v>3.137</v>
      </c>
      <c r="S27" s="11"/>
      <c r="T27" s="37"/>
      <c r="U27" s="11"/>
      <c r="X27" s="22"/>
      <c r="Y27">
        <f t="shared" si="1"/>
        <v>4.95</v>
      </c>
      <c r="AD27" s="11"/>
    </row>
    <row r="28" spans="1:30" s="9" customFormat="1" x14ac:dyDescent="0.25">
      <c r="A28" s="55" t="s">
        <v>87</v>
      </c>
      <c r="B28" s="9" t="s">
        <v>9</v>
      </c>
      <c r="C28" s="9">
        <v>2</v>
      </c>
      <c r="D28" s="9">
        <v>8</v>
      </c>
      <c r="E28" s="9">
        <v>1</v>
      </c>
      <c r="F28" s="9">
        <v>0.1</v>
      </c>
      <c r="G28" s="9">
        <v>24</v>
      </c>
      <c r="H28" s="16" t="s">
        <v>100</v>
      </c>
      <c r="I28" s="42">
        <f t="shared" ref="I28" si="2">(C28/C$26)*I$26</f>
        <v>713.76985089560003</v>
      </c>
      <c r="J28" s="9">
        <f>2*J$17</f>
        <v>818</v>
      </c>
      <c r="K28" s="9">
        <v>869</v>
      </c>
      <c r="N28" s="10"/>
      <c r="O28" s="16">
        <f xml:space="preserve"> C6 + C8 + C6 + C9  + C6 + C8 + C6 - ((C6+C6)/2)</f>
        <v>0.85439999999999994</v>
      </c>
      <c r="P28" s="36">
        <v>0.80721451953940515</v>
      </c>
      <c r="Q28" s="36"/>
      <c r="R28" s="9">
        <v>2.9769999999999999</v>
      </c>
      <c r="S28" s="10"/>
      <c r="T28" s="36"/>
      <c r="U28" s="10"/>
      <c r="Y28" s="9">
        <f t="shared" si="1"/>
        <v>4.95</v>
      </c>
      <c r="AD28" s="10"/>
    </row>
    <row r="29" spans="1:30" x14ac:dyDescent="0.25">
      <c r="A29" s="54" t="s">
        <v>88</v>
      </c>
      <c r="B29" t="s">
        <v>9</v>
      </c>
      <c r="C29" s="17">
        <v>3</v>
      </c>
      <c r="D29">
        <v>8</v>
      </c>
      <c r="E29">
        <v>1</v>
      </c>
      <c r="F29">
        <v>0.1</v>
      </c>
      <c r="G29">
        <v>24</v>
      </c>
      <c r="H29" s="17" t="s">
        <v>102</v>
      </c>
      <c r="I29" s="43">
        <f>(C29/C$26)*I$26</f>
        <v>1070.6547763434</v>
      </c>
      <c r="J29">
        <f>J$15+(2*J$17)</f>
        <v>1023</v>
      </c>
      <c r="K29">
        <v>1107</v>
      </c>
      <c r="N29" s="11"/>
      <c r="O29" s="17">
        <f xml:space="preserve"> ((C5 + C7 + C6 + C8 + C6 + C9  + C6 + C8 + C6)/2) - ((C5+C6)/2)</f>
        <v>0.47689999999999999</v>
      </c>
      <c r="P29" s="37">
        <v>0.80721451953940515</v>
      </c>
      <c r="Q29" s="37"/>
      <c r="R29">
        <v>6.8380000000000001</v>
      </c>
      <c r="S29" s="11"/>
      <c r="T29" s="37"/>
      <c r="U29" s="11"/>
      <c r="X29" s="22"/>
      <c r="Y29">
        <f t="shared" si="1"/>
        <v>4.95</v>
      </c>
      <c r="AD29" s="11"/>
    </row>
    <row r="30" spans="1:30" s="9" customFormat="1" x14ac:dyDescent="0.25">
      <c r="A30" s="55" t="s">
        <v>89</v>
      </c>
      <c r="B30" s="9" t="s">
        <v>9</v>
      </c>
      <c r="C30" s="9">
        <v>2</v>
      </c>
      <c r="D30" s="9">
        <v>8</v>
      </c>
      <c r="E30" s="9">
        <v>1</v>
      </c>
      <c r="F30" s="9">
        <v>0.1</v>
      </c>
      <c r="G30" s="9">
        <v>24</v>
      </c>
      <c r="H30" s="16" t="s">
        <v>101</v>
      </c>
      <c r="I30" s="42">
        <f t="shared" ref="I30" si="3">(C30/C$26)*I$26</f>
        <v>713.76985089560003</v>
      </c>
      <c r="J30" s="9">
        <f>2*J$17</f>
        <v>818</v>
      </c>
      <c r="K30" s="9">
        <v>872</v>
      </c>
      <c r="N30" s="10"/>
      <c r="O30" s="16">
        <f xml:space="preserve"> C6 + C9 + C6 - ((C6+C6)/2)</f>
        <v>0.12399999999999999</v>
      </c>
      <c r="P30" s="36">
        <v>0.80721451953940515</v>
      </c>
      <c r="Q30" s="36"/>
      <c r="R30" s="9">
        <v>3.2360000000000002</v>
      </c>
      <c r="S30" s="10"/>
      <c r="T30" s="36"/>
      <c r="U30" s="10"/>
      <c r="Y30" s="9">
        <f t="shared" si="1"/>
        <v>4.95</v>
      </c>
      <c r="AD30" s="10"/>
    </row>
    <row r="34" spans="1:23" s="26" customFormat="1" ht="30" hidden="1" customHeight="1" outlineLevel="1" x14ac:dyDescent="0.25">
      <c r="O34" s="24" t="str">
        <f>O14</f>
        <v>Layer spacing [mm]:</v>
      </c>
    </row>
    <row r="35" spans="1:23" hidden="1" outlineLevel="1" x14ac:dyDescent="0.25">
      <c r="A35" t="str" cm="1">
        <f t="array" ref="A35:W35">A19:W19</f>
        <v>top in1</v>
      </c>
      <c r="B35" t="str">
        <v>Circular</v>
      </c>
      <c r="C35">
        <v>2</v>
      </c>
      <c r="D35">
        <v>8</v>
      </c>
      <c r="E35">
        <v>1</v>
      </c>
      <c r="F35">
        <v>0.1</v>
      </c>
      <c r="G35">
        <v>24</v>
      </c>
      <c r="H35" t="str">
        <v>(top,in1)1.2</v>
      </c>
      <c r="I35">
        <v>713.76985089560003</v>
      </c>
      <c r="J35">
        <v>614</v>
      </c>
      <c r="K35">
        <v>743</v>
      </c>
      <c r="L35">
        <v>0</v>
      </c>
      <c r="M35">
        <v>0</v>
      </c>
      <c r="N35">
        <v>0</v>
      </c>
      <c r="O35" s="17">
        <v>0.12450000000000001</v>
      </c>
      <c r="P35">
        <v>0.80721451953940515</v>
      </c>
      <c r="Q35">
        <v>0</v>
      </c>
      <c r="R35">
        <v>3.2240000000000002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hidden="1" outlineLevel="1" x14ac:dyDescent="0.25">
      <c r="A36" t="str" cm="1">
        <f t="array" ref="A36:W36">A20:W20</f>
        <v>top in2</v>
      </c>
      <c r="B36" t="str">
        <v>Circular</v>
      </c>
      <c r="C36">
        <v>2</v>
      </c>
      <c r="D36">
        <v>8</v>
      </c>
      <c r="E36">
        <v>1</v>
      </c>
      <c r="F36">
        <v>0.1</v>
      </c>
      <c r="G36">
        <v>24</v>
      </c>
      <c r="H36" t="str">
        <v>(top,in2)1.2</v>
      </c>
      <c r="I36">
        <v>713.76985089560003</v>
      </c>
      <c r="J36">
        <v>614</v>
      </c>
      <c r="K36">
        <v>670</v>
      </c>
      <c r="L36">
        <v>0</v>
      </c>
      <c r="M36">
        <v>0</v>
      </c>
      <c r="N36">
        <v>0</v>
      </c>
      <c r="O36" s="17">
        <v>0.48970000000000002</v>
      </c>
      <c r="P36">
        <v>0.80721451953940515</v>
      </c>
      <c r="Q36">
        <v>0</v>
      </c>
      <c r="R36">
        <v>3.101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hidden="1" outlineLevel="1" x14ac:dyDescent="0.25">
      <c r="A37" t="str" cm="1">
        <f t="array" ref="A37:W37">A21:W21</f>
        <v>top in3</v>
      </c>
      <c r="B37" t="str">
        <v>Circular</v>
      </c>
      <c r="C37">
        <v>2</v>
      </c>
      <c r="D37">
        <v>8</v>
      </c>
      <c r="E37">
        <v>1</v>
      </c>
      <c r="F37">
        <v>0.1</v>
      </c>
      <c r="G37">
        <v>24</v>
      </c>
      <c r="H37" t="str">
        <v>(top,in3)1.2</v>
      </c>
      <c r="I37">
        <v>713.76985089560003</v>
      </c>
      <c r="J37">
        <v>614</v>
      </c>
      <c r="K37">
        <v>661</v>
      </c>
      <c r="L37">
        <v>0</v>
      </c>
      <c r="M37">
        <v>0</v>
      </c>
      <c r="N37">
        <v>0</v>
      </c>
      <c r="O37" s="17">
        <v>0.61370000000000002</v>
      </c>
      <c r="P37">
        <v>0.80721451953940515</v>
      </c>
      <c r="Q37">
        <v>0</v>
      </c>
      <c r="R37">
        <v>3.0579999999999998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hidden="1" outlineLevel="1" x14ac:dyDescent="0.25">
      <c r="A38" t="str" cm="1">
        <f t="array" ref="A38:W38">A22:W22</f>
        <v>top in4</v>
      </c>
      <c r="B38" t="str">
        <v>Circular</v>
      </c>
      <c r="C38">
        <v>2</v>
      </c>
      <c r="D38">
        <v>8</v>
      </c>
      <c r="E38">
        <v>1</v>
      </c>
      <c r="F38">
        <v>0.1</v>
      </c>
      <c r="G38">
        <v>24</v>
      </c>
      <c r="H38" t="str">
        <v>(top,in4)1.2</v>
      </c>
      <c r="I38">
        <v>713.76985089560003</v>
      </c>
      <c r="J38">
        <v>614</v>
      </c>
      <c r="K38">
        <v>667</v>
      </c>
      <c r="L38">
        <v>0</v>
      </c>
      <c r="M38">
        <v>0</v>
      </c>
      <c r="N38">
        <v>0</v>
      </c>
      <c r="O38" s="17">
        <v>0.97889999999999999</v>
      </c>
      <c r="P38">
        <v>0.80721451953940515</v>
      </c>
      <c r="Q38">
        <v>0</v>
      </c>
      <c r="R38">
        <v>2.9470000000000001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hidden="1" outlineLevel="1" x14ac:dyDescent="0.25">
      <c r="A39" t="str" cm="1">
        <f t="array" ref="A39:W39">A16:W16</f>
        <v>top bot</v>
      </c>
      <c r="B39" t="str">
        <v>Circular</v>
      </c>
      <c r="C39">
        <v>2</v>
      </c>
      <c r="D39">
        <v>8</v>
      </c>
      <c r="E39">
        <v>1</v>
      </c>
      <c r="F39">
        <v>0.1</v>
      </c>
      <c r="G39">
        <v>24</v>
      </c>
      <c r="H39">
        <v>1.2</v>
      </c>
      <c r="I39">
        <v>713.76985089560003</v>
      </c>
      <c r="J39">
        <v>410</v>
      </c>
      <c r="K39">
        <v>257</v>
      </c>
      <c r="L39">
        <v>0</v>
      </c>
      <c r="M39">
        <v>0</v>
      </c>
      <c r="N39">
        <v>0</v>
      </c>
      <c r="O39" s="17">
        <v>1.1033999999999999</v>
      </c>
      <c r="P39">
        <v>0.80721451953940515</v>
      </c>
      <c r="Q39">
        <v>0</v>
      </c>
      <c r="R39">
        <v>2.9039999999999999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hidden="1" outlineLevel="1" x14ac:dyDescent="0.25">
      <c r="A40" t="str" cm="1">
        <f t="array" ref="A40:W40">A30:W30</f>
        <v>in2 in3</v>
      </c>
      <c r="B40" t="str">
        <v>Circular</v>
      </c>
      <c r="C40">
        <v>2</v>
      </c>
      <c r="D40">
        <v>8</v>
      </c>
      <c r="E40">
        <v>1</v>
      </c>
      <c r="F40">
        <v>0.1</v>
      </c>
      <c r="G40">
        <v>24</v>
      </c>
      <c r="H40" t="str">
        <v>(in2,in3)1.2</v>
      </c>
      <c r="I40">
        <v>713.76985089560003</v>
      </c>
      <c r="J40">
        <v>818</v>
      </c>
      <c r="K40">
        <v>872</v>
      </c>
      <c r="L40">
        <v>0</v>
      </c>
      <c r="M40">
        <v>0</v>
      </c>
      <c r="N40">
        <v>0</v>
      </c>
      <c r="O40" s="17">
        <v>0.12399999999999999</v>
      </c>
      <c r="P40">
        <v>0.80721451953940515</v>
      </c>
      <c r="Q40">
        <v>0</v>
      </c>
      <c r="R40">
        <v>3.2360000000000002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hidden="1" outlineLevel="1" x14ac:dyDescent="0.25">
      <c r="A41" t="str" cm="1">
        <f t="array" ref="A41:W41">A27:W27</f>
        <v>in1 in2</v>
      </c>
      <c r="B41" t="str">
        <v>Circular</v>
      </c>
      <c r="C41">
        <v>2</v>
      </c>
      <c r="D41">
        <v>8</v>
      </c>
      <c r="E41">
        <v>1</v>
      </c>
      <c r="F41">
        <v>0.1</v>
      </c>
      <c r="G41">
        <v>24</v>
      </c>
      <c r="H41" t="str">
        <v>(in1,in2)1.2</v>
      </c>
      <c r="I41">
        <v>713.76985089560003</v>
      </c>
      <c r="J41">
        <v>818</v>
      </c>
      <c r="K41">
        <v>877</v>
      </c>
      <c r="L41">
        <v>0</v>
      </c>
      <c r="M41">
        <v>0</v>
      </c>
      <c r="N41">
        <v>0</v>
      </c>
      <c r="O41" s="17">
        <v>0.36519999999999997</v>
      </c>
      <c r="P41">
        <v>0.80721451953940515</v>
      </c>
      <c r="Q41">
        <v>0</v>
      </c>
      <c r="R41">
        <v>3.137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hidden="1" outlineLevel="1" x14ac:dyDescent="0.25">
      <c r="A42" t="str" cm="1">
        <f t="array" ref="A42:W42">A28:W28</f>
        <v>in1 in4</v>
      </c>
      <c r="B42" t="str">
        <v>Circular</v>
      </c>
      <c r="C42">
        <v>2</v>
      </c>
      <c r="D42">
        <v>8</v>
      </c>
      <c r="E42">
        <v>1</v>
      </c>
      <c r="F42">
        <v>0.1</v>
      </c>
      <c r="G42">
        <v>24</v>
      </c>
      <c r="H42" t="str">
        <v>(in1,in4)1.2</v>
      </c>
      <c r="I42">
        <v>713.76985089560003</v>
      </c>
      <c r="J42">
        <v>818</v>
      </c>
      <c r="K42">
        <v>869</v>
      </c>
      <c r="L42">
        <v>0</v>
      </c>
      <c r="M42">
        <v>0</v>
      </c>
      <c r="N42">
        <v>0</v>
      </c>
      <c r="O42" s="17">
        <v>0.85439999999999994</v>
      </c>
      <c r="P42">
        <v>0.80721451953940515</v>
      </c>
      <c r="Q42">
        <v>0</v>
      </c>
      <c r="R42">
        <v>2.9769999999999999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hidden="1" outlineLevel="1" x14ac:dyDescent="0.25"/>
    <row r="44" spans="1:23" s="26" customFormat="1" ht="30" hidden="1" customHeight="1" outlineLevel="1" x14ac:dyDescent="0.25">
      <c r="C44" s="24" t="str">
        <f>C$14</f>
        <v>Layers:</v>
      </c>
    </row>
    <row r="45" spans="1:23" hidden="1" outlineLevel="1" x14ac:dyDescent="0.25">
      <c r="A45" t="str" cm="1">
        <f t="array" ref="A45:W45">A15:W15</f>
        <v>top</v>
      </c>
      <c r="B45" t="str">
        <v>Circular</v>
      </c>
      <c r="C45">
        <v>1</v>
      </c>
      <c r="D45">
        <v>8</v>
      </c>
      <c r="E45">
        <v>1</v>
      </c>
      <c r="F45">
        <v>0.1</v>
      </c>
      <c r="G45">
        <v>24</v>
      </c>
      <c r="H45">
        <v>1.2</v>
      </c>
      <c r="I45">
        <v>356.88492544780001</v>
      </c>
      <c r="J45">
        <v>205</v>
      </c>
      <c r="K45">
        <v>197</v>
      </c>
      <c r="L45">
        <v>0</v>
      </c>
      <c r="M45">
        <v>0</v>
      </c>
      <c r="N45">
        <v>0</v>
      </c>
      <c r="O45">
        <v>0</v>
      </c>
      <c r="P45">
        <v>0.80721451953940504</v>
      </c>
      <c r="Q45">
        <v>0</v>
      </c>
      <c r="R45">
        <v>0.872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hidden="1" outlineLevel="1" x14ac:dyDescent="0.25">
      <c r="A46" t="str" cm="1">
        <f t="array" ref="A46:W46">A20:W20</f>
        <v>top in2</v>
      </c>
      <c r="B46" t="str">
        <v>Circular</v>
      </c>
      <c r="C46">
        <v>2</v>
      </c>
      <c r="D46">
        <v>8</v>
      </c>
      <c r="E46">
        <v>1</v>
      </c>
      <c r="F46">
        <v>0.1</v>
      </c>
      <c r="G46">
        <v>24</v>
      </c>
      <c r="H46" t="str">
        <v>(top,in2)1.2</v>
      </c>
      <c r="I46">
        <v>713.76985089560003</v>
      </c>
      <c r="J46">
        <v>614</v>
      </c>
      <c r="K46">
        <v>670</v>
      </c>
      <c r="L46">
        <v>0</v>
      </c>
      <c r="M46">
        <v>0</v>
      </c>
      <c r="N46">
        <v>0</v>
      </c>
      <c r="O46">
        <v>0.48970000000000002</v>
      </c>
      <c r="P46">
        <v>0.80721451953940515</v>
      </c>
      <c r="Q46">
        <v>0</v>
      </c>
      <c r="R46">
        <v>3.101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hidden="1" outlineLevel="1" x14ac:dyDescent="0.25">
      <c r="A47" t="str" cm="1">
        <f t="array" ref="A47:W47">A29:W29</f>
        <v>top in2 in4</v>
      </c>
      <c r="B47" t="str">
        <v>Circular</v>
      </c>
      <c r="C47">
        <v>3</v>
      </c>
      <c r="D47">
        <v>8</v>
      </c>
      <c r="E47">
        <v>1</v>
      </c>
      <c r="F47">
        <v>0.1</v>
      </c>
      <c r="G47">
        <v>24</v>
      </c>
      <c r="H47" t="str">
        <v>(top,in2,in4)1.2</v>
      </c>
      <c r="I47">
        <v>1070.6547763434</v>
      </c>
      <c r="J47">
        <v>1023</v>
      </c>
      <c r="K47">
        <v>1107</v>
      </c>
      <c r="L47">
        <v>0</v>
      </c>
      <c r="M47">
        <v>0</v>
      </c>
      <c r="N47">
        <v>0</v>
      </c>
      <c r="O47">
        <v>0.47689999999999999</v>
      </c>
      <c r="P47">
        <v>0.80721451953940515</v>
      </c>
      <c r="Q47">
        <v>0</v>
      </c>
      <c r="R47">
        <v>6.8380000000000001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collapsed="1" x14ac:dyDescent="0.25"/>
  </sheetData>
  <mergeCells count="6">
    <mergeCell ref="H1:O1"/>
    <mergeCell ref="B11:H11"/>
    <mergeCell ref="B12:H12"/>
    <mergeCell ref="B13:H13"/>
    <mergeCell ref="K11:K12"/>
    <mergeCell ref="K9:K10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A29A-DAC5-450E-A55D-CEEF4BC56DEA}">
  <dimension ref="A2:AN199"/>
  <sheetViews>
    <sheetView tabSelected="1" topLeftCell="A78" zoomScale="115" zoomScaleNormal="115" workbookViewId="0">
      <selection activeCell="L100" sqref="L100"/>
    </sheetView>
  </sheetViews>
  <sheetFormatPr defaultRowHeight="15" outlineLevelRow="2" x14ac:dyDescent="0.25"/>
  <cols>
    <col min="2" max="3" width="9.140625" customWidth="1"/>
    <col min="6" max="6" width="9.140625" customWidth="1"/>
    <col min="10" max="11" width="12.140625" customWidth="1"/>
    <col min="15" max="15" width="10" customWidth="1"/>
  </cols>
  <sheetData>
    <row r="2" spans="1:17" x14ac:dyDescent="0.25">
      <c r="M2" s="96"/>
      <c r="N2" s="95"/>
    </row>
    <row r="3" spans="1:17" x14ac:dyDescent="0.25">
      <c r="M3" s="96"/>
      <c r="N3" s="95" t="s">
        <v>153</v>
      </c>
      <c r="O3" s="95"/>
    </row>
    <row r="4" spans="1:17" ht="30" customHeight="1" x14ac:dyDescent="0.25">
      <c r="A4" s="56"/>
      <c r="C4" s="1" t="s">
        <v>0</v>
      </c>
      <c r="D4" s="1" t="s">
        <v>1</v>
      </c>
      <c r="E4" s="1" t="s">
        <v>2</v>
      </c>
      <c r="F4" s="60" t="s">
        <v>3</v>
      </c>
      <c r="G4" s="59" t="s">
        <v>4</v>
      </c>
      <c r="H4" s="1" t="s">
        <v>5</v>
      </c>
      <c r="I4" s="62" t="s">
        <v>115</v>
      </c>
      <c r="J4" s="61" t="s">
        <v>26</v>
      </c>
      <c r="K4" s="61" t="s">
        <v>20</v>
      </c>
      <c r="M4" s="95"/>
      <c r="N4" s="29" t="s">
        <v>122</v>
      </c>
      <c r="O4" s="29" t="s">
        <v>123</v>
      </c>
      <c r="P4" s="95"/>
      <c r="Q4" s="95"/>
    </row>
    <row r="5" spans="1:17" x14ac:dyDescent="0.25">
      <c r="A5" s="56"/>
      <c r="N5" s="95" cm="1">
        <f t="array" ref="N5">((COUNT(I7:I21)*SUM(I7:I21*M7:M21)) - (SUM(I7:I21)*SUM(M7:M21))) / ((COUNT(I7:I21)*SUM(I7:I21^2))-(SUM(I7:I21)^2))</f>
        <v>-0.20116658223060435</v>
      </c>
      <c r="O5" s="95" cm="1">
        <f t="array" ref="O5">((SUM(I7:I21^2)*SUM(M7:M21)) - (SUM(I7:I21)*SUM(I7:I21*M7:M21))) / ((COUNT(I7:I21)*SUM(I7:I21^2))-(SUM(I7:I21)^2))</f>
        <v>1.0254854433548151</v>
      </c>
    </row>
    <row r="6" spans="1:17" s="26" customFormat="1" ht="30" customHeight="1" outlineLevel="1" x14ac:dyDescent="0.25">
      <c r="A6" s="58"/>
      <c r="C6" s="78" t="s">
        <v>114</v>
      </c>
      <c r="D6" s="79"/>
      <c r="E6" s="79"/>
      <c r="F6" s="79"/>
      <c r="G6" s="79"/>
      <c r="H6" s="80"/>
      <c r="I6" s="62" t="str">
        <f>I$4</f>
        <v>layer spacing [mm]:</v>
      </c>
      <c r="M6" s="63" t="s">
        <v>151</v>
      </c>
      <c r="N6" s="63" t="s">
        <v>126</v>
      </c>
      <c r="O6" s="64" t="s">
        <v>125</v>
      </c>
    </row>
    <row r="7" spans="1:17" outlineLevel="1" x14ac:dyDescent="0.25">
      <c r="A7" s="97" t="s">
        <v>116</v>
      </c>
      <c r="B7" t="str" cm="1">
        <f t="array" ref="B7:H10">'6L'!A19:G22</f>
        <v>top in1</v>
      </c>
      <c r="C7" t="str">
        <v>Circular</v>
      </c>
      <c r="D7">
        <v>2</v>
      </c>
      <c r="E7">
        <v>8</v>
      </c>
      <c r="F7">
        <v>1</v>
      </c>
      <c r="G7">
        <v>0.1</v>
      </c>
      <c r="H7">
        <v>24</v>
      </c>
      <c r="I7" cm="1">
        <f t="array" ref="I7:I10">'6L'!O19:O22</f>
        <v>0.12450000000000001</v>
      </c>
      <c r="J7" s="37" cm="1">
        <f t="array" ref="J7:J10">'6L'!P19:P22</f>
        <v>0.80721451953940515</v>
      </c>
      <c r="K7" cm="1">
        <f t="array" ref="K7:K10">'6L'!R19:R22</f>
        <v>3.2240000000000002</v>
      </c>
      <c r="M7">
        <f>((K7/J7)-D7)/2</f>
        <v>0.99699083822204271</v>
      </c>
      <c r="N7" s="81">
        <f>J7*(D7+2*($N$5*I7+$O$5))</f>
        <v>3.2295687560637893</v>
      </c>
      <c r="O7" s="30">
        <f>ABS(N7-K7)/K7</f>
        <v>1.7272816575028375E-3</v>
      </c>
    </row>
    <row r="8" spans="1:17" outlineLevel="1" x14ac:dyDescent="0.25">
      <c r="A8" s="97"/>
      <c r="B8" t="str">
        <v>top in2</v>
      </c>
      <c r="C8" t="str">
        <v>Circular</v>
      </c>
      <c r="D8">
        <v>2</v>
      </c>
      <c r="E8">
        <v>8</v>
      </c>
      <c r="F8">
        <v>1</v>
      </c>
      <c r="G8">
        <v>0.1</v>
      </c>
      <c r="H8">
        <v>24</v>
      </c>
      <c r="I8">
        <v>0.48970000000000002</v>
      </c>
      <c r="J8" s="37">
        <v>0.80721451953940515</v>
      </c>
      <c r="K8">
        <v>3.101</v>
      </c>
      <c r="M8">
        <f t="shared" ref="M8:M21" si="0">((K8/J8)-D8)/2</f>
        <v>0.92080291232213196</v>
      </c>
      <c r="N8" s="81">
        <f t="shared" ref="N8:N21" si="1">J8*(D8+2*($N$5*I8+$O$5))</f>
        <v>3.1109630544328377</v>
      </c>
      <c r="O8" s="30">
        <f>ABS(N8-K8)/K8</f>
        <v>3.2128521228112663E-3</v>
      </c>
    </row>
    <row r="9" spans="1:17" outlineLevel="1" x14ac:dyDescent="0.25">
      <c r="A9" s="97"/>
      <c r="B9" t="str">
        <v>top in3</v>
      </c>
      <c r="C9" t="str">
        <v>Circular</v>
      </c>
      <c r="D9">
        <v>2</v>
      </c>
      <c r="E9">
        <v>8</v>
      </c>
      <c r="F9">
        <v>1</v>
      </c>
      <c r="G9">
        <v>0.1</v>
      </c>
      <c r="H9">
        <v>24</v>
      </c>
      <c r="I9">
        <v>0.61370000000000002</v>
      </c>
      <c r="J9" s="37">
        <v>0.80721451953940515</v>
      </c>
      <c r="K9">
        <v>3.0579999999999998</v>
      </c>
      <c r="M9">
        <f t="shared" si="0"/>
        <v>0.89416810895874854</v>
      </c>
      <c r="N9" s="81">
        <f t="shared" si="1"/>
        <v>3.0706916770992172</v>
      </c>
      <c r="O9" s="30">
        <f>ABS(N9-K9)/K9</f>
        <v>4.150319522307838E-3</v>
      </c>
    </row>
    <row r="10" spans="1:17" outlineLevel="1" x14ac:dyDescent="0.25">
      <c r="A10" s="97"/>
      <c r="B10" t="str">
        <v>top in4</v>
      </c>
      <c r="C10" t="str">
        <v>Circular</v>
      </c>
      <c r="D10">
        <v>2</v>
      </c>
      <c r="E10">
        <v>8</v>
      </c>
      <c r="F10">
        <v>1</v>
      </c>
      <c r="G10">
        <v>0.1</v>
      </c>
      <c r="H10">
        <v>24</v>
      </c>
      <c r="I10">
        <v>0.97889999999999999</v>
      </c>
      <c r="J10" s="37">
        <v>0.80721451953940515</v>
      </c>
      <c r="K10">
        <v>2.9470000000000001</v>
      </c>
      <c r="M10">
        <f t="shared" si="0"/>
        <v>0.82541315143931748</v>
      </c>
      <c r="N10" s="81">
        <f t="shared" si="1"/>
        <v>2.9520859754682651</v>
      </c>
      <c r="O10" s="30">
        <f>ABS(N10-K10)/K10</f>
        <v>1.7258145464082314E-3</v>
      </c>
    </row>
    <row r="11" spans="1:17" outlineLevel="1" x14ac:dyDescent="0.25">
      <c r="A11" s="97"/>
      <c r="B11" t="str" cm="1">
        <f t="array" ref="B11:H11">'6L'!A16:G16</f>
        <v>top bot</v>
      </c>
      <c r="C11" t="str">
        <v>Circular</v>
      </c>
      <c r="D11">
        <v>2</v>
      </c>
      <c r="E11">
        <v>8</v>
      </c>
      <c r="F11">
        <v>1</v>
      </c>
      <c r="G11">
        <v>0.1</v>
      </c>
      <c r="H11">
        <v>24</v>
      </c>
      <c r="I11">
        <f>'6L'!O16</f>
        <v>1.1033999999999999</v>
      </c>
      <c r="J11" s="37">
        <f>'6L'!P16</f>
        <v>0.80721451953940515</v>
      </c>
      <c r="K11">
        <f>'6L'!R16</f>
        <v>2.9039999999999999</v>
      </c>
      <c r="M11">
        <f t="shared" si="0"/>
        <v>0.79877834807593406</v>
      </c>
      <c r="N11" s="81">
        <f t="shared" si="1"/>
        <v>2.9116522135486229</v>
      </c>
      <c r="O11" s="30">
        <f>ABS(N11-K11)/K11</f>
        <v>2.6350597619225207E-3</v>
      </c>
    </row>
    <row r="12" spans="1:17" outlineLevel="1" x14ac:dyDescent="0.25">
      <c r="A12" s="97"/>
      <c r="J12" s="37"/>
      <c r="N12" s="81"/>
      <c r="O12" s="30"/>
    </row>
    <row r="13" spans="1:17" outlineLevel="1" x14ac:dyDescent="0.25">
      <c r="A13" s="97"/>
      <c r="B13" t="str" cm="1">
        <f t="array" ref="B13:H13">'6L'!A30:G30</f>
        <v>in2 in3</v>
      </c>
      <c r="C13" t="str">
        <v>Circular</v>
      </c>
      <c r="D13">
        <v>2</v>
      </c>
      <c r="E13">
        <v>8</v>
      </c>
      <c r="F13">
        <v>1</v>
      </c>
      <c r="G13">
        <v>0.1</v>
      </c>
      <c r="H13">
        <v>24</v>
      </c>
      <c r="I13">
        <f>'6L'!O30</f>
        <v>0.12399999999999999</v>
      </c>
      <c r="J13" s="37">
        <f>'6L'!P30</f>
        <v>0.80721451953940515</v>
      </c>
      <c r="K13">
        <f>'6L'!R30</f>
        <v>3.2360000000000002</v>
      </c>
      <c r="M13">
        <f t="shared" si="0"/>
        <v>1.0044238066025217</v>
      </c>
      <c r="N13" s="81">
        <f t="shared" si="1"/>
        <v>3.2297311406498124</v>
      </c>
      <c r="O13" s="30">
        <f>ABS(N13-K13)/K13</f>
        <v>1.9372247682904321E-3</v>
      </c>
    </row>
    <row r="14" spans="1:17" outlineLevel="1" x14ac:dyDescent="0.25">
      <c r="A14" s="97"/>
      <c r="B14" t="str" cm="1">
        <f t="array" ref="B14:H14">'6L'!A27:G27</f>
        <v>in1 in2</v>
      </c>
      <c r="C14" t="str">
        <v>Circular</v>
      </c>
      <c r="D14">
        <v>2</v>
      </c>
      <c r="E14">
        <v>8</v>
      </c>
      <c r="F14">
        <v>1</v>
      </c>
      <c r="G14">
        <v>0.1</v>
      </c>
      <c r="H14">
        <v>24</v>
      </c>
      <c r="I14">
        <f>'6L'!O27</f>
        <v>0.36519999999999997</v>
      </c>
      <c r="J14" s="37">
        <f>'6L'!P27</f>
        <v>0.80721451953940515</v>
      </c>
      <c r="K14">
        <f>'6L'!R27</f>
        <v>3.137</v>
      </c>
      <c r="M14">
        <f t="shared" si="0"/>
        <v>0.94310181746356925</v>
      </c>
      <c r="N14" s="81">
        <f t="shared" si="1"/>
        <v>3.1513968163524799</v>
      </c>
      <c r="O14" s="30">
        <f>ABS(N14-K14)/K14</f>
        <v>4.5893580976984101E-3</v>
      </c>
    </row>
    <row r="15" spans="1:17" outlineLevel="1" x14ac:dyDescent="0.25">
      <c r="A15" s="97"/>
      <c r="B15" t="str" cm="1">
        <f t="array" ref="B15:H15">'6L'!A28:G28</f>
        <v>in1 in4</v>
      </c>
      <c r="C15" t="str">
        <v>Circular</v>
      </c>
      <c r="D15">
        <v>2</v>
      </c>
      <c r="E15">
        <v>8</v>
      </c>
      <c r="F15">
        <v>1</v>
      </c>
      <c r="G15">
        <v>0.1</v>
      </c>
      <c r="H15">
        <v>24</v>
      </c>
      <c r="I15">
        <f>'6L'!O28</f>
        <v>0.85439999999999994</v>
      </c>
      <c r="J15" s="37">
        <f>'6L'!P28</f>
        <v>0.80721451953940515</v>
      </c>
      <c r="K15">
        <f>'6L'!R28</f>
        <v>2.9769999999999999</v>
      </c>
      <c r="M15">
        <f t="shared" si="0"/>
        <v>0.84399557239051504</v>
      </c>
      <c r="N15" s="81">
        <f t="shared" si="1"/>
        <v>2.9925197373879082</v>
      </c>
      <c r="O15" s="30">
        <f>ABS(N15-K15)/K15</f>
        <v>5.2132137681922576E-3</v>
      </c>
    </row>
    <row r="16" spans="1:17" outlineLevel="1" x14ac:dyDescent="0.25">
      <c r="A16" s="98"/>
      <c r="J16" s="37"/>
      <c r="N16" s="81"/>
      <c r="O16" s="30"/>
    </row>
    <row r="17" spans="1:39" outlineLevel="1" x14ac:dyDescent="0.25">
      <c r="A17" s="98" t="s">
        <v>120</v>
      </c>
      <c r="B17" t="s">
        <v>74</v>
      </c>
      <c r="C17" t="str" cm="1">
        <f t="array" ref="C17:H17">'2L &amp; 4L'!B20:G20</f>
        <v>Circular</v>
      </c>
      <c r="D17">
        <v>2</v>
      </c>
      <c r="E17">
        <v>9</v>
      </c>
      <c r="F17">
        <v>0.9</v>
      </c>
      <c r="G17">
        <v>0.3</v>
      </c>
      <c r="H17">
        <v>40</v>
      </c>
      <c r="I17">
        <f>'2L &amp; 4L'!O20</f>
        <v>0.56999999999999995</v>
      </c>
      <c r="J17" s="37">
        <f>'2L &amp; 4L'!P20</f>
        <v>2.688808608987256</v>
      </c>
      <c r="K17" s="95">
        <f>'2L &amp; 4L'!R20</f>
        <v>10.414999999999999</v>
      </c>
      <c r="M17">
        <f t="shared" si="0"/>
        <v>0.93673137708429621</v>
      </c>
      <c r="N17" s="81">
        <f t="shared" si="1"/>
        <v>10.275661175459494</v>
      </c>
      <c r="O17" s="30">
        <f>ABS(N17-K17)/K17</f>
        <v>1.3378667742727376E-2</v>
      </c>
    </row>
    <row r="18" spans="1:39" outlineLevel="1" x14ac:dyDescent="0.25">
      <c r="A18" s="98"/>
      <c r="J18" s="37"/>
      <c r="N18" s="81"/>
      <c r="O18" s="30"/>
    </row>
    <row r="19" spans="1:39" outlineLevel="1" x14ac:dyDescent="0.25">
      <c r="A19" s="97" t="s">
        <v>117</v>
      </c>
      <c r="B19" t="s">
        <v>118</v>
      </c>
      <c r="C19" t="str" cm="1">
        <f t="array" ref="C19:H19">'2L &amp; 4L'!B41:G41</f>
        <v>Circular</v>
      </c>
      <c r="D19">
        <v>2</v>
      </c>
      <c r="E19">
        <v>9</v>
      </c>
      <c r="F19">
        <v>0.9</v>
      </c>
      <c r="G19">
        <v>0.3</v>
      </c>
      <c r="H19">
        <v>40</v>
      </c>
      <c r="I19">
        <f>'2L &amp; 4L'!O41</f>
        <v>0.23</v>
      </c>
      <c r="J19" s="37">
        <f>AVERAGE('2L &amp; 4L'!P41, '2L &amp; 4L'!P42)</f>
        <v>2.688808608987256</v>
      </c>
      <c r="K19" s="95">
        <f>AVERAGE('2L &amp; 4L'!R41, '2L &amp; 4L'!R42)</f>
        <v>10.597000000000001</v>
      </c>
      <c r="M19">
        <f t="shared" si="0"/>
        <v>0.97057536274241873</v>
      </c>
      <c r="N19" s="81">
        <f t="shared" si="1"/>
        <v>10.643472113396184</v>
      </c>
      <c r="O19" s="120">
        <f>ABS(N19-K19)/K19</f>
        <v>4.3854027928831489E-3</v>
      </c>
    </row>
    <row r="20" spans="1:39" outlineLevel="1" x14ac:dyDescent="0.25">
      <c r="A20" s="97"/>
      <c r="B20" t="s">
        <v>79</v>
      </c>
      <c r="C20" t="str" cm="1">
        <f t="array" ref="C20:H20">'2L &amp; 4L'!B40:G40</f>
        <v>Circular</v>
      </c>
      <c r="D20">
        <v>2</v>
      </c>
      <c r="E20">
        <v>9</v>
      </c>
      <c r="F20">
        <v>0.9</v>
      </c>
      <c r="G20">
        <v>0.3</v>
      </c>
      <c r="H20">
        <v>40</v>
      </c>
      <c r="I20">
        <f>'2L &amp; 4L'!O40</f>
        <v>0.46550000000000002</v>
      </c>
      <c r="J20" s="37">
        <f>'2L &amp; 4L'!P40</f>
        <v>2.688808608987256</v>
      </c>
      <c r="K20" s="95">
        <f>'2L &amp; 4L'!R40</f>
        <v>10.414999999999999</v>
      </c>
      <c r="M20">
        <f t="shared" si="0"/>
        <v>0.93673137708429621</v>
      </c>
      <c r="N20" s="81">
        <f t="shared" si="1"/>
        <v>10.388708949031212</v>
      </c>
      <c r="O20" s="120">
        <f>ABS(N20-K20)/K20</f>
        <v>2.5243447881696623E-3</v>
      </c>
    </row>
    <row r="21" spans="1:39" outlineLevel="1" x14ac:dyDescent="0.25">
      <c r="A21" s="97"/>
      <c r="B21" t="s">
        <v>74</v>
      </c>
      <c r="C21" t="str" cm="1">
        <f t="array" ref="C21:H21">'2L &amp; 4L'!B39:G39</f>
        <v>Circular</v>
      </c>
      <c r="D21">
        <v>2</v>
      </c>
      <c r="E21">
        <v>9</v>
      </c>
      <c r="F21">
        <v>0.9</v>
      </c>
      <c r="G21">
        <v>0.3</v>
      </c>
      <c r="H21">
        <v>40</v>
      </c>
      <c r="I21">
        <f>'2L &amp; 4L'!O39</f>
        <v>0.70100000000000007</v>
      </c>
      <c r="J21" s="37">
        <f>'2L &amp; 4L'!P39</f>
        <v>2.688808608987256</v>
      </c>
      <c r="K21" s="95">
        <f>'2L &amp; 4L'!R39</f>
        <v>10.23</v>
      </c>
      <c r="M21">
        <f t="shared" si="0"/>
        <v>0.90232952353071094</v>
      </c>
      <c r="N21" s="81">
        <f t="shared" si="1"/>
        <v>10.13394578466624</v>
      </c>
      <c r="O21" s="120">
        <f>ABS(N21-K21)/K21</f>
        <v>9.3894638644926916E-3</v>
      </c>
    </row>
    <row r="22" spans="1:39" x14ac:dyDescent="0.25">
      <c r="A22" s="56"/>
    </row>
    <row r="23" spans="1:39" x14ac:dyDescent="0.25">
      <c r="A23" s="56"/>
    </row>
    <row r="24" spans="1:39" x14ac:dyDescent="0.25">
      <c r="A24" s="56"/>
      <c r="B24" t="s">
        <v>130</v>
      </c>
    </row>
    <row r="25" spans="1:39" hidden="1" outlineLevel="1" x14ac:dyDescent="0.25">
      <c r="A25" s="56"/>
      <c r="B25" s="70" t="s">
        <v>127</v>
      </c>
      <c r="C25" s="70"/>
      <c r="J25" s="70" t="s">
        <v>128</v>
      </c>
      <c r="K25" s="70"/>
      <c r="AF25" t="str" cm="1">
        <f t="array" ref="AF25:AM26">'2L &amp; 4L'!W4:AD5</f>
        <v>A0:</v>
      </c>
      <c r="AG25" t="str">
        <v>A1:</v>
      </c>
      <c r="AH25" t="str">
        <v>A2:</v>
      </c>
      <c r="AI25" t="str">
        <v>A3:</v>
      </c>
      <c r="AJ25" t="str">
        <v>B0:</v>
      </c>
      <c r="AK25" t="str">
        <v>B1:</v>
      </c>
      <c r="AL25" t="str">
        <v>B2:</v>
      </c>
      <c r="AM25" t="str">
        <v>1/C (K_gen):</v>
      </c>
    </row>
    <row r="26" spans="1:39" hidden="1" outlineLevel="1" x14ac:dyDescent="0.25">
      <c r="A26" s="56"/>
      <c r="B26" t="s">
        <v>75</v>
      </c>
      <c r="C26">
        <f>'6L'!C5</f>
        <v>3.5000000000000003E-2</v>
      </c>
      <c r="J26" t="s">
        <v>75</v>
      </c>
      <c r="K26">
        <v>3.5000000000000003E-2</v>
      </c>
      <c r="AF26">
        <v>0.184</v>
      </c>
      <c r="AG26">
        <v>-0.52500000000000002</v>
      </c>
      <c r="AH26">
        <v>1.038</v>
      </c>
      <c r="AI26">
        <v>1.0009999999999999</v>
      </c>
      <c r="AJ26">
        <v>1.67</v>
      </c>
      <c r="AK26">
        <v>-5.84</v>
      </c>
      <c r="AL26">
        <v>65</v>
      </c>
      <c r="AM26">
        <v>1.5625</v>
      </c>
    </row>
    <row r="27" spans="1:39" ht="15" hidden="1" customHeight="1" outlineLevel="1" x14ac:dyDescent="0.25">
      <c r="A27" s="56"/>
      <c r="B27" s="14" t="s">
        <v>135</v>
      </c>
      <c r="C27" s="14">
        <f>'6L'!C7</f>
        <v>9.9400000000000002E-2</v>
      </c>
      <c r="D27">
        <f>(SUM($C$27:$C27)+(($C$26+$C28)/2))</f>
        <v>0.1245</v>
      </c>
      <c r="J27" s="14" t="s">
        <v>134</v>
      </c>
      <c r="K27" s="14">
        <v>0.20300000000000001</v>
      </c>
      <c r="L27">
        <f>(SUM($K$27:$K27)+(($K$26+$K28)/2))</f>
        <v>0.23550000000000001</v>
      </c>
      <c r="AC27" s="121" t="s">
        <v>159</v>
      </c>
      <c r="AD27">
        <f>1 / (($AF$26*(D27^3)) + ($AG$26*(D27^2)) + ($AH$26*D27) + $AI$26)</f>
        <v>0.89090951246523198</v>
      </c>
      <c r="AM27">
        <f>'2L &amp; 4L'!AD6</f>
        <v>1.3418641658459625</v>
      </c>
    </row>
    <row r="28" spans="1:39" hidden="1" outlineLevel="1" x14ac:dyDescent="0.25">
      <c r="A28" s="56"/>
      <c r="B28" t="s">
        <v>76</v>
      </c>
      <c r="C28">
        <f>'6L'!C6</f>
        <v>1.52E-2</v>
      </c>
      <c r="J28" t="s">
        <v>76</v>
      </c>
      <c r="K28">
        <v>0.03</v>
      </c>
      <c r="AC28" s="121"/>
    </row>
    <row r="29" spans="1:39" hidden="1" outlineLevel="1" x14ac:dyDescent="0.25">
      <c r="A29" s="56"/>
      <c r="B29" s="14" t="s">
        <v>108</v>
      </c>
      <c r="C29" s="14">
        <f>'6L'!C8</f>
        <v>0.35</v>
      </c>
      <c r="D29">
        <f>(SUM($C$27:$C29)+(($C$26+$C30)/2))</f>
        <v>0.48970000000000002</v>
      </c>
      <c r="E29">
        <f>(SUM($C$29:$C29)+(($C$28+$C30)/2))</f>
        <v>0.36519999999999997</v>
      </c>
      <c r="J29" s="14" t="s">
        <v>108</v>
      </c>
      <c r="K29" s="14">
        <v>0.2</v>
      </c>
      <c r="L29">
        <f>(SUM($K$27:$K29)+(($K$26+$K30)/2))</f>
        <v>0.46550000000000002</v>
      </c>
      <c r="M29">
        <f>(SUM($K$29:$K29)+(($K$28+$K30)/2))</f>
        <v>0.23</v>
      </c>
      <c r="AC29" s="121"/>
      <c r="AD29">
        <f t="shared" ref="AD29:AE35" si="2">1 / (($AF$26*(D29^3)) + ($AG$26*(D29^2)) + ($AH$26*D29) + $AI$26)</f>
        <v>0.71173461212724742</v>
      </c>
      <c r="AE29">
        <f t="shared" si="2"/>
        <v>0.75813866916196748</v>
      </c>
    </row>
    <row r="30" spans="1:39" hidden="1" outlineLevel="1" x14ac:dyDescent="0.25">
      <c r="A30" s="56"/>
      <c r="B30" t="s">
        <v>77</v>
      </c>
      <c r="C30">
        <f>'6L'!C6</f>
        <v>1.52E-2</v>
      </c>
      <c r="J30" t="s">
        <v>77</v>
      </c>
      <c r="K30">
        <v>0.03</v>
      </c>
      <c r="AC30" s="121"/>
    </row>
    <row r="31" spans="1:39" hidden="1" outlineLevel="1" x14ac:dyDescent="0.25">
      <c r="A31" s="56"/>
      <c r="B31" s="14" t="s">
        <v>136</v>
      </c>
      <c r="C31" s="14">
        <f>'6L'!C9</f>
        <v>0.10879999999999999</v>
      </c>
      <c r="D31">
        <f>(SUM($C$27:$C31)+(($C$26+$C32)/2))</f>
        <v>0.61370000000000002</v>
      </c>
      <c r="E31">
        <f>(SUM($C$29:$C31)+(($C$28+$C32)/2))</f>
        <v>0.48919999999999997</v>
      </c>
      <c r="F31">
        <f>(SUM($C$31:$C31)+(($C$30+$C32)/2))</f>
        <v>0.124</v>
      </c>
      <c r="J31" s="14" t="s">
        <v>134</v>
      </c>
      <c r="K31" s="14">
        <v>0.20300000000000001</v>
      </c>
      <c r="L31">
        <f>(SUM($K$27:$K31)+(($K$26+$K32)/2))</f>
        <v>0.70100000000000018</v>
      </c>
      <c r="M31">
        <f>(SUM($K$29:$K31)+(($K$28+$K32)/2))</f>
        <v>0.46550000000000002</v>
      </c>
      <c r="N31">
        <f>(SUM($K$31:$K31)+(($K$30+$K32)/2))</f>
        <v>0.23550000000000001</v>
      </c>
      <c r="AC31" s="121"/>
      <c r="AD31">
        <f t="shared" si="2"/>
        <v>0.67439061396833044</v>
      </c>
      <c r="AE31">
        <f t="shared" ref="AE31" si="3">1 / (($AF$26*(E31^3)) + ($AG$26*(E31^2)) + ($AH$26*E31) + $AI$26)</f>
        <v>0.71190088453482381</v>
      </c>
      <c r="AF31">
        <f t="shared" ref="AF31" si="4">1 / (($AF$26*(F31^3)) + ($AG$26*(F31^2)) + ($AH$26*F31) + $AI$26)</f>
        <v>0.89127320806827171</v>
      </c>
      <c r="AK31" s="121" t="s">
        <v>160</v>
      </c>
      <c r="AL31">
        <f>1 / (($AF$26*(L27^3)) + ($AG$26*(L27^2)) + ($AH$26*L27) + $AI$26)</f>
        <v>0.82052253394912944</v>
      </c>
    </row>
    <row r="32" spans="1:39" hidden="1" outlineLevel="1" x14ac:dyDescent="0.25">
      <c r="A32" s="56"/>
      <c r="B32" t="s">
        <v>132</v>
      </c>
      <c r="C32">
        <f>'6L'!C6</f>
        <v>1.52E-2</v>
      </c>
      <c r="J32" t="s">
        <v>131</v>
      </c>
      <c r="K32">
        <f>K26</f>
        <v>3.5000000000000003E-2</v>
      </c>
      <c r="AC32" s="121"/>
      <c r="AK32" s="121"/>
    </row>
    <row r="33" spans="1:40" hidden="1" outlineLevel="1" x14ac:dyDescent="0.25">
      <c r="A33" s="56"/>
      <c r="B33" s="14" t="s">
        <v>108</v>
      </c>
      <c r="C33" s="14">
        <f>'6L'!C8</f>
        <v>0.35</v>
      </c>
      <c r="D33">
        <f>(SUM($C$27:$C33)+(($C$26+$C34)/2))</f>
        <v>0.97889999999999999</v>
      </c>
      <c r="E33">
        <f>(SUM($C$29:$C33)+(($C$28+$C34)/2))</f>
        <v>0.85439999999999994</v>
      </c>
      <c r="F33">
        <f>(SUM($C$31:$C33)+(($C$30+$C34)/2))</f>
        <v>0.48919999999999997</v>
      </c>
      <c r="G33">
        <f>(SUM($C$33:$C33)+(($C$32+$C34)/2))</f>
        <v>0.36519999999999997</v>
      </c>
      <c r="J33" s="14" t="s">
        <v>180</v>
      </c>
      <c r="K33">
        <f>SUM(K26:K32)</f>
        <v>0.7360000000000001</v>
      </c>
      <c r="L33" t="s">
        <v>105</v>
      </c>
      <c r="M33" t="s">
        <v>182</v>
      </c>
      <c r="AC33" s="121"/>
      <c r="AD33">
        <f t="shared" si="2"/>
        <v>0.59290308331096531</v>
      </c>
      <c r="AE33">
        <f t="shared" ref="AE33" si="5">1 / (($AF$26*(E33^3)) + ($AG$26*(E33^2)) + ($AH$26*E33) + $AI$26)</f>
        <v>0.61752011646452021</v>
      </c>
      <c r="AF33">
        <f t="shared" ref="AF33" si="6">1 / (($AF$26*(F33^3)) + ($AG$26*(F33^2)) + ($AH$26*F33) + $AI$26)</f>
        <v>0.71190088453482381</v>
      </c>
      <c r="AG33">
        <f t="shared" ref="AG33" si="7">1 / (($AF$26*(G33^3)) + ($AG$26*(G33^2)) + ($AH$26*G33) + $AI$26)</f>
        <v>0.75813866916196748</v>
      </c>
      <c r="AK33" s="121"/>
      <c r="AL33">
        <f t="shared" ref="AL33:AM33" si="8">1 / (($AF$26*(L29^3)) + ($AG$26*(L29^2)) + ($AH$26*L29) + $AI$26)</f>
        <v>0.71994936461419023</v>
      </c>
      <c r="AM33">
        <f t="shared" si="8"/>
        <v>0.82358332294767322</v>
      </c>
    </row>
    <row r="34" spans="1:40" hidden="1" outlineLevel="1" x14ac:dyDescent="0.25">
      <c r="A34" s="56"/>
      <c r="B34" t="s">
        <v>133</v>
      </c>
      <c r="C34">
        <f>'6L'!C6</f>
        <v>1.52E-2</v>
      </c>
      <c r="AC34" s="121"/>
      <c r="AK34" s="121"/>
    </row>
    <row r="35" spans="1:40" hidden="1" outlineLevel="1" x14ac:dyDescent="0.25">
      <c r="A35" s="56"/>
      <c r="B35" s="14" t="s">
        <v>135</v>
      </c>
      <c r="C35" s="14">
        <f>'6L'!C7</f>
        <v>9.9400000000000002E-2</v>
      </c>
      <c r="D35">
        <f>(SUM($C$27:$C35)+(($C$26+$C36)/2))</f>
        <v>1.1033999999999999</v>
      </c>
      <c r="E35">
        <f>(SUM($C$29:$C35)+(($C$28+$C36)/2))</f>
        <v>0.97889999999999999</v>
      </c>
      <c r="F35">
        <f>(SUM($C$31:$C35)+(($C$30+$C36)/2))</f>
        <v>0.61370000000000002</v>
      </c>
      <c r="G35">
        <f>(SUM($C$33:$C35)+(($C$32+$C36)/2))</f>
        <v>0.48969999999999997</v>
      </c>
      <c r="H35">
        <f>(SUM($C$35:$C35)+(($C$34+$C36)/2))</f>
        <v>0.1245</v>
      </c>
      <c r="AC35" s="121"/>
      <c r="AD35">
        <f t="shared" si="2"/>
        <v>0.57001880565318996</v>
      </c>
      <c r="AE35">
        <f t="shared" ref="AE35" si="9">1 / (($AF$26*(E35^3)) + ($AG$26*(E35^2)) + ($AH$26*E35) + $AI$26)</f>
        <v>0.59290308331096531</v>
      </c>
      <c r="AF35">
        <f t="shared" ref="AF35" si="10">1 / (($AF$26*(F35^3)) + ($AG$26*(F35^2)) + ($AH$26*F35) + $AI$26)</f>
        <v>0.67439061396833044</v>
      </c>
      <c r="AG35">
        <f t="shared" ref="AG35" si="11">1 / (($AF$26*(G35^3)) + ($AG$26*(G35^2)) + ($AH$26*G35) + $AI$26)</f>
        <v>0.71173461212724742</v>
      </c>
      <c r="AH35">
        <f t="shared" ref="AH35" si="12">1 / (($AF$26*(H35^3)) + ($AG$26*(H35^2)) + ($AH$26*H35) + $AI$26)</f>
        <v>0.89090951246523198</v>
      </c>
      <c r="AK35" s="121"/>
      <c r="AL35">
        <f t="shared" ref="AL35:AM35" si="13">1 / (($AF$26*(L31^3)) + ($AG$26*(L31^2)) + ($AH$26*L31) + $AI$26)</f>
        <v>0.65187546394298146</v>
      </c>
      <c r="AM35">
        <f t="shared" si="13"/>
        <v>0.71994936461419023</v>
      </c>
      <c r="AN35">
        <f>1 / (($AF$26*(N31^3)) + ($AG$26*(N31^2)) + ($AH$26*N31) + $AI$26)</f>
        <v>0.82052253394912944</v>
      </c>
    </row>
    <row r="36" spans="1:40" hidden="1" outlineLevel="1" x14ac:dyDescent="0.25">
      <c r="A36" s="56"/>
      <c r="B36" t="s">
        <v>131</v>
      </c>
      <c r="C36">
        <f>'6L'!C5</f>
        <v>3.5000000000000003E-2</v>
      </c>
    </row>
    <row r="37" spans="1:40" hidden="1" outlineLevel="1" x14ac:dyDescent="0.25">
      <c r="B37" s="14" t="s">
        <v>180</v>
      </c>
      <c r="C37">
        <f>SUM(C26:C36)</f>
        <v>1.1383999999999999</v>
      </c>
      <c r="D37" t="s">
        <v>105</v>
      </c>
      <c r="E37" t="s">
        <v>181</v>
      </c>
    </row>
    <row r="38" spans="1:40" collapsed="1" x14ac:dyDescent="0.25">
      <c r="A38" s="56"/>
    </row>
    <row r="39" spans="1:40" x14ac:dyDescent="0.25">
      <c r="A39" s="56"/>
    </row>
    <row r="40" spans="1:40" s="26" customFormat="1" ht="30" hidden="1" customHeight="1" outlineLevel="2" x14ac:dyDescent="0.25">
      <c r="A40" s="58"/>
      <c r="D40" s="24" t="str">
        <f>D$4</f>
        <v>Layers:</v>
      </c>
      <c r="E40" s="78" t="s">
        <v>114</v>
      </c>
      <c r="F40" s="79"/>
      <c r="G40" s="79"/>
      <c r="H40" s="79"/>
      <c r="I40" s="80"/>
      <c r="M40" s="63" t="s">
        <v>151</v>
      </c>
      <c r="N40" s="63" t="s">
        <v>142</v>
      </c>
      <c r="O40" s="63" t="s">
        <v>126</v>
      </c>
      <c r="P40" s="64" t="s">
        <v>125</v>
      </c>
    </row>
    <row r="41" spans="1:40" ht="15" hidden="1" customHeight="1" outlineLevel="2" x14ac:dyDescent="0.25">
      <c r="A41" s="70" t="s">
        <v>116</v>
      </c>
      <c r="B41" t="s">
        <v>119</v>
      </c>
      <c r="C41" t="str" cm="1">
        <f t="array" ref="C41:H41">'6L'!B15:G15</f>
        <v>Circular</v>
      </c>
      <c r="D41" s="17">
        <v>1</v>
      </c>
      <c r="E41">
        <v>8</v>
      </c>
      <c r="F41">
        <v>1</v>
      </c>
      <c r="G41">
        <v>0.1</v>
      </c>
      <c r="H41">
        <v>24</v>
      </c>
      <c r="I41" s="77" t="s">
        <v>129</v>
      </c>
      <c r="J41" s="37">
        <f>AVERAGE('6L'!P15,'6L'!P17,'6L'!P18)</f>
        <v>0.80721451953940504</v>
      </c>
      <c r="K41" s="37">
        <f>AVERAGE('6L'!R15,'6L'!R17,'6L'!R18)</f>
        <v>0.90133333333333343</v>
      </c>
      <c r="O41" s="89">
        <f>J41*(D41+2*(N41*$N$5 + ((D41*(D41-1))/2)*$O$5))</f>
        <v>0.80721451953940504</v>
      </c>
      <c r="P41" s="30">
        <f>ABS(O41-K41)/K41</f>
        <v>0.10442176086604481</v>
      </c>
      <c r="Q41" t="s">
        <v>150</v>
      </c>
    </row>
    <row r="42" spans="1:40" hidden="1" outlineLevel="2" x14ac:dyDescent="0.25">
      <c r="A42" s="70"/>
      <c r="B42" t="str" cm="1">
        <f t="array" ref="B42:H42">'6L'!A20:G20</f>
        <v>top in2</v>
      </c>
      <c r="C42" t="str">
        <v>Circular</v>
      </c>
      <c r="D42" s="17">
        <v>2</v>
      </c>
      <c r="E42">
        <v>8</v>
      </c>
      <c r="F42">
        <v>1</v>
      </c>
      <c r="G42">
        <v>0.1</v>
      </c>
      <c r="H42">
        <v>24</v>
      </c>
      <c r="I42" s="77"/>
      <c r="J42" s="37">
        <f>'6L'!P20</f>
        <v>0.80721451953940515</v>
      </c>
      <c r="K42">
        <f>'6L'!R20</f>
        <v>3.101</v>
      </c>
      <c r="M42">
        <f>((K42/J42)-D42)/2</f>
        <v>0.92080291232213196</v>
      </c>
      <c r="N42">
        <f>D29</f>
        <v>0.48970000000000002</v>
      </c>
      <c r="O42" s="89">
        <f t="shared" ref="O42:O54" si="14">J42*(D42+2*(N42*$N$5 + ((D42*(D42-1))/2)*$O$5))</f>
        <v>3.1109630544328377</v>
      </c>
      <c r="P42" s="30">
        <f>ABS(O42-K42)/K42</f>
        <v>3.2128521228112663E-3</v>
      </c>
    </row>
    <row r="43" spans="1:40" hidden="1" outlineLevel="2" x14ac:dyDescent="0.25">
      <c r="A43" s="70"/>
      <c r="B43" t="str" cm="1">
        <f t="array" ref="B43:H43">'6L'!A29:G29</f>
        <v>top in2 in4</v>
      </c>
      <c r="C43" t="str">
        <v>Circular</v>
      </c>
      <c r="D43" s="17">
        <v>3</v>
      </c>
      <c r="E43">
        <v>8</v>
      </c>
      <c r="F43">
        <v>1</v>
      </c>
      <c r="G43">
        <v>0.1</v>
      </c>
      <c r="H43">
        <v>24</v>
      </c>
      <c r="I43" s="77"/>
      <c r="J43" s="37">
        <f>'6L'!P29</f>
        <v>0.80721451953940515</v>
      </c>
      <c r="K43">
        <f>'6L'!R29</f>
        <v>6.8380000000000001</v>
      </c>
      <c r="M43">
        <f t="shared" ref="M43:M54" si="15">((K43/J43)-D43)/2</f>
        <v>2.7355531488096547</v>
      </c>
      <c r="N43">
        <f>SUM(D29, E31,D33)</f>
        <v>1.9578</v>
      </c>
      <c r="O43" s="89">
        <f t="shared" si="14"/>
        <v>6.7525309103017479</v>
      </c>
      <c r="P43" s="30">
        <f>ABS(O43-K43)/K43</f>
        <v>1.2499135668068467E-2</v>
      </c>
    </row>
    <row r="44" spans="1:40" hidden="1" outlineLevel="2" x14ac:dyDescent="0.25">
      <c r="A44" s="70"/>
      <c r="D44" s="17"/>
      <c r="I44" s="77"/>
      <c r="J44" s="37"/>
      <c r="O44" s="89"/>
      <c r="P44" s="30"/>
    </row>
    <row r="45" spans="1:40" hidden="1" outlineLevel="2" x14ac:dyDescent="0.25">
      <c r="A45" s="70"/>
      <c r="B45" t="str" cm="1">
        <f t="array" ref="B45:H45">'6L'!A23:G23</f>
        <v>top in1 in2</v>
      </c>
      <c r="C45" t="str">
        <v>Circular</v>
      </c>
      <c r="D45" s="17">
        <v>3</v>
      </c>
      <c r="E45">
        <v>8</v>
      </c>
      <c r="F45">
        <v>1</v>
      </c>
      <c r="G45">
        <v>0.1</v>
      </c>
      <c r="H45">
        <v>24</v>
      </c>
      <c r="I45" s="77"/>
      <c r="J45" s="37">
        <f>'6L'!P23</f>
        <v>0.80721451953940515</v>
      </c>
      <c r="K45">
        <f>'6L'!R23</f>
        <v>7.1379999999999999</v>
      </c>
      <c r="M45">
        <f t="shared" si="15"/>
        <v>2.9213773583216316</v>
      </c>
      <c r="N45">
        <f>SUM($D$27:E29)</f>
        <v>0.97940000000000005</v>
      </c>
      <c r="O45" s="89">
        <f t="shared" si="14"/>
        <v>7.0702850682308913</v>
      </c>
      <c r="P45" s="30">
        <f>ABS(O45-K45)/K45</f>
        <v>9.4865412957563164E-3</v>
      </c>
    </row>
    <row r="46" spans="1:40" hidden="1" outlineLevel="2" x14ac:dyDescent="0.25">
      <c r="A46" s="70"/>
      <c r="B46" t="str" cm="1">
        <f t="array" ref="B46:H46">'6L'!A24:G24</f>
        <v>top in1 in2 in3</v>
      </c>
      <c r="C46" t="str">
        <v>Circular</v>
      </c>
      <c r="D46" s="17">
        <v>4</v>
      </c>
      <c r="E46">
        <v>8</v>
      </c>
      <c r="F46">
        <v>1</v>
      </c>
      <c r="G46">
        <v>0.1</v>
      </c>
      <c r="H46">
        <v>24</v>
      </c>
      <c r="I46" s="77"/>
      <c r="J46" s="37">
        <f>'6L'!P24</f>
        <v>0.80721451953940515</v>
      </c>
      <c r="K46">
        <f>'6L'!R24</f>
        <v>12.28</v>
      </c>
      <c r="M46">
        <f t="shared" si="15"/>
        <v>5.6064043093569111</v>
      </c>
      <c r="N46">
        <f>SUM($D$27:F31)</f>
        <v>2.2063000000000001</v>
      </c>
      <c r="O46" s="89">
        <f t="shared" si="14"/>
        <v>12.445760727301757</v>
      </c>
      <c r="P46" s="30">
        <f>ABS(O46-K46)/K46</f>
        <v>1.3498430562032343E-2</v>
      </c>
    </row>
    <row r="47" spans="1:40" hidden="1" outlineLevel="2" x14ac:dyDescent="0.25">
      <c r="A47" s="70"/>
      <c r="B47" t="str" cm="1">
        <f t="array" ref="B47:H47">'6L'!A25:G25</f>
        <v>all except bot</v>
      </c>
      <c r="C47" t="str">
        <v>Circular</v>
      </c>
      <c r="D47" s="17">
        <v>5</v>
      </c>
      <c r="E47">
        <v>8</v>
      </c>
      <c r="F47">
        <v>1</v>
      </c>
      <c r="G47">
        <v>0.1</v>
      </c>
      <c r="H47">
        <v>24</v>
      </c>
      <c r="I47" s="77"/>
      <c r="J47" s="37">
        <f>'6L'!P25</f>
        <v>0.80721451953940515</v>
      </c>
      <c r="K47">
        <f>'6L'!R25</f>
        <v>18.956</v>
      </c>
      <c r="M47">
        <f t="shared" si="15"/>
        <v>9.2416123850300984</v>
      </c>
      <c r="N47">
        <f>SUM($D$27:G33)</f>
        <v>4.8940000000000001</v>
      </c>
      <c r="O47" s="89">
        <f t="shared" si="14"/>
        <v>19.002387058753431</v>
      </c>
      <c r="P47" s="30">
        <f>ABS(O47-K47)/K47</f>
        <v>2.4470910927111011E-3</v>
      </c>
    </row>
    <row r="48" spans="1:40" hidden="1" outlineLevel="2" x14ac:dyDescent="0.25">
      <c r="A48" s="70"/>
      <c r="B48" t="str" cm="1">
        <f t="array" ref="B48:H48">'6L'!A26:G26</f>
        <v>all 6 layers</v>
      </c>
      <c r="C48" t="str">
        <v>Circular</v>
      </c>
      <c r="D48" s="17">
        <v>6</v>
      </c>
      <c r="E48">
        <v>8</v>
      </c>
      <c r="F48">
        <v>1</v>
      </c>
      <c r="G48">
        <v>0.1</v>
      </c>
      <c r="H48">
        <v>24</v>
      </c>
      <c r="I48" s="77"/>
      <c r="J48" s="37">
        <f>'6L'!P26</f>
        <v>0.80721451953940515</v>
      </c>
      <c r="K48">
        <f>'6L'!R26</f>
        <v>26.43</v>
      </c>
      <c r="M48">
        <f t="shared" si="15"/>
        <v>13.371112858005144</v>
      </c>
      <c r="N48">
        <f>SUM($D$27:H35)</f>
        <v>8.2041999999999984</v>
      </c>
      <c r="O48" s="89">
        <f t="shared" si="14"/>
        <v>27.012418059511521</v>
      </c>
      <c r="P48" s="30">
        <f>ABS(O48-K48)/K48</f>
        <v>2.2036248941033735E-2</v>
      </c>
    </row>
    <row r="49" spans="1:34" hidden="1" outlineLevel="2" x14ac:dyDescent="0.25">
      <c r="A49" s="56"/>
      <c r="D49" s="17"/>
      <c r="I49" s="94"/>
      <c r="J49" s="37"/>
      <c r="O49" s="89"/>
      <c r="P49" s="30"/>
    </row>
    <row r="50" spans="1:34" hidden="1" outlineLevel="2" x14ac:dyDescent="0.25">
      <c r="A50" s="70" t="s">
        <v>120</v>
      </c>
      <c r="B50" t="s">
        <v>75</v>
      </c>
      <c r="C50" t="str" cm="1">
        <f t="array" ref="C50:H50">'2L &amp; 4L'!B12:G12</f>
        <v>Circular</v>
      </c>
      <c r="D50" s="17">
        <v>1</v>
      </c>
      <c r="E50">
        <v>9</v>
      </c>
      <c r="F50">
        <v>0.9</v>
      </c>
      <c r="G50">
        <v>0.15</v>
      </c>
      <c r="H50">
        <v>40</v>
      </c>
      <c r="I50" s="94"/>
      <c r="J50" s="37">
        <f>'2L &amp; 4L'!P12</f>
        <v>3.05822330800792</v>
      </c>
      <c r="K50">
        <f>'2L &amp; 4L'!R12</f>
        <v>3.0990000000000002</v>
      </c>
      <c r="O50" s="89">
        <f t="shared" si="14"/>
        <v>3.05822330800792</v>
      </c>
      <c r="P50" s="30">
        <f>ABS(O50-K50)/K50</f>
        <v>1.3158016131681259E-2</v>
      </c>
    </row>
    <row r="51" spans="1:34" hidden="1" outlineLevel="2" x14ac:dyDescent="0.25">
      <c r="A51" s="70"/>
      <c r="B51" t="s">
        <v>74</v>
      </c>
      <c r="C51" t="str" cm="1">
        <f t="array" ref="C51:H51">'2L &amp; 4L'!B14:G14</f>
        <v>Circular</v>
      </c>
      <c r="D51" s="17">
        <v>2</v>
      </c>
      <c r="E51">
        <v>9</v>
      </c>
      <c r="F51">
        <v>0.9</v>
      </c>
      <c r="G51">
        <v>0.15</v>
      </c>
      <c r="H51">
        <v>40</v>
      </c>
      <c r="I51" cm="1">
        <f t="array" ref="I51:J51">'2L &amp; 4L'!O14:P14</f>
        <v>0.56999999999999995</v>
      </c>
      <c r="J51" s="37">
        <v>3.05822330800792</v>
      </c>
      <c r="K51">
        <f>'2L &amp; 4L'!R14</f>
        <v>11.866</v>
      </c>
      <c r="M51">
        <f t="shared" si="15"/>
        <v>0.9400152972690099</v>
      </c>
      <c r="N51">
        <f>I51</f>
        <v>0.56999999999999995</v>
      </c>
      <c r="O51" s="89">
        <f t="shared" si="14"/>
        <v>11.687431528947187</v>
      </c>
      <c r="P51" s="30">
        <f>ABS(O51-K51)/K51</f>
        <v>1.5048750299411178E-2</v>
      </c>
    </row>
    <row r="52" spans="1:34" ht="15" hidden="1" customHeight="1" outlineLevel="2" x14ac:dyDescent="0.25">
      <c r="A52" s="70" t="s">
        <v>117</v>
      </c>
      <c r="B52" t="s">
        <v>82</v>
      </c>
      <c r="C52" t="str" cm="1">
        <f t="array" ref="C52:H52">'2L &amp; 4L'!B35:G35</f>
        <v>Circular</v>
      </c>
      <c r="D52" s="17">
        <v>3</v>
      </c>
      <c r="E52">
        <v>9</v>
      </c>
      <c r="F52">
        <v>0.9</v>
      </c>
      <c r="G52">
        <v>0.15</v>
      </c>
      <c r="H52">
        <v>40</v>
      </c>
      <c r="I52" s="77" t="s">
        <v>129</v>
      </c>
      <c r="J52" s="37">
        <f>'2L &amp; 4L'!P35</f>
        <v>3.05822330800792</v>
      </c>
      <c r="K52">
        <f>'2L &amp; 4L'!R35</f>
        <v>26.87</v>
      </c>
      <c r="M52">
        <f t="shared" si="15"/>
        <v>2.8930735747192227</v>
      </c>
      <c r="N52">
        <f>SUM($L$27:M29)</f>
        <v>0.93100000000000005</v>
      </c>
      <c r="O52" s="89">
        <f t="shared" si="14"/>
        <v>26.846125473845742</v>
      </c>
      <c r="P52" s="30">
        <f t="shared" ref="P52:P54" si="16">ABS(O52-K52)/K52</f>
        <v>8.8851976755708966E-4</v>
      </c>
    </row>
    <row r="53" spans="1:34" hidden="1" outlineLevel="2" x14ac:dyDescent="0.25">
      <c r="A53" s="70"/>
      <c r="B53" t="s">
        <v>121</v>
      </c>
      <c r="C53" t="str" cm="1">
        <f t="array" ref="C53:H53">'2L &amp; 4L'!B36:G36</f>
        <v>Circular</v>
      </c>
      <c r="D53" s="17">
        <v>4</v>
      </c>
      <c r="E53">
        <v>9</v>
      </c>
      <c r="F53">
        <v>0.9</v>
      </c>
      <c r="G53">
        <v>0.15</v>
      </c>
      <c r="H53">
        <v>40</v>
      </c>
      <c r="I53" s="77"/>
      <c r="J53" s="37">
        <f>'2L &amp; 4L'!P36</f>
        <v>3.05822330800792</v>
      </c>
      <c r="K53">
        <f>'2L &amp; 4L'!R36</f>
        <v>46.91</v>
      </c>
      <c r="M53">
        <f t="shared" si="15"/>
        <v>5.6694857234863685</v>
      </c>
      <c r="N53">
        <f>SUM($L$27:N31)</f>
        <v>2.3330000000000002</v>
      </c>
      <c r="O53" s="89">
        <f t="shared" si="14"/>
        <v>46.996274316278779</v>
      </c>
      <c r="P53" s="30">
        <f t="shared" si="16"/>
        <v>1.8391455186267799E-3</v>
      </c>
    </row>
    <row r="54" spans="1:34" hidden="1" outlineLevel="2" x14ac:dyDescent="0.25">
      <c r="A54" s="70"/>
      <c r="B54" t="s">
        <v>137</v>
      </c>
      <c r="C54" t="str" cm="1">
        <f t="array" ref="C54:H54">'2L &amp; 4L'!B43:G43</f>
        <v>Circular</v>
      </c>
      <c r="D54" s="17">
        <v>3</v>
      </c>
      <c r="E54">
        <v>9</v>
      </c>
      <c r="F54">
        <v>0.9</v>
      </c>
      <c r="G54">
        <v>0.15</v>
      </c>
      <c r="H54">
        <v>40</v>
      </c>
      <c r="I54" s="77"/>
      <c r="J54" s="37">
        <f>'2L &amp; 4L'!P43</f>
        <v>3.05822330800792</v>
      </c>
      <c r="K54">
        <f>'2L &amp; 4L'!R43</f>
        <v>26.53</v>
      </c>
      <c r="M54">
        <f t="shared" si="15"/>
        <v>2.8374857438519161</v>
      </c>
      <c r="N54">
        <f>SUM(L27,L31,M31)</f>
        <v>1.4020000000000001</v>
      </c>
      <c r="O54" s="89">
        <f t="shared" si="14"/>
        <v>26.266595458448872</v>
      </c>
      <c r="P54" s="30">
        <f t="shared" si="16"/>
        <v>9.9285541481767357E-3</v>
      </c>
    </row>
    <row r="55" spans="1:34" collapsed="1" x14ac:dyDescent="0.25"/>
    <row r="56" spans="1:34" x14ac:dyDescent="0.25">
      <c r="A56" s="122" t="s">
        <v>169</v>
      </c>
      <c r="B56" s="122"/>
      <c r="C56" s="122"/>
      <c r="D56" s="122"/>
      <c r="O56">
        <f>(N62*$N$5 + ((D62*(D62-1))/2)*$O$5)</f>
        <v>0.91082049148337063</v>
      </c>
    </row>
    <row r="57" spans="1:34" x14ac:dyDescent="0.25">
      <c r="A57" s="122"/>
      <c r="B57" s="122"/>
      <c r="C57" s="122"/>
      <c r="D57" s="122"/>
      <c r="V57" s="4">
        <f>COUNTIF(W61:W106,TRUE)/COUNTA(W61:W106)</f>
        <v>0.47826086956521741</v>
      </c>
      <c r="W57" t="s">
        <v>145</v>
      </c>
      <c r="AB57" s="121" t="s">
        <v>162</v>
      </c>
      <c r="AC57" s="121"/>
      <c r="AG57" s="4">
        <f>COUNTIF(AH61:AH106,TRUE)/COUNTA(AH61:AH106)</f>
        <v>0.30434782608695654</v>
      </c>
      <c r="AH57" t="s">
        <v>164</v>
      </c>
    </row>
    <row r="58" spans="1:34" x14ac:dyDescent="0.25">
      <c r="A58" s="122"/>
      <c r="B58" s="122"/>
      <c r="C58" s="122"/>
      <c r="D58" s="122"/>
      <c r="N58" s="70"/>
      <c r="O58" s="70"/>
      <c r="R58" s="29" t="s">
        <v>122</v>
      </c>
      <c r="S58" s="29" t="s">
        <v>123</v>
      </c>
      <c r="V58" s="11">
        <f>COUNTIF(W61:W106,FALSE)/COUNTA(W61:W106)</f>
        <v>0.52173913043478259</v>
      </c>
      <c r="W58" t="s">
        <v>146</v>
      </c>
      <c r="AB58" s="121"/>
      <c r="AC58" s="121"/>
      <c r="AG58" s="11">
        <f>COUNTIF(AH61:AH106,FALSE)/COUNTA(AH61:AH106)</f>
        <v>0.69565217391304346</v>
      </c>
      <c r="AH58" t="s">
        <v>163</v>
      </c>
    </row>
    <row r="59" spans="1:34" x14ac:dyDescent="0.25">
      <c r="A59" s="122"/>
      <c r="B59" s="122"/>
      <c r="C59" s="122"/>
      <c r="D59" s="122"/>
      <c r="N59" s="111" t="s">
        <v>149</v>
      </c>
      <c r="O59" s="111"/>
      <c r="P59" s="103">
        <f>AVERAGE(P61:P104)</f>
        <v>8.2964004998571424E-3</v>
      </c>
      <c r="R59" s="95" cm="1">
        <f t="array" ref="R59">((COUNT(S61:S104)*SUM(S61:S104*T61:T104)) - (SUM(S61:S104)*SUM(T61:T104))) / ((COUNT(S61:S104)*SUM(S61:S104^2))-(SUM(S61:S104)^2))</f>
        <v>-0.18971588828780919</v>
      </c>
      <c r="S59" s="95" cm="1">
        <f t="array" ref="S59">((SUM(S61:S104^2)*SUM(T61:T104)) - (SUM(S61:S104)*SUM(S61:S104*T61:T104))) / ((COUNT(S61:S104)*SUM(S61:S104^2))-(SUM(S61:S104)^2))</f>
        <v>1.0225410547530802</v>
      </c>
      <c r="T59" s="111" t="s">
        <v>149</v>
      </c>
      <c r="U59" s="111"/>
      <c r="V59" s="103">
        <f>AVERAGE(V61:V104)</f>
        <v>8.5366276692259296E-3</v>
      </c>
      <c r="AB59" s="121"/>
      <c r="AC59" s="121"/>
      <c r="AE59" s="103">
        <f>AVERAGE(AE61:AE104)</f>
        <v>0.19668036422588148</v>
      </c>
      <c r="AG59" s="103">
        <f>AVERAGE(AG61:AG104)</f>
        <v>2.7621039971752491E-2</v>
      </c>
    </row>
    <row r="60" spans="1:34" ht="30" customHeight="1" x14ac:dyDescent="0.25">
      <c r="A60" s="66" t="s">
        <v>140</v>
      </c>
      <c r="B60" s="65" t="s">
        <v>139</v>
      </c>
      <c r="C60" s="1" t="s">
        <v>0</v>
      </c>
      <c r="D60" s="1" t="s">
        <v>1</v>
      </c>
      <c r="E60" s="1" t="s">
        <v>2</v>
      </c>
      <c r="F60" s="60" t="s">
        <v>3</v>
      </c>
      <c r="G60" s="59" t="s">
        <v>4</v>
      </c>
      <c r="H60" s="1" t="s">
        <v>5</v>
      </c>
      <c r="I60" s="62" t="s">
        <v>115</v>
      </c>
      <c r="J60" s="61" t="s">
        <v>26</v>
      </c>
      <c r="K60" s="61" t="s">
        <v>20</v>
      </c>
      <c r="M60" s="82" t="s">
        <v>124</v>
      </c>
      <c r="N60" s="65" t="s">
        <v>142</v>
      </c>
      <c r="O60" s="65" t="s">
        <v>126</v>
      </c>
      <c r="P60" s="65" t="s">
        <v>125</v>
      </c>
      <c r="R60" s="65" t="s">
        <v>143</v>
      </c>
      <c r="S60" s="82" t="s">
        <v>144</v>
      </c>
      <c r="T60" s="82" t="s">
        <v>152</v>
      </c>
      <c r="U60" s="65" t="s">
        <v>126</v>
      </c>
      <c r="V60" s="65" t="s">
        <v>125</v>
      </c>
      <c r="W60" s="65" t="s">
        <v>154</v>
      </c>
      <c r="Y60" s="65" t="s">
        <v>147</v>
      </c>
      <c r="Z60" s="65" t="s">
        <v>148</v>
      </c>
      <c r="AA60" s="65"/>
      <c r="AB60" s="1" t="s">
        <v>161</v>
      </c>
      <c r="AC60" s="1" t="s">
        <v>32</v>
      </c>
      <c r="AD60" s="65" t="s">
        <v>156</v>
      </c>
      <c r="AE60" s="65" t="s">
        <v>155</v>
      </c>
      <c r="AF60" s="65" t="s">
        <v>157</v>
      </c>
      <c r="AG60" s="65" t="s">
        <v>158</v>
      </c>
    </row>
    <row r="61" spans="1:34" s="83" customFormat="1" ht="15" customHeight="1" x14ac:dyDescent="0.25">
      <c r="A61" s="74" t="s">
        <v>15</v>
      </c>
      <c r="C61" s="83" t="str" cm="1">
        <f t="array" ref="C61:H90">'2L &amp; 4L'!B13:G42</f>
        <v>Square</v>
      </c>
      <c r="D61" s="83">
        <v>2</v>
      </c>
      <c r="E61" s="83">
        <v>9</v>
      </c>
      <c r="F61" s="83">
        <v>0.9</v>
      </c>
      <c r="G61" s="83">
        <v>0.15</v>
      </c>
      <c r="H61" s="83">
        <v>40</v>
      </c>
      <c r="I61" s="83" cm="1">
        <f t="array" ref="I61:J82">'2L &amp; 4L'!O13:P34</f>
        <v>0.56999999999999995</v>
      </c>
      <c r="J61" s="87">
        <v>3.945289900687476</v>
      </c>
      <c r="K61" s="83" cm="1">
        <f t="array" ref="K61:K90">'2L &amp; 4L'!R13:R42</f>
        <v>15.034000000000001</v>
      </c>
      <c r="M61" s="83">
        <f>((K61/J61)-D61)/2</f>
        <v>0.90530992378789343</v>
      </c>
      <c r="N61" s="99">
        <f>I61</f>
        <v>0.56999999999999995</v>
      </c>
      <c r="O61" s="84">
        <f>J61*(D61+2*(N61*$N$5 + ((D61*(D61-1))/2)*$O$5))</f>
        <v>15.077481574152042</v>
      </c>
      <c r="P61" s="104">
        <f>ABS(O61-$K61)/$K61</f>
        <v>2.8922159207158005E-3</v>
      </c>
      <c r="R61" s="83">
        <f>(D61*(D61-1))/2</f>
        <v>1</v>
      </c>
      <c r="S61" s="83">
        <f>N61/R61</f>
        <v>0.56999999999999995</v>
      </c>
      <c r="T61" s="83">
        <f>M61/R61</f>
        <v>0.90530992378789343</v>
      </c>
      <c r="U61" s="84">
        <f>J61*(D61+2*(N61*$R$59 + R61*$S$59))</f>
        <v>15.10574963109574</v>
      </c>
      <c r="V61" s="104">
        <f t="shared" ref="V61:V104" si="17">ABS(U61-$K61)/$K61</f>
        <v>4.7724910932379757E-3</v>
      </c>
      <c r="W61" s="83" t="b">
        <f>ABS(V61)&lt;ABS($P61)</f>
        <v>0</v>
      </c>
      <c r="Y61" s="83" cm="1">
        <f t="array" ref="Y61:Y90">'2L &amp; 4L'!Y13:Y42</f>
        <v>21.4</v>
      </c>
      <c r="Z61" s="85" cm="1">
        <f t="array" ref="Z61:Z90">'2L &amp; 4L'!I13:I42</f>
        <v>2210.400000000001</v>
      </c>
      <c r="AB61" s="83">
        <f>1 / (($AF$26*(I61^3)) + ($AG$26*(I61^2)) + ($AH$26*I61) + $AI$26)</f>
        <v>0.68673630064708724</v>
      </c>
      <c r="AC61" s="83">
        <f>($E61^2)/($AJ$26*($E61^2)+$AK$26*$E61+$AL$26)</f>
        <v>0.54837180962697185</v>
      </c>
      <c r="AD61" s="83">
        <f>J61*(D61+2*AB61*AC61*$AM$26)</f>
        <v>12.533530454293953</v>
      </c>
      <c r="AE61" s="104">
        <f t="shared" ref="AE61:AE104" si="18">ABS(AD61-$K61)/$K61</f>
        <v>0.16632097550259731</v>
      </c>
      <c r="AF61" s="83">
        <f>J61*(D61+2*AB61*$AM$27)</f>
        <v>15.161803006440815</v>
      </c>
      <c r="AG61" s="104">
        <f t="shared" ref="AG61:AG104" si="19">ABS(AF61-$K61)/$K61</f>
        <v>8.500931650978729E-3</v>
      </c>
      <c r="AH61" s="83" t="b">
        <f>ABS(AG61)&lt;ABS($P61)</f>
        <v>0</v>
      </c>
    </row>
    <row r="62" spans="1:34" x14ac:dyDescent="0.25">
      <c r="A62" s="74"/>
      <c r="C62" t="str">
        <v>Circular</v>
      </c>
      <c r="D62">
        <v>2</v>
      </c>
      <c r="E62">
        <v>9</v>
      </c>
      <c r="F62">
        <v>0.9</v>
      </c>
      <c r="G62">
        <v>0.15</v>
      </c>
      <c r="H62">
        <v>40</v>
      </c>
      <c r="I62">
        <v>0.56999999999999995</v>
      </c>
      <c r="J62" s="37">
        <v>3.05822330800792</v>
      </c>
      <c r="K62">
        <v>11.866</v>
      </c>
      <c r="M62">
        <f t="shared" ref="M62:M106" si="20">((K62/J62)-D62)/2</f>
        <v>0.9400152972690099</v>
      </c>
      <c r="N62" s="95">
        <f t="shared" ref="N62:N82" si="21">I62</f>
        <v>0.56999999999999995</v>
      </c>
      <c r="O62" s="89">
        <f t="shared" ref="O62:O104" si="22">J62*(D62+2*(N62*$N$5 + ((D62*(D62-1))/2)*$O$5))</f>
        <v>11.687431528947187</v>
      </c>
      <c r="P62" s="30">
        <f t="shared" ref="P62:P104" si="23">ABS(O62-$K62)/$K62</f>
        <v>1.5048750299411178E-2</v>
      </c>
      <c r="R62">
        <f>(D62*(D62-1))/2</f>
        <v>1</v>
      </c>
      <c r="S62">
        <f>N62/R62</f>
        <v>0.56999999999999995</v>
      </c>
      <c r="T62">
        <f>M62/R62</f>
        <v>0.9400152972690099</v>
      </c>
      <c r="U62" s="81">
        <f>J62*(D62+2*(N62*$R$59 + R62*$S$59))</f>
        <v>11.709343741431811</v>
      </c>
      <c r="V62" s="30">
        <f t="shared" si="17"/>
        <v>1.3202111795734788E-2</v>
      </c>
      <c r="W62" t="b">
        <f t="shared" ref="W62:W106" si="24">ABS(V62)&lt;ABS($P62)</f>
        <v>1</v>
      </c>
      <c r="Y62">
        <v>19.82</v>
      </c>
      <c r="Z62">
        <v>1676.6679992208731</v>
      </c>
      <c r="AB62">
        <f t="shared" ref="AB62:AB82" si="25">1 / (($AF$26*(I62^3)) + ($AG$26*(I62^2)) + ($AH$26*I62) + $AI$26)</f>
        <v>0.68673630064708724</v>
      </c>
      <c r="AC62">
        <f t="shared" ref="AC62:AC106" si="26">($E62^2)/($AJ$26*($E62^2)+$AK$26*$E62+$AL$26)</f>
        <v>0.54837180962697185</v>
      </c>
      <c r="AD62">
        <f t="shared" ref="AD62:AD106" si="27">J62*(D62+2*AB62*AC62*$AM$26)</f>
        <v>9.7154672867688916</v>
      </c>
      <c r="AE62" s="30">
        <f t="shared" si="18"/>
        <v>0.18123484857838429</v>
      </c>
      <c r="AF62">
        <f t="shared" ref="AF62:AF104" si="28">J62*(D62+2*AB62*$AM$27)</f>
        <v>11.752793967723916</v>
      </c>
      <c r="AG62" s="30">
        <f t="shared" si="19"/>
        <v>9.540370156420357E-3</v>
      </c>
      <c r="AH62" t="b">
        <f t="shared" ref="AH62:AH104" si="29">ABS(AG62)&lt;ABS($P62)</f>
        <v>1</v>
      </c>
    </row>
    <row r="63" spans="1:34" x14ac:dyDescent="0.25">
      <c r="A63" s="74"/>
      <c r="C63" t="str">
        <v>Square</v>
      </c>
      <c r="D63">
        <v>2</v>
      </c>
      <c r="E63" s="17">
        <v>6</v>
      </c>
      <c r="F63">
        <v>0.9</v>
      </c>
      <c r="G63">
        <v>0.15</v>
      </c>
      <c r="H63">
        <v>40</v>
      </c>
      <c r="I63">
        <v>0.56999999999999995</v>
      </c>
      <c r="J63" s="37">
        <v>2.4018559447428518</v>
      </c>
      <c r="K63">
        <v>9.0920000000000005</v>
      </c>
      <c r="M63">
        <f t="shared" si="20"/>
        <v>0.89270301990850887</v>
      </c>
      <c r="N63" s="95">
        <f t="shared" si="21"/>
        <v>0.56999999999999995</v>
      </c>
      <c r="O63" s="89">
        <f t="shared" si="22"/>
        <v>9.1790311136115825</v>
      </c>
      <c r="P63" s="30">
        <f t="shared" si="23"/>
        <v>9.5722738244150892E-3</v>
      </c>
      <c r="R63">
        <f>(D63*(D63-1))/2</f>
        <v>1</v>
      </c>
      <c r="S63">
        <f>N63/R63</f>
        <v>0.56999999999999995</v>
      </c>
      <c r="T63">
        <f>M63/R63</f>
        <v>0.89270301990850887</v>
      </c>
      <c r="U63" s="81">
        <f>J63*(D63+2*(N63*$R$59 + R63*$S$59))</f>
        <v>9.1962404448206065</v>
      </c>
      <c r="V63" s="30">
        <f t="shared" si="17"/>
        <v>1.1465073121492081E-2</v>
      </c>
      <c r="W63" t="b">
        <f t="shared" si="24"/>
        <v>0</v>
      </c>
      <c r="Y63">
        <v>27.7</v>
      </c>
      <c r="Z63">
        <v>1624.8</v>
      </c>
      <c r="AB63">
        <f t="shared" si="25"/>
        <v>0.68673630064708724</v>
      </c>
      <c r="AC63">
        <f t="shared" si="26"/>
        <v>0.39964476021314388</v>
      </c>
      <c r="AD63">
        <f t="shared" si="27"/>
        <v>6.8636828868795883</v>
      </c>
      <c r="AE63" s="30">
        <f t="shared" si="18"/>
        <v>0.24508547218658294</v>
      </c>
      <c r="AF63">
        <f t="shared" si="28"/>
        <v>9.2303652204858917</v>
      </c>
      <c r="AG63" s="30">
        <f t="shared" si="19"/>
        <v>1.5218348051681827E-2</v>
      </c>
      <c r="AH63" t="b">
        <f t="shared" si="29"/>
        <v>0</v>
      </c>
    </row>
    <row r="64" spans="1:34" x14ac:dyDescent="0.25">
      <c r="A64" s="74"/>
      <c r="C64" t="str">
        <v>Circular</v>
      </c>
      <c r="D64">
        <v>2</v>
      </c>
      <c r="E64" s="17">
        <v>6</v>
      </c>
      <c r="F64">
        <v>0.9</v>
      </c>
      <c r="G64">
        <v>0.15</v>
      </c>
      <c r="H64">
        <v>40</v>
      </c>
      <c r="I64">
        <v>0.56999999999999995</v>
      </c>
      <c r="J64" s="37">
        <v>1.855169938334563</v>
      </c>
      <c r="K64">
        <v>7.1440000000000001</v>
      </c>
      <c r="M64">
        <f t="shared" si="20"/>
        <v>0.92543007850088532</v>
      </c>
      <c r="N64" s="95">
        <f t="shared" si="21"/>
        <v>0.56999999999999995</v>
      </c>
      <c r="O64" s="89">
        <f t="shared" si="22"/>
        <v>7.0897934667072482</v>
      </c>
      <c r="P64" s="30">
        <f t="shared" si="23"/>
        <v>7.5877006288846494E-3</v>
      </c>
      <c r="R64">
        <f>(D64*(D64-1))/2</f>
        <v>1</v>
      </c>
      <c r="S64">
        <f>N64/R64</f>
        <v>0.56999999999999995</v>
      </c>
      <c r="T64">
        <f>M64/R64</f>
        <v>0.92543007850088532</v>
      </c>
      <c r="U64" s="81">
        <f>J64*(D64+2*(N64*$R$59 + R64*$S$59))</f>
        <v>7.1030857850861686</v>
      </c>
      <c r="V64" s="30">
        <f t="shared" si="17"/>
        <v>5.7270737561354304E-3</v>
      </c>
      <c r="W64" t="b">
        <f t="shared" si="24"/>
        <v>1</v>
      </c>
      <c r="Y64">
        <v>26.12</v>
      </c>
      <c r="Z64">
        <v>1236.530868452943</v>
      </c>
      <c r="AB64">
        <f t="shared" si="25"/>
        <v>0.68673630064708724</v>
      </c>
      <c r="AC64">
        <f t="shared" si="26"/>
        <v>0.39964476021314388</v>
      </c>
      <c r="AD64">
        <f t="shared" si="27"/>
        <v>5.3014412400006181</v>
      </c>
      <c r="AE64" s="30">
        <f t="shared" si="18"/>
        <v>0.25791695968636363</v>
      </c>
      <c r="AF64">
        <f t="shared" si="28"/>
        <v>7.129443426603018</v>
      </c>
      <c r="AG64" s="30">
        <f t="shared" si="19"/>
        <v>2.0375942604958191E-3</v>
      </c>
      <c r="AH64" t="b">
        <f t="shared" si="29"/>
        <v>1</v>
      </c>
    </row>
    <row r="65" spans="1:34" x14ac:dyDescent="0.25">
      <c r="A65" s="74"/>
      <c r="C65" t="str">
        <v>Square</v>
      </c>
      <c r="D65">
        <v>2</v>
      </c>
      <c r="E65">
        <v>9</v>
      </c>
      <c r="F65" s="17">
        <v>1.2</v>
      </c>
      <c r="G65">
        <v>0.15</v>
      </c>
      <c r="H65">
        <v>40</v>
      </c>
      <c r="I65">
        <v>0.56999999999999995</v>
      </c>
      <c r="J65" s="37">
        <v>3.032956325881794</v>
      </c>
      <c r="K65">
        <v>11.587</v>
      </c>
      <c r="M65">
        <f t="shared" si="20"/>
        <v>0.91018246802997149</v>
      </c>
      <c r="N65" s="95">
        <f t="shared" si="21"/>
        <v>0.56999999999999995</v>
      </c>
      <c r="O65" s="89">
        <f t="shared" si="22"/>
        <v>11.590870194538095</v>
      </c>
      <c r="P65" s="30">
        <f t="shared" si="23"/>
        <v>3.3401178373133742E-4</v>
      </c>
      <c r="R65">
        <f>(D65*(D65-1))/2</f>
        <v>1</v>
      </c>
      <c r="S65">
        <f>N65/R65</f>
        <v>0.56999999999999995</v>
      </c>
      <c r="T65">
        <f>M65/R65</f>
        <v>0.91018246802997149</v>
      </c>
      <c r="U65" s="81">
        <f>J65*(D65+2*(N65*$R$59 + R65*$S$59))</f>
        <v>11.612601368744794</v>
      </c>
      <c r="V65" s="30">
        <f t="shared" si="17"/>
        <v>2.2094907003361252E-3</v>
      </c>
      <c r="W65" t="b">
        <f t="shared" si="24"/>
        <v>0</v>
      </c>
      <c r="Y65">
        <v>16</v>
      </c>
      <c r="Z65">
        <v>2016</v>
      </c>
      <c r="AB65">
        <f t="shared" si="25"/>
        <v>0.68673630064708724</v>
      </c>
      <c r="AC65">
        <f t="shared" si="26"/>
        <v>0.54837180962697185</v>
      </c>
      <c r="AD65">
        <f t="shared" si="27"/>
        <v>9.6351982829852361</v>
      </c>
      <c r="AE65" s="30">
        <f t="shared" si="18"/>
        <v>0.16844754613055699</v>
      </c>
      <c r="AF65">
        <f t="shared" si="28"/>
        <v>11.655692610103319</v>
      </c>
      <c r="AG65" s="30">
        <f t="shared" si="19"/>
        <v>5.9284206527418139E-3</v>
      </c>
      <c r="AH65" t="b">
        <f t="shared" si="29"/>
        <v>0</v>
      </c>
    </row>
    <row r="66" spans="1:34" x14ac:dyDescent="0.25">
      <c r="A66" s="74"/>
      <c r="C66" t="str">
        <v>Circular</v>
      </c>
      <c r="D66">
        <v>2</v>
      </c>
      <c r="E66">
        <v>9</v>
      </c>
      <c r="F66" s="17">
        <v>1.2</v>
      </c>
      <c r="G66">
        <v>0.15</v>
      </c>
      <c r="H66">
        <v>40</v>
      </c>
      <c r="I66">
        <v>0.56999999999999995</v>
      </c>
      <c r="J66" s="37">
        <v>2.2902271913163901</v>
      </c>
      <c r="K66">
        <v>8.9469999999999992</v>
      </c>
      <c r="M66">
        <f t="shared" si="20"/>
        <v>0.95329966256696808</v>
      </c>
      <c r="N66" s="95">
        <f t="shared" si="21"/>
        <v>0.56999999999999995</v>
      </c>
      <c r="O66" s="89">
        <f t="shared" si="22"/>
        <v>8.752426094639528</v>
      </c>
      <c r="P66" s="30">
        <f t="shared" si="23"/>
        <v>2.1747390785790899E-2</v>
      </c>
      <c r="R66">
        <f>(D66*(D66-1))/2</f>
        <v>1</v>
      </c>
      <c r="S66">
        <f>N66/R66</f>
        <v>0.56999999999999995</v>
      </c>
      <c r="T66">
        <f>M66/R66</f>
        <v>0.95329966256696808</v>
      </c>
      <c r="U66" s="81">
        <f>J66*(D66+2*(N66*$R$59 + R66*$S$59))</f>
        <v>8.7688356042795803</v>
      </c>
      <c r="V66" s="30">
        <f t="shared" si="17"/>
        <v>1.9913311246274604E-2</v>
      </c>
      <c r="W66" t="b">
        <f t="shared" si="24"/>
        <v>1</v>
      </c>
      <c r="Y66">
        <v>13.97</v>
      </c>
      <c r="Z66">
        <v>1507.0219959270239</v>
      </c>
      <c r="AB66">
        <f t="shared" si="25"/>
        <v>0.68673630064708724</v>
      </c>
      <c r="AC66">
        <f t="shared" si="26"/>
        <v>0.54837180962697185</v>
      </c>
      <c r="AD66">
        <f t="shared" si="27"/>
        <v>7.2756712363809379</v>
      </c>
      <c r="AE66" s="30">
        <f t="shared" si="18"/>
        <v>0.18680325959752558</v>
      </c>
      <c r="AF66">
        <f t="shared" si="28"/>
        <v>8.8013743954994563</v>
      </c>
      <c r="AG66" s="30">
        <f t="shared" si="19"/>
        <v>1.6276473063657412E-2</v>
      </c>
      <c r="AH66" t="b">
        <f t="shared" si="29"/>
        <v>1</v>
      </c>
    </row>
    <row r="67" spans="1:34" x14ac:dyDescent="0.25">
      <c r="A67" s="74"/>
      <c r="C67" t="str">
        <v>Square</v>
      </c>
      <c r="D67">
        <v>2</v>
      </c>
      <c r="E67">
        <v>9</v>
      </c>
      <c r="F67">
        <v>0.9</v>
      </c>
      <c r="G67" s="17">
        <v>0.3</v>
      </c>
      <c r="H67">
        <v>40</v>
      </c>
      <c r="I67">
        <v>0.56999999999999995</v>
      </c>
      <c r="J67" s="37">
        <v>3.5104936720560538</v>
      </c>
      <c r="K67">
        <v>13.393000000000001</v>
      </c>
      <c r="M67">
        <f t="shared" si="20"/>
        <v>0.90756646374409811</v>
      </c>
      <c r="N67" s="95">
        <f t="shared" si="21"/>
        <v>0.56999999999999995</v>
      </c>
      <c r="O67" s="89">
        <f t="shared" si="22"/>
        <v>13.415846487574822</v>
      </c>
      <c r="P67" s="30">
        <f t="shared" si="23"/>
        <v>1.7058528764892767E-3</v>
      </c>
      <c r="R67">
        <f>(D67*(D67-1))/2</f>
        <v>1</v>
      </c>
      <c r="S67">
        <f>N67/R67</f>
        <v>0.56999999999999995</v>
      </c>
      <c r="T67">
        <f>M67/R67</f>
        <v>0.90756646374409811</v>
      </c>
      <c r="U67" s="81">
        <f>J67*(D67+2*(N67*$R$59 + R67*$S$59))</f>
        <v>13.440999223500484</v>
      </c>
      <c r="V67" s="30">
        <f t="shared" si="17"/>
        <v>3.5839037930622646E-3</v>
      </c>
      <c r="W67" t="b">
        <f t="shared" si="24"/>
        <v>0</v>
      </c>
      <c r="Y67">
        <v>19</v>
      </c>
      <c r="Z67">
        <v>2124</v>
      </c>
      <c r="AB67">
        <f t="shared" si="25"/>
        <v>0.68673630064708724</v>
      </c>
      <c r="AC67">
        <f t="shared" si="26"/>
        <v>0.54837180962697185</v>
      </c>
      <c r="AD67">
        <f t="shared" si="27"/>
        <v>11.152255082865736</v>
      </c>
      <c r="AE67" s="30">
        <f t="shared" si="18"/>
        <v>0.16730716920288694</v>
      </c>
      <c r="AF67">
        <f t="shared" si="28"/>
        <v>13.490875157690258</v>
      </c>
      <c r="AG67" s="30">
        <f t="shared" si="19"/>
        <v>7.3079338229117786E-3</v>
      </c>
      <c r="AH67" t="b">
        <f t="shared" si="29"/>
        <v>0</v>
      </c>
    </row>
    <row r="68" spans="1:34" x14ac:dyDescent="0.25">
      <c r="A68" s="74"/>
      <c r="C68" t="str">
        <v>Circular</v>
      </c>
      <c r="D68">
        <v>2</v>
      </c>
      <c r="E68">
        <v>9</v>
      </c>
      <c r="F68">
        <v>0.9</v>
      </c>
      <c r="G68" s="17">
        <v>0.3</v>
      </c>
      <c r="H68">
        <v>40</v>
      </c>
      <c r="I68">
        <v>0.56999999999999995</v>
      </c>
      <c r="J68" s="37">
        <v>2.688808608987256</v>
      </c>
      <c r="K68">
        <v>10.414999999999999</v>
      </c>
      <c r="M68">
        <f t="shared" si="20"/>
        <v>0.93673137708429621</v>
      </c>
      <c r="N68" s="95">
        <f t="shared" si="21"/>
        <v>0.56999999999999995</v>
      </c>
      <c r="O68" s="89">
        <f t="shared" si="22"/>
        <v>10.275661175459494</v>
      </c>
      <c r="P68" s="30">
        <f t="shared" si="23"/>
        <v>1.3378667742727376E-2</v>
      </c>
      <c r="R68">
        <f>(D68*(D68-1))/2</f>
        <v>1</v>
      </c>
      <c r="S68">
        <f>N68/R68</f>
        <v>0.56999999999999995</v>
      </c>
      <c r="T68">
        <f>M68/R68</f>
        <v>0.93673137708429621</v>
      </c>
      <c r="U68" s="81">
        <f>J68*(D68+2*(N68*$R$59 + R68*$S$59))</f>
        <v>10.294926526493979</v>
      </c>
      <c r="V68" s="30">
        <f t="shared" si="17"/>
        <v>1.1528898080270748E-2</v>
      </c>
      <c r="W68" t="b">
        <f t="shared" si="24"/>
        <v>1</v>
      </c>
      <c r="Y68">
        <v>17.2</v>
      </c>
      <c r="Z68">
        <v>1600.3272977386409</v>
      </c>
      <c r="AB68">
        <f t="shared" si="25"/>
        <v>0.68673630064708724</v>
      </c>
      <c r="AC68">
        <f t="shared" si="26"/>
        <v>0.54837180962697185</v>
      </c>
      <c r="AD68">
        <f t="shared" si="27"/>
        <v>8.5418981709397794</v>
      </c>
      <c r="AE68" s="30">
        <f t="shared" si="18"/>
        <v>0.17984655103794717</v>
      </c>
      <c r="AF68">
        <f t="shared" si="28"/>
        <v>10.333128230800771</v>
      </c>
      <c r="AG68" s="30">
        <f t="shared" si="19"/>
        <v>7.8609475947410794E-3</v>
      </c>
      <c r="AH68" t="b">
        <f t="shared" si="29"/>
        <v>1</v>
      </c>
    </row>
    <row r="69" spans="1:34" x14ac:dyDescent="0.25">
      <c r="A69" s="74"/>
      <c r="C69" t="str">
        <v>Square</v>
      </c>
      <c r="D69">
        <v>2</v>
      </c>
      <c r="E69">
        <v>9</v>
      </c>
      <c r="F69">
        <v>0.9</v>
      </c>
      <c r="G69">
        <v>0.15</v>
      </c>
      <c r="H69" s="17">
        <v>30</v>
      </c>
      <c r="I69">
        <v>0.56999999999999995</v>
      </c>
      <c r="J69" s="37">
        <v>2.1872462166826581</v>
      </c>
      <c r="K69">
        <v>8.2050000000000001</v>
      </c>
      <c r="M69">
        <f t="shared" si="20"/>
        <v>0.87564617495242936</v>
      </c>
      <c r="N69" s="95">
        <f t="shared" si="21"/>
        <v>0.56999999999999995</v>
      </c>
      <c r="O69" s="89">
        <f t="shared" si="22"/>
        <v>8.3588697815134001</v>
      </c>
      <c r="P69" s="30">
        <f t="shared" si="23"/>
        <v>1.8753172640268132E-2</v>
      </c>
      <c r="R69">
        <f>(D69*(D69-1))/2</f>
        <v>1</v>
      </c>
      <c r="S69">
        <f>N69/R69</f>
        <v>0.56999999999999995</v>
      </c>
      <c r="T69">
        <f>M69/R69</f>
        <v>0.87564617495242936</v>
      </c>
      <c r="U69" s="81">
        <f>J69*(D69+2*(N69*$R$59 + R69*$S$59))</f>
        <v>8.3745414310396598</v>
      </c>
      <c r="V69" s="30">
        <f t="shared" si="17"/>
        <v>2.0663184770220559E-2</v>
      </c>
      <c r="W69" t="b">
        <f t="shared" si="24"/>
        <v>0</v>
      </c>
      <c r="Y69">
        <v>11.4</v>
      </c>
      <c r="Z69">
        <v>1490.4</v>
      </c>
      <c r="AB69">
        <f t="shared" si="25"/>
        <v>0.68673630064708724</v>
      </c>
      <c r="AC69">
        <f t="shared" si="26"/>
        <v>0.54837180962697185</v>
      </c>
      <c r="AD69">
        <f t="shared" si="27"/>
        <v>6.9485177915707501</v>
      </c>
      <c r="AE69" s="30">
        <f t="shared" si="18"/>
        <v>0.15313616190484461</v>
      </c>
      <c r="AF69">
        <f t="shared" si="28"/>
        <v>8.4056171025979012</v>
      </c>
      <c r="AG69" s="30">
        <f t="shared" si="19"/>
        <v>2.4450591419610129E-2</v>
      </c>
      <c r="AH69" t="b">
        <f t="shared" si="29"/>
        <v>0</v>
      </c>
    </row>
    <row r="70" spans="1:34" x14ac:dyDescent="0.25">
      <c r="A70" s="74"/>
      <c r="C70" t="str">
        <v>Circular</v>
      </c>
      <c r="D70">
        <v>2</v>
      </c>
      <c r="E70">
        <v>9</v>
      </c>
      <c r="F70">
        <v>0.9</v>
      </c>
      <c r="G70">
        <v>0.15</v>
      </c>
      <c r="H70" s="17">
        <v>30</v>
      </c>
      <c r="I70">
        <v>0.56999999999999995</v>
      </c>
      <c r="J70" s="37">
        <v>1.6434123702126029</v>
      </c>
      <c r="K70">
        <v>6.3040000000000003</v>
      </c>
      <c r="M70">
        <f t="shared" si="20"/>
        <v>0.91796049313675065</v>
      </c>
      <c r="N70" s="95">
        <f t="shared" si="21"/>
        <v>0.56999999999999995</v>
      </c>
      <c r="O70" s="89">
        <f t="shared" si="22"/>
        <v>6.2805320659189938</v>
      </c>
      <c r="P70" s="30">
        <f t="shared" si="23"/>
        <v>3.7227052793474694E-3</v>
      </c>
      <c r="R70">
        <f>(D70*(D70-1))/2</f>
        <v>1</v>
      </c>
      <c r="S70">
        <f>N70/R70</f>
        <v>0.56999999999999995</v>
      </c>
      <c r="T70">
        <f>M70/R70</f>
        <v>0.91796049313675065</v>
      </c>
      <c r="U70" s="81">
        <f>J70*(D70+2*(N70*$R$59 + R70*$S$59))</f>
        <v>6.2923071383807283</v>
      </c>
      <c r="V70" s="30">
        <f t="shared" si="17"/>
        <v>1.8548321096560859E-3</v>
      </c>
      <c r="W70" t="b">
        <f t="shared" si="24"/>
        <v>1</v>
      </c>
      <c r="Y70">
        <v>9.83</v>
      </c>
      <c r="Z70">
        <v>1111.18132157471</v>
      </c>
      <c r="AB70">
        <f t="shared" si="25"/>
        <v>0.68673630064708724</v>
      </c>
      <c r="AC70">
        <f t="shared" si="26"/>
        <v>0.54837180962697185</v>
      </c>
      <c r="AD70">
        <f t="shared" si="27"/>
        <v>5.2208480262588202</v>
      </c>
      <c r="AE70" s="30">
        <f t="shared" si="18"/>
        <v>0.17181979278889278</v>
      </c>
      <c r="AF70">
        <f t="shared" si="28"/>
        <v>6.3156561983365549</v>
      </c>
      <c r="AG70" s="30">
        <f t="shared" si="19"/>
        <v>1.8490162335905178E-3</v>
      </c>
      <c r="AH70" t="b">
        <f t="shared" si="29"/>
        <v>1</v>
      </c>
    </row>
    <row r="71" spans="1:34" x14ac:dyDescent="0.25">
      <c r="A71" s="74"/>
      <c r="C71" t="str">
        <v>Square</v>
      </c>
      <c r="D71">
        <v>2</v>
      </c>
      <c r="E71" s="17">
        <v>5</v>
      </c>
      <c r="F71">
        <v>0.9</v>
      </c>
      <c r="G71">
        <v>0.15</v>
      </c>
      <c r="H71">
        <v>40</v>
      </c>
      <c r="I71">
        <v>0.56999999999999995</v>
      </c>
      <c r="J71" s="37">
        <v>1.8657932380643421</v>
      </c>
      <c r="K71">
        <v>7.0129999999999999</v>
      </c>
      <c r="M71">
        <f t="shared" si="20"/>
        <v>0.87936151148119768</v>
      </c>
      <c r="N71" s="95">
        <f t="shared" si="21"/>
        <v>0.56999999999999995</v>
      </c>
      <c r="O71" s="89">
        <f t="shared" si="22"/>
        <v>7.1303919043289117</v>
      </c>
      <c r="P71" s="30">
        <f t="shared" si="23"/>
        <v>1.6739184989150405E-2</v>
      </c>
      <c r="R71">
        <f>(D71*(D71-1))/2</f>
        <v>1</v>
      </c>
      <c r="S71">
        <f>N71/R71</f>
        <v>0.56999999999999995</v>
      </c>
      <c r="T71">
        <f>M71/R71</f>
        <v>0.87936151148119768</v>
      </c>
      <c r="U71" s="81">
        <f>J71*(D71+2*(N71*$R$59 + R71*$S$59))</f>
        <v>7.1437603387979669</v>
      </c>
      <c r="V71" s="30">
        <f t="shared" si="17"/>
        <v>1.8645421188930131E-2</v>
      </c>
      <c r="W71" t="b">
        <f t="shared" si="24"/>
        <v>0</v>
      </c>
      <c r="Y71">
        <v>29.8</v>
      </c>
      <c r="Z71">
        <v>1396</v>
      </c>
      <c r="AB71">
        <f t="shared" si="25"/>
        <v>0.68673630064708724</v>
      </c>
      <c r="AC71">
        <f t="shared" si="26"/>
        <v>0.32237266279819471</v>
      </c>
      <c r="AD71">
        <f t="shared" si="27"/>
        <v>5.0223947712615189</v>
      </c>
      <c r="AE71" s="30">
        <f t="shared" si="18"/>
        <v>0.28384503475523759</v>
      </c>
      <c r="AF71">
        <f t="shared" si="28"/>
        <v>7.1702689126473311</v>
      </c>
      <c r="AG71" s="30">
        <f t="shared" si="19"/>
        <v>2.2425340460192674E-2</v>
      </c>
      <c r="AH71" t="b">
        <f t="shared" si="29"/>
        <v>0</v>
      </c>
    </row>
    <row r="72" spans="1:34" x14ac:dyDescent="0.25">
      <c r="A72" s="74"/>
      <c r="C72" t="str">
        <v>Square</v>
      </c>
      <c r="D72">
        <v>2</v>
      </c>
      <c r="E72" s="17">
        <v>8</v>
      </c>
      <c r="F72">
        <v>0.9</v>
      </c>
      <c r="G72">
        <v>0.15</v>
      </c>
      <c r="H72">
        <v>40</v>
      </c>
      <c r="I72">
        <v>0.56999999999999995</v>
      </c>
      <c r="J72" s="37">
        <v>3.454978287469658</v>
      </c>
      <c r="K72">
        <v>13.186999999999999</v>
      </c>
      <c r="M72">
        <f t="shared" si="20"/>
        <v>0.90840562556151938</v>
      </c>
      <c r="N72" s="95">
        <f t="shared" si="21"/>
        <v>0.56999999999999995</v>
      </c>
      <c r="O72" s="89">
        <f t="shared" si="22"/>
        <v>13.203686618654292</v>
      </c>
      <c r="P72" s="30">
        <f t="shared" si="23"/>
        <v>1.2653839883439916E-3</v>
      </c>
      <c r="R72">
        <f>(D72*(D72-1))/2</f>
        <v>1</v>
      </c>
      <c r="S72">
        <f>N72/R72</f>
        <v>0.56999999999999995</v>
      </c>
      <c r="T72">
        <f>M72/R72</f>
        <v>0.90840562556151938</v>
      </c>
      <c r="U72" s="81">
        <f>J72*(D72+2*(N72*$R$59 + R72*$S$59))</f>
        <v>13.22844158607821</v>
      </c>
      <c r="V72" s="30">
        <f t="shared" si="17"/>
        <v>3.1426090906355266E-3</v>
      </c>
      <c r="W72" t="b">
        <f t="shared" si="24"/>
        <v>0</v>
      </c>
      <c r="Y72">
        <v>23.5</v>
      </c>
      <c r="Z72">
        <v>2032</v>
      </c>
      <c r="AB72">
        <f t="shared" si="25"/>
        <v>0.68673630064708724</v>
      </c>
      <c r="AC72">
        <f t="shared" si="26"/>
        <v>0.51134547778843087</v>
      </c>
      <c r="AD72">
        <f t="shared" si="27"/>
        <v>10.701357993847788</v>
      </c>
      <c r="AE72" s="30">
        <f t="shared" si="18"/>
        <v>0.188491848498689</v>
      </c>
      <c r="AF72">
        <f t="shared" si="28"/>
        <v>13.277528776026628</v>
      </c>
      <c r="AG72" s="30">
        <f t="shared" si="19"/>
        <v>6.865001594496753E-3</v>
      </c>
      <c r="AH72" t="b">
        <f t="shared" si="29"/>
        <v>0</v>
      </c>
    </row>
    <row r="73" spans="1:34" x14ac:dyDescent="0.25">
      <c r="A73" s="74"/>
      <c r="C73" t="str">
        <v>Square</v>
      </c>
      <c r="D73">
        <v>2</v>
      </c>
      <c r="E73" s="17">
        <v>11</v>
      </c>
      <c r="F73">
        <v>0.9</v>
      </c>
      <c r="G73">
        <v>0.15</v>
      </c>
      <c r="H73">
        <v>40</v>
      </c>
      <c r="I73">
        <v>0.56999999999999995</v>
      </c>
      <c r="J73" s="37">
        <v>4.8041946478743043</v>
      </c>
      <c r="K73">
        <v>18.334</v>
      </c>
      <c r="M73">
        <f t="shared" si="20"/>
        <v>0.90812418561268982</v>
      </c>
      <c r="N73" s="95">
        <f t="shared" si="21"/>
        <v>0.56999999999999995</v>
      </c>
      <c r="O73" s="89">
        <f t="shared" si="22"/>
        <v>18.359907156465912</v>
      </c>
      <c r="P73" s="30">
        <f t="shared" si="23"/>
        <v>1.4130662411864488E-3</v>
      </c>
      <c r="R73">
        <f>(D73*(D73-1))/2</f>
        <v>1</v>
      </c>
      <c r="S73">
        <f>N73/R73</f>
        <v>0.56999999999999995</v>
      </c>
      <c r="T73">
        <f>M73/R73</f>
        <v>0.90812418561268982</v>
      </c>
      <c r="U73" s="81">
        <f>J73*(D73+2*(N73*$R$59 + R73*$S$59))</f>
        <v>18.394329277854521</v>
      </c>
      <c r="V73" s="30">
        <f t="shared" si="17"/>
        <v>3.2905682259474758E-3</v>
      </c>
      <c r="W73" t="b">
        <f t="shared" si="24"/>
        <v>0</v>
      </c>
      <c r="Y73">
        <v>17.2</v>
      </c>
      <c r="Z73">
        <v>2516.8000000000002</v>
      </c>
      <c r="AB73">
        <f t="shared" si="25"/>
        <v>0.68673630064708724</v>
      </c>
      <c r="AC73">
        <f t="shared" si="26"/>
        <v>0.5965586944732042</v>
      </c>
      <c r="AD73">
        <f t="shared" si="27"/>
        <v>15.758937138591723</v>
      </c>
      <c r="AE73" s="30">
        <f t="shared" si="18"/>
        <v>0.14045286688165579</v>
      </c>
      <c r="AF73">
        <f t="shared" si="28"/>
        <v>18.462585688056766</v>
      </c>
      <c r="AG73" s="30">
        <f t="shared" si="19"/>
        <v>7.0135097663775719E-3</v>
      </c>
      <c r="AH73" t="b">
        <f t="shared" si="29"/>
        <v>0</v>
      </c>
    </row>
    <row r="74" spans="1:34" x14ac:dyDescent="0.25">
      <c r="A74" s="74"/>
      <c r="C74" t="str">
        <v>Square</v>
      </c>
      <c r="D74">
        <v>2</v>
      </c>
      <c r="E74" s="17">
        <v>14</v>
      </c>
      <c r="F74">
        <v>0.9</v>
      </c>
      <c r="G74">
        <v>0.15</v>
      </c>
      <c r="H74">
        <v>40</v>
      </c>
      <c r="I74">
        <v>0.56999999999999995</v>
      </c>
      <c r="J74" s="37">
        <v>5.700227800954166</v>
      </c>
      <c r="K74">
        <v>21.73</v>
      </c>
      <c r="M74">
        <f t="shared" si="20"/>
        <v>0.90606417487057245</v>
      </c>
      <c r="N74" s="95">
        <f t="shared" si="21"/>
        <v>0.56999999999999995</v>
      </c>
      <c r="O74" s="89">
        <f t="shared" si="22"/>
        <v>21.784224176372824</v>
      </c>
      <c r="P74" s="30">
        <f t="shared" si="23"/>
        <v>2.4953601644189371E-3</v>
      </c>
      <c r="R74">
        <f>(D74*(D74-1))/2</f>
        <v>1</v>
      </c>
      <c r="S74">
        <f>N74/R74</f>
        <v>0.56999999999999995</v>
      </c>
      <c r="T74">
        <f>M74/R74</f>
        <v>0.90606417487057245</v>
      </c>
      <c r="U74" s="81">
        <f>J74*(D74+2*(N74*$R$59 + R74*$S$59))</f>
        <v>21.825066387750329</v>
      </c>
      <c r="V74" s="30">
        <f t="shared" si="17"/>
        <v>4.3748912908572858E-3</v>
      </c>
      <c r="W74" t="b">
        <f t="shared" si="24"/>
        <v>0</v>
      </c>
      <c r="Y74">
        <v>10.9</v>
      </c>
      <c r="Z74">
        <v>2850.4</v>
      </c>
      <c r="AB74">
        <f t="shared" si="25"/>
        <v>0.68673630064708724</v>
      </c>
      <c r="AC74">
        <f t="shared" si="26"/>
        <v>0.6311179804224627</v>
      </c>
      <c r="AD74">
        <f t="shared" si="27"/>
        <v>19.120908746661936</v>
      </c>
      <c r="AE74" s="30">
        <f t="shared" si="18"/>
        <v>0.12006862647667117</v>
      </c>
      <c r="AF74">
        <f t="shared" si="28"/>
        <v>21.90605334093307</v>
      </c>
      <c r="AG74" s="30">
        <f t="shared" si="19"/>
        <v>8.1018564626355177E-3</v>
      </c>
      <c r="AH74" t="b">
        <f t="shared" si="29"/>
        <v>0</v>
      </c>
    </row>
    <row r="75" spans="1:34" x14ac:dyDescent="0.25">
      <c r="A75" s="74"/>
      <c r="C75" t="str">
        <v>Circular</v>
      </c>
      <c r="D75">
        <v>2</v>
      </c>
      <c r="E75" s="17">
        <v>5</v>
      </c>
      <c r="F75">
        <v>0.9</v>
      </c>
      <c r="G75">
        <v>0.15</v>
      </c>
      <c r="H75">
        <v>40</v>
      </c>
      <c r="I75">
        <v>0.56999999999999995</v>
      </c>
      <c r="J75" s="37">
        <v>1.435843148206867</v>
      </c>
      <c r="K75">
        <v>5.508</v>
      </c>
      <c r="M75">
        <f t="shared" si="20"/>
        <v>0.91803680188835046</v>
      </c>
      <c r="N75" s="95">
        <f t="shared" si="21"/>
        <v>0.56999999999999995</v>
      </c>
      <c r="O75" s="89">
        <f t="shared" si="22"/>
        <v>5.4872770202993513</v>
      </c>
      <c r="P75" s="30">
        <f t="shared" si="23"/>
        <v>3.7623419935818329E-3</v>
      </c>
      <c r="R75">
        <f>(D75*(D75-1))/2</f>
        <v>1</v>
      </c>
      <c r="S75">
        <f>N75/R75</f>
        <v>0.56999999999999995</v>
      </c>
      <c r="T75">
        <f>M75/R75</f>
        <v>0.91803680188835046</v>
      </c>
      <c r="U75" s="81">
        <f>J75*(D75+2*(N75*$R$59 + R75*$S$59))</f>
        <v>5.4975648564020059</v>
      </c>
      <c r="V75" s="30">
        <f t="shared" si="17"/>
        <v>1.8945431368907288E-3</v>
      </c>
      <c r="W75" t="b">
        <f t="shared" si="24"/>
        <v>1</v>
      </c>
      <c r="Y75">
        <v>28.22</v>
      </c>
      <c r="Z75">
        <v>1063.4291132401449</v>
      </c>
      <c r="AB75">
        <f t="shared" si="25"/>
        <v>0.68673630064708724</v>
      </c>
      <c r="AC75">
        <f t="shared" si="26"/>
        <v>0.32237266279819471</v>
      </c>
      <c r="AD75">
        <f t="shared" si="27"/>
        <v>3.8650430137624721</v>
      </c>
      <c r="AE75" s="30">
        <f t="shared" si="18"/>
        <v>0.29828558210557876</v>
      </c>
      <c r="AF75">
        <f t="shared" si="28"/>
        <v>5.517964841434555</v>
      </c>
      <c r="AG75" s="30">
        <f t="shared" si="19"/>
        <v>1.8091578494108579E-3</v>
      </c>
      <c r="AH75" t="b">
        <f t="shared" si="29"/>
        <v>1</v>
      </c>
    </row>
    <row r="76" spans="1:34" x14ac:dyDescent="0.25">
      <c r="A76" s="74"/>
      <c r="C76" t="str">
        <v>Circular</v>
      </c>
      <c r="D76">
        <v>2</v>
      </c>
      <c r="E76" s="17">
        <v>7</v>
      </c>
      <c r="F76">
        <v>0.9</v>
      </c>
      <c r="G76">
        <v>0.15</v>
      </c>
      <c r="H76">
        <v>40</v>
      </c>
      <c r="I76">
        <v>0.56999999999999995</v>
      </c>
      <c r="J76" s="37">
        <v>2.273124943237737</v>
      </c>
      <c r="K76">
        <v>8.7750000000000004</v>
      </c>
      <c r="M76">
        <f t="shared" si="20"/>
        <v>0.93016226980934991</v>
      </c>
      <c r="N76" s="95">
        <f t="shared" si="21"/>
        <v>0.56999999999999995</v>
      </c>
      <c r="O76" s="89">
        <f t="shared" si="22"/>
        <v>8.6870674424812826</v>
      </c>
      <c r="P76" s="30">
        <f t="shared" si="23"/>
        <v>1.0020804275637351E-2</v>
      </c>
      <c r="R76">
        <f>(D76*(D76-1))/2</f>
        <v>1</v>
      </c>
      <c r="S76">
        <f>N76/R76</f>
        <v>0.56999999999999995</v>
      </c>
      <c r="T76">
        <f>M76/R76</f>
        <v>0.93016226980934991</v>
      </c>
      <c r="U76" s="81">
        <f>J76*(D76+2*(N76*$R$59 + R76*$S$59))</f>
        <v>8.70335441427628</v>
      </c>
      <c r="V76" s="30">
        <f t="shared" si="17"/>
        <v>8.1647391138142868E-3</v>
      </c>
      <c r="W76" t="b">
        <f t="shared" si="24"/>
        <v>1</v>
      </c>
      <c r="Y76">
        <v>24.03</v>
      </c>
      <c r="Z76">
        <v>1396.437934520663</v>
      </c>
      <c r="AB76">
        <f t="shared" si="25"/>
        <v>0.68673630064708724</v>
      </c>
      <c r="AC76">
        <f t="shared" si="26"/>
        <v>0.4624823029731005</v>
      </c>
      <c r="AD76">
        <f t="shared" si="27"/>
        <v>6.8023504441370317</v>
      </c>
      <c r="AE76" s="30">
        <f t="shared" si="18"/>
        <v>0.22480336818951208</v>
      </c>
      <c r="AF76">
        <f t="shared" si="28"/>
        <v>8.7356502224062105</v>
      </c>
      <c r="AG76" s="30">
        <f t="shared" si="19"/>
        <v>4.4843051388934333E-3</v>
      </c>
      <c r="AH76" t="b">
        <f t="shared" si="29"/>
        <v>1</v>
      </c>
    </row>
    <row r="77" spans="1:34" x14ac:dyDescent="0.25">
      <c r="A77" s="74"/>
      <c r="C77" t="str">
        <v>Circular</v>
      </c>
      <c r="D77">
        <v>2</v>
      </c>
      <c r="E77" s="17">
        <v>8</v>
      </c>
      <c r="F77">
        <v>0.9</v>
      </c>
      <c r="G77">
        <v>0.15</v>
      </c>
      <c r="H77">
        <v>40</v>
      </c>
      <c r="I77">
        <v>0.56999999999999995</v>
      </c>
      <c r="J77" s="37">
        <v>2.677497962690337</v>
      </c>
      <c r="K77">
        <v>10.374000000000001</v>
      </c>
      <c r="M77">
        <f t="shared" si="20"/>
        <v>0.93725637601909795</v>
      </c>
      <c r="N77" s="95">
        <f t="shared" si="21"/>
        <v>0.56999999999999995</v>
      </c>
      <c r="O77" s="89">
        <f t="shared" si="22"/>
        <v>10.232435946027346</v>
      </c>
      <c r="P77" s="30">
        <f t="shared" si="23"/>
        <v>1.3646043375039E-2</v>
      </c>
      <c r="R77">
        <f>(D77*(D77-1))/2</f>
        <v>1</v>
      </c>
      <c r="S77">
        <f>N77/R77</f>
        <v>0.56999999999999995</v>
      </c>
      <c r="T77">
        <f>M77/R77</f>
        <v>0.93725637601909795</v>
      </c>
      <c r="U77" s="81">
        <f>J77*(D77+2*(N77*$R$59 + R77*$S$59))</f>
        <v>10.251620256123996</v>
      </c>
      <c r="V77" s="30">
        <f t="shared" si="17"/>
        <v>1.1796775002506728E-2</v>
      </c>
      <c r="W77" t="b">
        <f t="shared" si="24"/>
        <v>1</v>
      </c>
      <c r="Y77">
        <v>21.93</v>
      </c>
      <c r="Z77">
        <v>1543.150311443306</v>
      </c>
      <c r="AB77">
        <f t="shared" si="25"/>
        <v>0.68673630064708724</v>
      </c>
      <c r="AC77">
        <f t="shared" si="26"/>
        <v>0.51134547778843087</v>
      </c>
      <c r="AD77">
        <f t="shared" si="27"/>
        <v>8.2932110833993296</v>
      </c>
      <c r="AE77" s="30">
        <f t="shared" si="18"/>
        <v>0.20057730061699161</v>
      </c>
      <c r="AF77">
        <f t="shared" si="28"/>
        <v>10.289661262505351</v>
      </c>
      <c r="AG77" s="30">
        <f t="shared" si="19"/>
        <v>8.1298185362106371E-3</v>
      </c>
      <c r="AH77" t="b">
        <f t="shared" si="29"/>
        <v>1</v>
      </c>
    </row>
    <row r="78" spans="1:34" x14ac:dyDescent="0.25">
      <c r="A78" s="74"/>
      <c r="C78" t="str">
        <v>Circular</v>
      </c>
      <c r="D78">
        <v>2</v>
      </c>
      <c r="E78" s="17">
        <v>10</v>
      </c>
      <c r="F78">
        <v>0.9</v>
      </c>
      <c r="G78">
        <v>0.15</v>
      </c>
      <c r="H78">
        <v>40</v>
      </c>
      <c r="I78">
        <v>0.56999999999999995</v>
      </c>
      <c r="J78" s="37">
        <v>3.4071285456772702</v>
      </c>
      <c r="K78">
        <v>13.19</v>
      </c>
      <c r="M78">
        <f t="shared" si="20"/>
        <v>0.93564754355020763</v>
      </c>
      <c r="N78" s="95">
        <f t="shared" si="21"/>
        <v>0.56999999999999995</v>
      </c>
      <c r="O78" s="89">
        <f t="shared" si="22"/>
        <v>13.020822084396126</v>
      </c>
      <c r="P78" s="30">
        <f t="shared" si="23"/>
        <v>1.2826225595441478E-2</v>
      </c>
      <c r="R78">
        <f>(D78*(D78-1))/2</f>
        <v>1</v>
      </c>
      <c r="S78">
        <f>N78/R78</f>
        <v>0.56999999999999995</v>
      </c>
      <c r="T78">
        <f>M78/R78</f>
        <v>0.93564754355020763</v>
      </c>
      <c r="U78" s="81">
        <f>J78*(D78+2*(N78*$R$59 + R78*$S$59))</f>
        <v>13.045234207755405</v>
      </c>
      <c r="V78" s="30">
        <f t="shared" si="17"/>
        <v>1.0975420185336987E-2</v>
      </c>
      <c r="W78" t="b">
        <f t="shared" si="24"/>
        <v>1</v>
      </c>
      <c r="Y78">
        <v>17.73</v>
      </c>
      <c r="Z78">
        <v>1796.9909978533619</v>
      </c>
      <c r="AB78">
        <f t="shared" si="25"/>
        <v>0.68673630064708724</v>
      </c>
      <c r="AC78">
        <f t="shared" si="26"/>
        <v>0.57603686635944706</v>
      </c>
      <c r="AD78">
        <f t="shared" si="27"/>
        <v>11.026164589351911</v>
      </c>
      <c r="AE78" s="30">
        <f t="shared" si="18"/>
        <v>0.16405120626596578</v>
      </c>
      <c r="AF78">
        <f t="shared" si="28"/>
        <v>13.093641564382478</v>
      </c>
      <c r="AG78" s="30">
        <f t="shared" si="19"/>
        <v>7.3054158921547468E-3</v>
      </c>
      <c r="AH78" t="b">
        <f t="shared" si="29"/>
        <v>1</v>
      </c>
    </row>
    <row r="79" spans="1:34" x14ac:dyDescent="0.25">
      <c r="A79" s="74"/>
      <c r="C79" t="str">
        <v>Circular</v>
      </c>
      <c r="D79">
        <v>2</v>
      </c>
      <c r="E79" s="17">
        <v>11</v>
      </c>
      <c r="F79">
        <v>0.9</v>
      </c>
      <c r="G79">
        <v>0.15</v>
      </c>
      <c r="H79">
        <v>40</v>
      </c>
      <c r="I79">
        <v>0.56999999999999995</v>
      </c>
      <c r="J79" s="37">
        <v>3.7177899383464439</v>
      </c>
      <c r="K79">
        <v>14.409000000000001</v>
      </c>
      <c r="M79">
        <f t="shared" si="20"/>
        <v>0.93784482702762273</v>
      </c>
      <c r="N79" s="95">
        <f t="shared" si="21"/>
        <v>0.56999999999999995</v>
      </c>
      <c r="O79" s="89">
        <f t="shared" si="22"/>
        <v>14.208058394446164</v>
      </c>
      <c r="P79" s="30">
        <f t="shared" si="23"/>
        <v>1.3945562187093944E-2</v>
      </c>
      <c r="R79">
        <f>(D79*(D79-1))/2</f>
        <v>1</v>
      </c>
      <c r="S79">
        <f>N79/R79</f>
        <v>0.56999999999999995</v>
      </c>
      <c r="T79">
        <f>M79/R79</f>
        <v>0.93784482702762273</v>
      </c>
      <c r="U79" s="81">
        <f>J79*(D79+2*(N79*$R$59 + R79*$S$59))</f>
        <v>14.234696410999414</v>
      </c>
      <c r="V79" s="30">
        <f t="shared" si="17"/>
        <v>1.2096855368213413E-2</v>
      </c>
      <c r="W79" t="b">
        <f t="shared" si="24"/>
        <v>1</v>
      </c>
      <c r="Y79">
        <v>15.63</v>
      </c>
      <c r="Z79">
        <v>1904.119307340774</v>
      </c>
      <c r="AB79">
        <f t="shared" si="25"/>
        <v>0.68673630064708724</v>
      </c>
      <c r="AC79">
        <f t="shared" si="26"/>
        <v>0.5965586944732042</v>
      </c>
      <c r="AD79">
        <f t="shared" si="27"/>
        <v>12.195263145470973</v>
      </c>
      <c r="AE79" s="30">
        <f t="shared" si="18"/>
        <v>0.15363570369415142</v>
      </c>
      <c r="AF79">
        <f t="shared" si="28"/>
        <v>14.287517542047848</v>
      </c>
      <c r="AG79" s="30">
        <f t="shared" si="19"/>
        <v>8.4310124194706751E-3</v>
      </c>
      <c r="AH79" t="b">
        <f t="shared" si="29"/>
        <v>1</v>
      </c>
    </row>
    <row r="80" spans="1:34" x14ac:dyDescent="0.25">
      <c r="A80" s="74"/>
      <c r="C80" t="str">
        <v>Circular</v>
      </c>
      <c r="D80">
        <v>2</v>
      </c>
      <c r="E80" s="17">
        <v>12</v>
      </c>
      <c r="F80">
        <v>0.9</v>
      </c>
      <c r="G80">
        <v>0.15</v>
      </c>
      <c r="H80">
        <v>40</v>
      </c>
      <c r="I80">
        <v>0.56999999999999995</v>
      </c>
      <c r="J80" s="37">
        <v>3.9854627551467412</v>
      </c>
      <c r="K80">
        <v>15.468999999999999</v>
      </c>
      <c r="M80">
        <f t="shared" si="20"/>
        <v>0.94067802791829691</v>
      </c>
      <c r="N80" s="95">
        <f t="shared" si="21"/>
        <v>0.56999999999999995</v>
      </c>
      <c r="O80" s="89">
        <f t="shared" si="22"/>
        <v>15.231007801156329</v>
      </c>
      <c r="P80" s="30">
        <f t="shared" si="23"/>
        <v>1.5385105620510093E-2</v>
      </c>
      <c r="R80">
        <f>(D80*(D80-1))/2</f>
        <v>1</v>
      </c>
      <c r="S80">
        <f>N80/R80</f>
        <v>0.56999999999999995</v>
      </c>
      <c r="T80">
        <f>M80/R80</f>
        <v>0.94067802791829691</v>
      </c>
      <c r="U80" s="81">
        <f>J80*(D80+2*(N80*$R$59 + R80*$S$59))</f>
        <v>15.25956369716028</v>
      </c>
      <c r="V80" s="30">
        <f t="shared" si="17"/>
        <v>1.353909773351346E-2</v>
      </c>
      <c r="W80" t="b">
        <f t="shared" si="24"/>
        <v>1</v>
      </c>
      <c r="Y80">
        <v>13.53</v>
      </c>
      <c r="Z80">
        <v>1998.052927683108</v>
      </c>
      <c r="AB80">
        <f t="shared" si="25"/>
        <v>0.68673630064708724</v>
      </c>
      <c r="AC80">
        <f t="shared" si="26"/>
        <v>0.61172472387425669</v>
      </c>
      <c r="AD80">
        <f t="shared" si="27"/>
        <v>13.203010799062811</v>
      </c>
      <c r="AE80" s="30">
        <f t="shared" si="18"/>
        <v>0.14648582332000698</v>
      </c>
      <c r="AF80">
        <f t="shared" si="28"/>
        <v>15.316187835147993</v>
      </c>
      <c r="AG80" s="30">
        <f t="shared" si="19"/>
        <v>9.8786065584075683E-3</v>
      </c>
      <c r="AH80" t="b">
        <f t="shared" si="29"/>
        <v>1</v>
      </c>
    </row>
    <row r="81" spans="1:34" x14ac:dyDescent="0.25">
      <c r="A81" s="74"/>
      <c r="C81" t="str">
        <v>Circular</v>
      </c>
      <c r="D81">
        <v>2</v>
      </c>
      <c r="E81" s="17">
        <v>13</v>
      </c>
      <c r="F81">
        <v>0.9</v>
      </c>
      <c r="G81">
        <v>0.15</v>
      </c>
      <c r="H81">
        <v>40</v>
      </c>
      <c r="I81">
        <v>0.56999999999999995</v>
      </c>
      <c r="J81" s="37">
        <v>4.2070707609229636</v>
      </c>
      <c r="K81">
        <v>16.312000000000001</v>
      </c>
      <c r="M81">
        <f t="shared" si="20"/>
        <v>0.93864103160715695</v>
      </c>
      <c r="N81" s="95">
        <f t="shared" si="21"/>
        <v>0.56999999999999995</v>
      </c>
      <c r="O81" s="89">
        <f t="shared" si="22"/>
        <v>16.077914038184272</v>
      </c>
      <c r="P81" s="30">
        <f t="shared" si="23"/>
        <v>1.4350537139267386E-2</v>
      </c>
      <c r="R81">
        <f>(D81*(D81-1))/2</f>
        <v>1</v>
      </c>
      <c r="S81">
        <f>N81/R81</f>
        <v>0.56999999999999995</v>
      </c>
      <c r="T81">
        <f>M81/R81</f>
        <v>0.93864103160715695</v>
      </c>
      <c r="U81" s="81">
        <f>J81*(D81+2*(N81*$R$59 + R81*$S$59))</f>
        <v>16.108057758628036</v>
      </c>
      <c r="V81" s="30">
        <f t="shared" si="17"/>
        <v>1.2502589588766894E-2</v>
      </c>
      <c r="W81" t="b">
        <f t="shared" si="24"/>
        <v>1</v>
      </c>
      <c r="Y81">
        <v>11.43</v>
      </c>
      <c r="Z81">
        <v>2078.7918588803659</v>
      </c>
      <c r="AB81">
        <f t="shared" si="25"/>
        <v>0.68673630064708724</v>
      </c>
      <c r="AC81">
        <f t="shared" si="26"/>
        <v>0.62290368950646879</v>
      </c>
      <c r="AD81">
        <f t="shared" si="27"/>
        <v>14.038082397193005</v>
      </c>
      <c r="AE81" s="30">
        <f t="shared" si="18"/>
        <v>0.13940152052519594</v>
      </c>
      <c r="AF81">
        <f t="shared" si="28"/>
        <v>16.167830429940281</v>
      </c>
      <c r="AG81" s="30">
        <f t="shared" si="19"/>
        <v>8.8382522106253119E-3</v>
      </c>
      <c r="AH81" t="b">
        <f t="shared" si="29"/>
        <v>1</v>
      </c>
    </row>
    <row r="82" spans="1:34" x14ac:dyDescent="0.25">
      <c r="A82" s="74"/>
      <c r="C82" t="str">
        <v>Circular</v>
      </c>
      <c r="D82">
        <v>2</v>
      </c>
      <c r="E82" s="17">
        <v>14</v>
      </c>
      <c r="F82">
        <v>0.9</v>
      </c>
      <c r="G82">
        <v>0.15</v>
      </c>
      <c r="H82">
        <v>40</v>
      </c>
      <c r="I82">
        <v>0.56999999999999995</v>
      </c>
      <c r="J82" s="37">
        <v>4.3812484720633993</v>
      </c>
      <c r="K82">
        <v>17.003</v>
      </c>
      <c r="M82">
        <f t="shared" si="20"/>
        <v>0.94042863677076971</v>
      </c>
      <c r="N82" s="95">
        <f t="shared" si="21"/>
        <v>0.56999999999999995</v>
      </c>
      <c r="O82" s="89">
        <f t="shared" si="22"/>
        <v>16.743558717397903</v>
      </c>
      <c r="P82" s="30">
        <f t="shared" si="23"/>
        <v>1.5258559230847327E-2</v>
      </c>
      <c r="R82">
        <f>(D82*(D82-1))/2</f>
        <v>1</v>
      </c>
      <c r="S82">
        <f>N82/R82</f>
        <v>0.56999999999999995</v>
      </c>
      <c r="T82">
        <f>M82/R82</f>
        <v>0.94042863677076971</v>
      </c>
      <c r="U82" s="81">
        <f>J82*(D82+2*(N82*$R$59 + R82*$S$59))</f>
        <v>16.774950423561545</v>
      </c>
      <c r="V82" s="30">
        <f t="shared" si="17"/>
        <v>1.3412314088011214E-2</v>
      </c>
      <c r="W82" t="b">
        <f t="shared" si="24"/>
        <v>1</v>
      </c>
      <c r="Y82">
        <v>9.33</v>
      </c>
      <c r="Z82">
        <v>2146.3361009325472</v>
      </c>
      <c r="AB82">
        <f t="shared" si="25"/>
        <v>0.68673630064708724</v>
      </c>
      <c r="AC82">
        <f t="shared" si="26"/>
        <v>0.6311179804224627</v>
      </c>
      <c r="AD82">
        <f t="shared" si="27"/>
        <v>14.696509535417755</v>
      </c>
      <c r="AE82" s="30">
        <f t="shared" si="18"/>
        <v>0.13565197109817353</v>
      </c>
      <c r="AF82">
        <f t="shared" si="28"/>
        <v>16.837197754243586</v>
      </c>
      <c r="AG82" s="30">
        <f t="shared" si="19"/>
        <v>9.7513524528855897E-3</v>
      </c>
      <c r="AH82" t="b">
        <f t="shared" si="29"/>
        <v>1</v>
      </c>
    </row>
    <row r="83" spans="1:34" s="83" customFormat="1" ht="15" customHeight="1" x14ac:dyDescent="0.25">
      <c r="A83" s="118" t="s">
        <v>16</v>
      </c>
      <c r="B83" s="83" t="s">
        <v>82</v>
      </c>
      <c r="C83" s="83" t="str">
        <v>Circular</v>
      </c>
      <c r="D83" s="86">
        <v>3</v>
      </c>
      <c r="E83" s="83">
        <v>9</v>
      </c>
      <c r="F83" s="83">
        <v>0.9</v>
      </c>
      <c r="G83" s="83">
        <v>0.15</v>
      </c>
      <c r="H83" s="83">
        <v>40</v>
      </c>
      <c r="I83" s="113" t="s">
        <v>129</v>
      </c>
      <c r="J83" s="87" cm="1">
        <f t="array" ref="J83:J90">'2L &amp; 4L'!P35:P42</f>
        <v>3.05822330800792</v>
      </c>
      <c r="K83" s="83">
        <v>26.87</v>
      </c>
      <c r="M83" s="83">
        <f t="shared" si="20"/>
        <v>2.8930735747192227</v>
      </c>
      <c r="N83" s="99">
        <f>SUM($L$27:M29)</f>
        <v>0.93100000000000005</v>
      </c>
      <c r="O83" s="84">
        <f t="shared" si="22"/>
        <v>26.846125473845742</v>
      </c>
      <c r="P83" s="104">
        <f t="shared" si="23"/>
        <v>8.8851976755708966E-4</v>
      </c>
      <c r="R83" s="83">
        <f>(D83*(D83-1))/2</f>
        <v>3</v>
      </c>
      <c r="S83" s="83">
        <f>N83/R83</f>
        <v>0.31033333333333335</v>
      </c>
      <c r="T83" s="83">
        <f>M83/R83</f>
        <v>0.96435785823974085</v>
      </c>
      <c r="U83" s="84">
        <f>J83*(D83+2*(N83*$R$59 + R83*$S$59))</f>
        <v>26.857302853448235</v>
      </c>
      <c r="V83" s="104">
        <f t="shared" si="17"/>
        <v>4.7253987911297242E-4</v>
      </c>
      <c r="W83" s="83" t="b">
        <f t="shared" si="24"/>
        <v>1</v>
      </c>
      <c r="Y83" s="83">
        <v>19.82</v>
      </c>
      <c r="Z83" s="83">
        <v>2515.0019988313088</v>
      </c>
      <c r="AB83" s="83">
        <f>SUM(AL$31:AM33)</f>
        <v>2.3640552215109931</v>
      </c>
      <c r="AC83" s="83">
        <f t="shared" si="26"/>
        <v>0.54837180962697185</v>
      </c>
      <c r="AD83" s="83">
        <f t="shared" si="27"/>
        <v>21.564117811084184</v>
      </c>
      <c r="AE83" s="104">
        <f t="shared" si="18"/>
        <v>0.19746491212935677</v>
      </c>
      <c r="AF83" s="83">
        <f t="shared" si="28"/>
        <v>28.577512579202761</v>
      </c>
      <c r="AG83" s="104">
        <f t="shared" si="19"/>
        <v>6.3547174514430954E-2</v>
      </c>
      <c r="AH83" s="83" t="b">
        <f t="shared" si="29"/>
        <v>0</v>
      </c>
    </row>
    <row r="84" spans="1:34" ht="15" customHeight="1" x14ac:dyDescent="0.25">
      <c r="A84" s="119"/>
      <c r="C84" t="str">
        <v>Circular</v>
      </c>
      <c r="D84">
        <v>4</v>
      </c>
      <c r="E84">
        <v>9</v>
      </c>
      <c r="F84">
        <v>0.9</v>
      </c>
      <c r="G84">
        <v>0.15</v>
      </c>
      <c r="H84">
        <v>40</v>
      </c>
      <c r="I84" s="112"/>
      <c r="J84" s="37">
        <v>3.05822330800792</v>
      </c>
      <c r="K84">
        <v>46.91</v>
      </c>
      <c r="M84">
        <f t="shared" si="20"/>
        <v>5.6694857234863685</v>
      </c>
      <c r="N84" s="95">
        <f>SUM($L$27:N31)</f>
        <v>2.3330000000000002</v>
      </c>
      <c r="O84" s="89">
        <f t="shared" si="22"/>
        <v>46.996274316278779</v>
      </c>
      <c r="P84" s="30">
        <f t="shared" si="23"/>
        <v>1.8391455186267799E-3</v>
      </c>
      <c r="R84">
        <f>(D84*(D84-1))/2</f>
        <v>6</v>
      </c>
      <c r="S84">
        <f>N84/R84</f>
        <v>0.38883333333333336</v>
      </c>
      <c r="T84">
        <f>M84/R84</f>
        <v>0.94491428724772808</v>
      </c>
      <c r="U84" s="81">
        <f>J84*(D84+2*(N84*$R$59 + R84*$S$59))</f>
        <v>47.051616765404169</v>
      </c>
      <c r="V84" s="30">
        <f t="shared" si="17"/>
        <v>3.0189035473070329E-3</v>
      </c>
      <c r="W84" t="b">
        <f t="shared" si="24"/>
        <v>0</v>
      </c>
      <c r="Y84">
        <v>19.82</v>
      </c>
      <c r="Z84">
        <v>3353.3359984417448</v>
      </c>
      <c r="AB84" s="109">
        <f>SUM(AL$31:AN35)</f>
        <v>4.5564025840172944</v>
      </c>
      <c r="AC84">
        <f t="shared" si="26"/>
        <v>0.54837180962697185</v>
      </c>
      <c r="AD84">
        <f t="shared" si="27"/>
        <v>36.111909193033085</v>
      </c>
      <c r="AE84" s="30">
        <f t="shared" si="18"/>
        <v>0.23018739729198279</v>
      </c>
      <c r="AF84">
        <f t="shared" si="28"/>
        <v>49.629296499986168</v>
      </c>
      <c r="AG84" s="30">
        <f t="shared" si="19"/>
        <v>5.7968375612580933E-2</v>
      </c>
      <c r="AH84" t="b">
        <f t="shared" si="29"/>
        <v>0</v>
      </c>
    </row>
    <row r="85" spans="1:34" x14ac:dyDescent="0.25">
      <c r="A85" s="119"/>
      <c r="C85" s="17" t="str">
        <v>Square</v>
      </c>
      <c r="D85">
        <v>4</v>
      </c>
      <c r="E85">
        <v>9</v>
      </c>
      <c r="F85">
        <v>0.9</v>
      </c>
      <c r="G85">
        <v>0.15</v>
      </c>
      <c r="H85">
        <v>40</v>
      </c>
      <c r="I85" s="112"/>
      <c r="J85" s="37">
        <v>3.945289900687476</v>
      </c>
      <c r="K85">
        <v>59.38</v>
      </c>
      <c r="M85">
        <f t="shared" si="20"/>
        <v>5.5254292453455571</v>
      </c>
      <c r="N85" s="95">
        <f>SUM($L$27:N31)</f>
        <v>2.3330000000000002</v>
      </c>
      <c r="O85" s="89">
        <f t="shared" si="22"/>
        <v>60.627988134302953</v>
      </c>
      <c r="P85" s="30">
        <f t="shared" si="23"/>
        <v>2.1016977674350797E-2</v>
      </c>
      <c r="R85">
        <f>(D85*(D85-1))/2</f>
        <v>6</v>
      </c>
      <c r="S85">
        <f>N85/R85</f>
        <v>0.38883333333333336</v>
      </c>
      <c r="T85">
        <f>M85/R85</f>
        <v>0.92090487422425948</v>
      </c>
      <c r="U85" s="81">
        <f>J85*(D85+2*(N85*$R$59 + R85*$S$59))</f>
        <v>60.699383184181087</v>
      </c>
      <c r="V85" s="30">
        <f t="shared" si="17"/>
        <v>2.2219319369839757E-2</v>
      </c>
      <c r="W85" t="b">
        <f t="shared" si="24"/>
        <v>0</v>
      </c>
      <c r="Y85">
        <v>21.4</v>
      </c>
      <c r="Z85">
        <v>4420.8000000000011</v>
      </c>
      <c r="AB85" s="109">
        <f>SUM(AL$31:AN35)</f>
        <v>4.5564025840172944</v>
      </c>
      <c r="AC85">
        <f t="shared" si="26"/>
        <v>0.54837180962697185</v>
      </c>
      <c r="AD85">
        <f t="shared" si="27"/>
        <v>46.58650997157585</v>
      </c>
      <c r="AE85" s="30">
        <f t="shared" si="18"/>
        <v>0.21545116248609214</v>
      </c>
      <c r="AF85">
        <f t="shared" si="28"/>
        <v>64.02474330337968</v>
      </c>
      <c r="AG85" s="30">
        <f t="shared" si="19"/>
        <v>7.8220668632193957E-2</v>
      </c>
      <c r="AH85" t="b">
        <f t="shared" si="29"/>
        <v>0</v>
      </c>
    </row>
    <row r="86" spans="1:34" x14ac:dyDescent="0.25">
      <c r="A86" s="119"/>
      <c r="C86" t="str">
        <v>Circular</v>
      </c>
      <c r="D86">
        <v>4</v>
      </c>
      <c r="E86" s="17">
        <v>6</v>
      </c>
      <c r="F86">
        <v>0.9</v>
      </c>
      <c r="G86">
        <v>0.15</v>
      </c>
      <c r="H86">
        <v>40</v>
      </c>
      <c r="I86" s="112"/>
      <c r="J86" s="37">
        <v>1.855169938334563</v>
      </c>
      <c r="K86">
        <v>28.22</v>
      </c>
      <c r="M86">
        <f t="shared" si="20"/>
        <v>5.6057722305844031</v>
      </c>
      <c r="N86" s="95">
        <f>SUM($L$27:N31)</f>
        <v>2.3330000000000002</v>
      </c>
      <c r="O86" s="89">
        <f t="shared" si="22"/>
        <v>28.508734171566037</v>
      </c>
      <c r="P86" s="30">
        <f t="shared" si="23"/>
        <v>1.0231543995961646E-2</v>
      </c>
      <c r="R86">
        <f>(D86*(D86-1))/2</f>
        <v>6</v>
      </c>
      <c r="S86">
        <f>N86/R86</f>
        <v>0.38883333333333336</v>
      </c>
      <c r="T86">
        <f>M86/R86</f>
        <v>0.93429537176406718</v>
      </c>
      <c r="U86" s="81">
        <f>J86*(D86+2*(N86*$R$59 + R86*$S$59))</f>
        <v>28.54230583641549</v>
      </c>
      <c r="V86" s="30">
        <f t="shared" si="17"/>
        <v>1.1421184848174755E-2</v>
      </c>
      <c r="W86" t="b">
        <f t="shared" si="24"/>
        <v>0</v>
      </c>
      <c r="Y86">
        <v>26.12</v>
      </c>
      <c r="Z86">
        <v>2473.061736905885</v>
      </c>
      <c r="AB86" s="109">
        <f>SUM(AL$31:AN35)</f>
        <v>4.5564025840172944</v>
      </c>
      <c r="AC86">
        <f t="shared" si="26"/>
        <v>0.39964476021314388</v>
      </c>
      <c r="AD86">
        <f t="shared" si="27"/>
        <v>17.977422358157479</v>
      </c>
      <c r="AE86" s="30">
        <f t="shared" si="18"/>
        <v>0.36295455853446207</v>
      </c>
      <c r="AF86">
        <f t="shared" si="28"/>
        <v>30.105969922595541</v>
      </c>
      <c r="AG86" s="30">
        <f t="shared" si="19"/>
        <v>6.6830968199700302E-2</v>
      </c>
      <c r="AH86" t="b">
        <f t="shared" si="29"/>
        <v>0</v>
      </c>
    </row>
    <row r="87" spans="1:34" s="88" customFormat="1" ht="15" customHeight="1" x14ac:dyDescent="0.25">
      <c r="A87" s="119"/>
      <c r="B87" s="88" t="s">
        <v>74</v>
      </c>
      <c r="C87" s="88" t="str">
        <v>Circular</v>
      </c>
      <c r="D87" s="108">
        <v>2</v>
      </c>
      <c r="E87" s="88">
        <v>9</v>
      </c>
      <c r="F87" s="88">
        <v>0.9</v>
      </c>
      <c r="G87" s="88">
        <v>0.3</v>
      </c>
      <c r="H87" s="88">
        <v>40</v>
      </c>
      <c r="I87" s="112"/>
      <c r="J87" s="102">
        <v>2.688808608987256</v>
      </c>
      <c r="K87" s="109">
        <v>10.23</v>
      </c>
      <c r="M87" s="88">
        <f t="shared" si="20"/>
        <v>0.90232952353071094</v>
      </c>
      <c r="N87" s="109">
        <f>L31</f>
        <v>0.70100000000000018</v>
      </c>
      <c r="O87" s="89">
        <f t="shared" si="22"/>
        <v>10.13394578466624</v>
      </c>
      <c r="P87" s="105">
        <f t="shared" si="23"/>
        <v>9.3894638644926916E-3</v>
      </c>
      <c r="R87">
        <f t="shared" ref="R87:R90" si="30">(D87*(D87-1))/2</f>
        <v>1</v>
      </c>
      <c r="S87">
        <f t="shared" ref="S87:S90" si="31">N87/R87</f>
        <v>0.70100000000000018</v>
      </c>
      <c r="T87">
        <f t="shared" ref="T87:T90" si="32">M87/R87</f>
        <v>0.90232952353071094</v>
      </c>
      <c r="U87" s="81">
        <f>J87*(D87+2*(N87*$R$59 + R87*$S$59))</f>
        <v>10.161277781507218</v>
      </c>
      <c r="V87" s="105">
        <f t="shared" si="17"/>
        <v>6.7177144176717753E-3</v>
      </c>
      <c r="W87" s="88" t="b">
        <f t="shared" si="24"/>
        <v>1</v>
      </c>
      <c r="Y87" s="88">
        <v>19.82</v>
      </c>
      <c r="Z87" s="88">
        <v>1676.6679992208731</v>
      </c>
      <c r="AB87" s="88">
        <f>AL35</f>
        <v>0.65187546394298146</v>
      </c>
      <c r="AC87" s="88">
        <f t="shared" si="26"/>
        <v>0.54837180962697185</v>
      </c>
      <c r="AD87" s="88">
        <f t="shared" si="27"/>
        <v>8.3812695839795541</v>
      </c>
      <c r="AE87" s="105">
        <f t="shared" si="18"/>
        <v>0.18071656070581096</v>
      </c>
      <c r="AF87" s="88">
        <f t="shared" si="28"/>
        <v>10.081571323089973</v>
      </c>
      <c r="AG87" s="105">
        <f t="shared" si="19"/>
        <v>1.4509157078204065E-2</v>
      </c>
      <c r="AH87" s="88" t="b">
        <f t="shared" si="29"/>
        <v>0</v>
      </c>
    </row>
    <row r="88" spans="1:34" x14ac:dyDescent="0.25">
      <c r="A88" s="119"/>
      <c r="B88" t="s">
        <v>79</v>
      </c>
      <c r="C88" t="str">
        <v>Circular</v>
      </c>
      <c r="D88" s="17">
        <v>2</v>
      </c>
      <c r="E88">
        <v>9</v>
      </c>
      <c r="F88">
        <v>0.9</v>
      </c>
      <c r="G88">
        <v>0.3</v>
      </c>
      <c r="H88">
        <v>40</v>
      </c>
      <c r="I88" s="112"/>
      <c r="J88" s="37">
        <v>2.688808608987256</v>
      </c>
      <c r="K88" s="95">
        <v>10.414999999999999</v>
      </c>
      <c r="M88">
        <f t="shared" si="20"/>
        <v>0.93673137708429621</v>
      </c>
      <c r="N88" s="95">
        <f>L29</f>
        <v>0.46550000000000002</v>
      </c>
      <c r="O88" s="89">
        <f t="shared" si="22"/>
        <v>10.388708949031212</v>
      </c>
      <c r="P88" s="30">
        <f t="shared" si="23"/>
        <v>2.5243447881696623E-3</v>
      </c>
      <c r="R88">
        <f t="shared" si="30"/>
        <v>1</v>
      </c>
      <c r="S88">
        <f t="shared" si="31"/>
        <v>0.46550000000000002</v>
      </c>
      <c r="T88">
        <f t="shared" si="32"/>
        <v>0.93673137708429621</v>
      </c>
      <c r="U88" s="81">
        <f>J88*(D88+2*(N88*$R$59 + R88*$S$59))</f>
        <v>10.401539456655174</v>
      </c>
      <c r="V88" s="30">
        <f t="shared" si="17"/>
        <v>1.2924189481349384E-3</v>
      </c>
      <c r="W88" t="b">
        <f t="shared" si="24"/>
        <v>1</v>
      </c>
      <c r="Y88">
        <v>19.82</v>
      </c>
      <c r="Z88">
        <v>1676.6679992208731</v>
      </c>
      <c r="AB88">
        <f>AL33</f>
        <v>0.71994936461419023</v>
      </c>
      <c r="AC88">
        <f t="shared" si="26"/>
        <v>0.54837180962697185</v>
      </c>
      <c r="AD88">
        <f t="shared" si="27"/>
        <v>8.6949343008220836</v>
      </c>
      <c r="AE88" s="30">
        <f t="shared" si="18"/>
        <v>0.16515273155812921</v>
      </c>
      <c r="AF88">
        <f t="shared" si="28"/>
        <v>10.572794757972257</v>
      </c>
      <c r="AG88" s="30">
        <f t="shared" si="19"/>
        <v>1.5150720880677704E-2</v>
      </c>
      <c r="AH88" t="b">
        <f t="shared" si="29"/>
        <v>0</v>
      </c>
    </row>
    <row r="89" spans="1:34" x14ac:dyDescent="0.25">
      <c r="A89" s="119"/>
      <c r="B89" t="s">
        <v>86</v>
      </c>
      <c r="C89" t="str">
        <v>Circular</v>
      </c>
      <c r="D89" s="17">
        <v>2</v>
      </c>
      <c r="E89">
        <v>9</v>
      </c>
      <c r="F89">
        <v>0.9</v>
      </c>
      <c r="G89">
        <v>0.3</v>
      </c>
      <c r="H89">
        <v>40</v>
      </c>
      <c r="I89" s="112"/>
      <c r="J89" s="37">
        <v>2.688808608987256</v>
      </c>
      <c r="K89" s="95">
        <v>10.583</v>
      </c>
      <c r="M89">
        <f t="shared" si="20"/>
        <v>0.96797197923025546</v>
      </c>
      <c r="N89" s="95">
        <f>M29</f>
        <v>0.23</v>
      </c>
      <c r="O89" s="89">
        <f t="shared" si="22"/>
        <v>10.643472113396184</v>
      </c>
      <c r="P89" s="30">
        <f t="shared" si="23"/>
        <v>5.7140804494173539E-3</v>
      </c>
      <c r="R89">
        <f t="shared" si="30"/>
        <v>1</v>
      </c>
      <c r="S89">
        <f t="shared" si="31"/>
        <v>0.23</v>
      </c>
      <c r="T89">
        <f t="shared" si="32"/>
        <v>0.96797197923025546</v>
      </c>
      <c r="U89" s="81">
        <f>J89*(D89+2*(N89*$R$59 + R89*$S$59))</f>
        <v>10.641801131803129</v>
      </c>
      <c r="V89" s="30">
        <f t="shared" si="17"/>
        <v>5.5561874518689578E-3</v>
      </c>
      <c r="W89" t="b">
        <f t="shared" si="24"/>
        <v>1</v>
      </c>
      <c r="Y89">
        <v>19.82</v>
      </c>
      <c r="Z89">
        <v>1676.6679992208731</v>
      </c>
      <c r="AB89">
        <f>AM33</f>
        <v>0.82358332294767322</v>
      </c>
      <c r="AC89">
        <f t="shared" si="26"/>
        <v>0.54837180962697185</v>
      </c>
      <c r="AD89">
        <f t="shared" si="27"/>
        <v>9.1724494112451715</v>
      </c>
      <c r="AE89" s="30">
        <f t="shared" si="18"/>
        <v>0.13328456853017373</v>
      </c>
      <c r="AF89">
        <f t="shared" si="28"/>
        <v>11.320620701264383</v>
      </c>
      <c r="AG89" s="30">
        <f t="shared" si="19"/>
        <v>6.9698639446695937E-2</v>
      </c>
      <c r="AH89" t="b">
        <f t="shared" si="29"/>
        <v>0</v>
      </c>
    </row>
    <row r="90" spans="1:34" s="88" customFormat="1" x14ac:dyDescent="0.25">
      <c r="A90" s="119"/>
      <c r="B90" s="88" t="s">
        <v>78</v>
      </c>
      <c r="C90" s="88" t="str">
        <v>Circular</v>
      </c>
      <c r="D90" s="108">
        <v>2</v>
      </c>
      <c r="E90" s="88">
        <v>9</v>
      </c>
      <c r="F90" s="88">
        <v>0.9</v>
      </c>
      <c r="G90" s="88">
        <v>0.3</v>
      </c>
      <c r="H90" s="88">
        <v>40</v>
      </c>
      <c r="I90" s="112"/>
      <c r="J90" s="102">
        <v>2.688808608987256</v>
      </c>
      <c r="K90" s="109">
        <v>10.611000000000001</v>
      </c>
      <c r="M90" s="88">
        <f t="shared" si="20"/>
        <v>0.97317874625458201</v>
      </c>
      <c r="N90" s="109">
        <f>L27</f>
        <v>0.23550000000000001</v>
      </c>
      <c r="O90" s="89">
        <f t="shared" si="22"/>
        <v>10.63752223057662</v>
      </c>
      <c r="P90" s="30">
        <f t="shared" si="23"/>
        <v>2.4995033999264033E-3</v>
      </c>
      <c r="R90">
        <f t="shared" si="30"/>
        <v>1</v>
      </c>
      <c r="S90">
        <f t="shared" si="31"/>
        <v>0.23550000000000001</v>
      </c>
      <c r="T90">
        <f t="shared" si="32"/>
        <v>0.97317874625458201</v>
      </c>
      <c r="U90" s="81">
        <f>J90*(D90+2*(N90*$R$59 + R90*$S$59))</f>
        <v>10.636189924952539</v>
      </c>
      <c r="V90" s="30">
        <f t="shared" si="17"/>
        <v>2.3739444870925159E-3</v>
      </c>
      <c r="W90" s="88" t="b">
        <f t="shared" si="24"/>
        <v>1</v>
      </c>
      <c r="Y90" s="88">
        <v>19.82</v>
      </c>
      <c r="Z90" s="88">
        <v>1676.6679992208731</v>
      </c>
      <c r="AA90"/>
      <c r="AB90" s="88">
        <f>AL31</f>
        <v>0.82052253394912944</v>
      </c>
      <c r="AC90">
        <f t="shared" si="26"/>
        <v>0.54837180962697185</v>
      </c>
      <c r="AD90" s="88">
        <f t="shared" si="27"/>
        <v>9.1583461865867211</v>
      </c>
      <c r="AE90" s="30">
        <f t="shared" si="18"/>
        <v>0.13690074577450564</v>
      </c>
      <c r="AF90" s="88">
        <f t="shared" si="28"/>
        <v>11.298533950387911</v>
      </c>
      <c r="AG90" s="30">
        <f t="shared" si="19"/>
        <v>6.4794453905184304E-2</v>
      </c>
      <c r="AH90" s="88" t="b">
        <f t="shared" si="29"/>
        <v>0</v>
      </c>
    </row>
    <row r="91" spans="1:34" s="88" customFormat="1" x14ac:dyDescent="0.25">
      <c r="A91" s="117"/>
      <c r="B91" s="88" t="s">
        <v>137</v>
      </c>
      <c r="C91" s="88" t="str" cm="1">
        <f t="array" ref="C91:H91">'2L &amp; 4L'!B43:G43</f>
        <v>Circular</v>
      </c>
      <c r="D91" s="108">
        <v>3</v>
      </c>
      <c r="E91" s="88">
        <v>9</v>
      </c>
      <c r="F91" s="88">
        <v>0.9</v>
      </c>
      <c r="G91" s="88">
        <v>0.15</v>
      </c>
      <c r="H91" s="88">
        <v>40</v>
      </c>
      <c r="I91" s="112"/>
      <c r="J91" s="102">
        <f>'2L &amp; 4L'!P43</f>
        <v>3.05822330800792</v>
      </c>
      <c r="K91" s="88">
        <f>'2L &amp; 4L'!R43</f>
        <v>26.53</v>
      </c>
      <c r="M91" s="88">
        <f t="shared" si="20"/>
        <v>2.8374857438519161</v>
      </c>
      <c r="N91" s="109">
        <f>SUM(L27,L31,M31)</f>
        <v>1.4020000000000001</v>
      </c>
      <c r="O91" s="89">
        <f t="shared" si="22"/>
        <v>26.266595458448872</v>
      </c>
      <c r="P91" s="105">
        <f t="shared" si="23"/>
        <v>9.9285541481767357E-3</v>
      </c>
      <c r="R91" s="88">
        <f>(D91*(D91-1))/2</f>
        <v>3</v>
      </c>
      <c r="S91" s="88">
        <f>N91/R91</f>
        <v>0.46733333333333338</v>
      </c>
      <c r="T91" s="88">
        <f>M91/R91</f>
        <v>0.94582858128397207</v>
      </c>
      <c r="U91" s="89">
        <f>J91*(D91+2*(N91*$R$59 + R91*$S$59))</f>
        <v>26.310760527971777</v>
      </c>
      <c r="V91" s="105">
        <f t="shared" si="17"/>
        <v>8.2638323418101952E-3</v>
      </c>
      <c r="W91" s="88" t="b">
        <f t="shared" si="24"/>
        <v>1</v>
      </c>
      <c r="Y91" s="88">
        <f>'2L &amp; 4L'!Y43</f>
        <v>19.82</v>
      </c>
      <c r="Z91" s="88">
        <f>'2L &amp; 4L'!I43</f>
        <v>2515.0019988313088</v>
      </c>
      <c r="AB91" s="88">
        <f>SUM(AL31,AL35,AM35)</f>
        <v>2.1923473625063012</v>
      </c>
      <c r="AC91" s="88">
        <f t="shared" si="26"/>
        <v>0.54837180962697185</v>
      </c>
      <c r="AD91" s="88">
        <f t="shared" si="27"/>
        <v>20.664237997964744</v>
      </c>
      <c r="AE91" s="105">
        <f t="shared" si="18"/>
        <v>0.22109920851998707</v>
      </c>
      <c r="AF91" s="88">
        <f t="shared" si="28"/>
        <v>27.16823053679925</v>
      </c>
      <c r="AG91" s="105">
        <f t="shared" si="19"/>
        <v>2.4056936931747028E-2</v>
      </c>
      <c r="AH91" s="88" t="b">
        <f t="shared" si="29"/>
        <v>0</v>
      </c>
    </row>
    <row r="92" spans="1:34" s="83" customFormat="1" x14ac:dyDescent="0.25">
      <c r="A92" s="116" t="s">
        <v>138</v>
      </c>
      <c r="B92" s="83" t="str" cm="1">
        <f t="array" ref="B92:H92">'6L'!A16:G16</f>
        <v>top bot</v>
      </c>
      <c r="C92" s="83" t="str">
        <v>Circular</v>
      </c>
      <c r="D92" s="83">
        <v>2</v>
      </c>
      <c r="E92" s="83">
        <v>8</v>
      </c>
      <c r="F92" s="83">
        <v>1</v>
      </c>
      <c r="G92" s="83">
        <v>0.1</v>
      </c>
      <c r="H92" s="83">
        <v>24</v>
      </c>
      <c r="I92" s="112"/>
      <c r="J92" s="87">
        <f>'6L'!P16</f>
        <v>0.80721451953940515</v>
      </c>
      <c r="K92" s="83">
        <f>'6L'!R16</f>
        <v>2.9039999999999999</v>
      </c>
      <c r="M92" s="83">
        <f t="shared" si="20"/>
        <v>0.79877834807593406</v>
      </c>
      <c r="N92" s="83">
        <f>D35</f>
        <v>1.1033999999999999</v>
      </c>
      <c r="O92" s="84">
        <f t="shared" si="22"/>
        <v>2.9116522135486229</v>
      </c>
      <c r="P92" s="104">
        <f t="shared" si="23"/>
        <v>2.6350597619225207E-3</v>
      </c>
      <c r="R92" s="83">
        <f>(D92*(D92-1))/2</f>
        <v>1</v>
      </c>
      <c r="S92" s="83">
        <f>N92/R92</f>
        <v>1.1033999999999999</v>
      </c>
      <c r="T92" s="83">
        <f>M92/R92</f>
        <v>0.79877834807593406</v>
      </c>
      <c r="U92" s="84">
        <f>J92*(D92+2*(N92*$R$59 + R92*$S$59))</f>
        <v>2.9272965267199709</v>
      </c>
      <c r="V92" s="104">
        <f t="shared" si="17"/>
        <v>8.0222199448935806E-3</v>
      </c>
      <c r="W92" s="83" t="b">
        <f t="shared" si="24"/>
        <v>0</v>
      </c>
      <c r="Y92" s="83">
        <f>'6L'!Y16</f>
        <v>4.95</v>
      </c>
      <c r="Z92" s="83">
        <f>'6L'!I16</f>
        <v>713.76985089560003</v>
      </c>
      <c r="AB92" s="83">
        <f>AD35</f>
        <v>0.57001880565318996</v>
      </c>
      <c r="AC92" s="83">
        <f t="shared" si="26"/>
        <v>0.51134547778843087</v>
      </c>
      <c r="AD92" s="83">
        <f t="shared" si="27"/>
        <v>2.3496918328368244</v>
      </c>
      <c r="AE92" s="104">
        <f t="shared" si="18"/>
        <v>0.19087746803139655</v>
      </c>
      <c r="AF92" s="83">
        <f t="shared" si="28"/>
        <v>2.8492861298310754</v>
      </c>
      <c r="AG92" s="104">
        <f t="shared" si="19"/>
        <v>1.8840864383238461E-2</v>
      </c>
      <c r="AH92" s="83" t="b">
        <f t="shared" si="29"/>
        <v>0</v>
      </c>
    </row>
    <row r="93" spans="1:34" x14ac:dyDescent="0.25">
      <c r="A93" s="114"/>
      <c r="B93" t="str" cm="1">
        <f t="array" ref="B93:H104">'6L'!A19:G30</f>
        <v>top in1</v>
      </c>
      <c r="C93" t="str">
        <v>Circular</v>
      </c>
      <c r="D93">
        <v>2</v>
      </c>
      <c r="E93">
        <v>8</v>
      </c>
      <c r="F93">
        <v>1</v>
      </c>
      <c r="G93">
        <v>0.1</v>
      </c>
      <c r="H93">
        <v>24</v>
      </c>
      <c r="I93" s="112"/>
      <c r="J93" s="37" cm="1">
        <f t="array" ref="J93:J104">'6L'!P19:P30</f>
        <v>0.80721451953940515</v>
      </c>
      <c r="K93" cm="1">
        <f t="array" ref="K93:K104">'6L'!R19:R30</f>
        <v>3.2240000000000002</v>
      </c>
      <c r="M93">
        <f t="shared" si="20"/>
        <v>0.99699083822204271</v>
      </c>
      <c r="N93">
        <f>D27</f>
        <v>0.1245</v>
      </c>
      <c r="O93" s="89">
        <f t="shared" si="22"/>
        <v>3.2295687560637893</v>
      </c>
      <c r="P93" s="30">
        <f t="shared" si="23"/>
        <v>1.7272816575028375E-3</v>
      </c>
      <c r="R93">
        <f>(D93*(D93-1))/2</f>
        <v>1</v>
      </c>
      <c r="S93">
        <f>N93/R93</f>
        <v>0.1245</v>
      </c>
      <c r="T93">
        <f>M93/R93</f>
        <v>0.99699083822204271</v>
      </c>
      <c r="U93" s="81">
        <f>J93*(D93+2*(N93*$R$59 + R93*$S$59))</f>
        <v>3.2271167980387627</v>
      </c>
      <c r="V93" s="30">
        <f t="shared" si="17"/>
        <v>9.6674877132832654E-4</v>
      </c>
      <c r="W93" t="b">
        <f t="shared" si="24"/>
        <v>1</v>
      </c>
      <c r="Y93" s="88" cm="1">
        <f t="array" ref="Y93:Y104">'6L'!Y19:Y30</f>
        <v>4.95</v>
      </c>
      <c r="Z93" s="88" cm="1">
        <f t="array" ref="Z93:Z104">'6L'!I19:I30</f>
        <v>713.76985089560003</v>
      </c>
      <c r="AB93">
        <f>AD27</f>
        <v>0.89090951246523198</v>
      </c>
      <c r="AC93">
        <f t="shared" si="26"/>
        <v>0.51134547778843087</v>
      </c>
      <c r="AD93">
        <f t="shared" si="27"/>
        <v>2.7636062427504435</v>
      </c>
      <c r="AE93" s="30">
        <f t="shared" si="18"/>
        <v>0.14280203388633891</v>
      </c>
      <c r="AF93">
        <f t="shared" si="28"/>
        <v>3.5444459398820518</v>
      </c>
      <c r="AG93" s="30">
        <f t="shared" si="19"/>
        <v>9.9393901948527166E-2</v>
      </c>
      <c r="AH93" t="b">
        <f t="shared" si="29"/>
        <v>0</v>
      </c>
    </row>
    <row r="94" spans="1:34" x14ac:dyDescent="0.25">
      <c r="A94" s="114"/>
      <c r="B94" t="str">
        <v>top in2</v>
      </c>
      <c r="C94" t="str">
        <v>Circular</v>
      </c>
      <c r="D94">
        <v>2</v>
      </c>
      <c r="E94">
        <v>8</v>
      </c>
      <c r="F94">
        <v>1</v>
      </c>
      <c r="G94">
        <v>0.1</v>
      </c>
      <c r="H94">
        <v>24</v>
      </c>
      <c r="I94" s="112"/>
      <c r="J94" s="37">
        <v>0.80721451953940515</v>
      </c>
      <c r="K94">
        <v>3.101</v>
      </c>
      <c r="M94">
        <f t="shared" si="20"/>
        <v>0.92080291232213196</v>
      </c>
      <c r="N94">
        <f>D29</f>
        <v>0.48970000000000002</v>
      </c>
      <c r="O94" s="89">
        <f t="shared" si="22"/>
        <v>3.1109630544328377</v>
      </c>
      <c r="P94" s="30">
        <f t="shared" si="23"/>
        <v>3.2128521228112663E-3</v>
      </c>
      <c r="R94">
        <f>(D94*(D94-1))/2</f>
        <v>1</v>
      </c>
      <c r="S94">
        <f>N94/R94</f>
        <v>0.48970000000000002</v>
      </c>
      <c r="T94">
        <f>M94/R94</f>
        <v>0.92080291232213196</v>
      </c>
      <c r="U94" s="81">
        <f>J94*(D94+2*(N94*$R$59 + R94*$S$59))</f>
        <v>3.115262305153256</v>
      </c>
      <c r="V94" s="30">
        <f t="shared" si="17"/>
        <v>4.5992599655775542E-3</v>
      </c>
      <c r="W94" t="b">
        <f t="shared" si="24"/>
        <v>0</v>
      </c>
      <c r="Y94">
        <v>4.95</v>
      </c>
      <c r="Z94">
        <v>713.76985089560003</v>
      </c>
      <c r="AB94">
        <f>AD29</f>
        <v>0.71173461212724742</v>
      </c>
      <c r="AC94">
        <f t="shared" si="26"/>
        <v>0.51134547778843087</v>
      </c>
      <c r="AD94">
        <f t="shared" si="27"/>
        <v>2.532489941871813</v>
      </c>
      <c r="AE94" s="30">
        <f t="shared" si="18"/>
        <v>0.18333120223417834</v>
      </c>
      <c r="AF94">
        <f t="shared" si="28"/>
        <v>3.1562913843254998</v>
      </c>
      <c r="AG94" s="30">
        <f t="shared" si="19"/>
        <v>1.7830178757013818E-2</v>
      </c>
      <c r="AH94" t="b">
        <f t="shared" si="29"/>
        <v>0</v>
      </c>
    </row>
    <row r="95" spans="1:34" x14ac:dyDescent="0.25">
      <c r="A95" s="114"/>
      <c r="B95" t="str">
        <v>top in3</v>
      </c>
      <c r="C95" t="str">
        <v>Circular</v>
      </c>
      <c r="D95">
        <v>2</v>
      </c>
      <c r="E95">
        <v>8</v>
      </c>
      <c r="F95">
        <v>1</v>
      </c>
      <c r="G95">
        <v>0.1</v>
      </c>
      <c r="H95">
        <v>24</v>
      </c>
      <c r="I95" s="112"/>
      <c r="J95" s="37">
        <v>0.80721451953940515</v>
      </c>
      <c r="K95">
        <v>3.0579999999999998</v>
      </c>
      <c r="M95">
        <f t="shared" si="20"/>
        <v>0.89416810895874854</v>
      </c>
      <c r="N95">
        <f>D31</f>
        <v>0.61370000000000002</v>
      </c>
      <c r="O95" s="89">
        <f t="shared" si="22"/>
        <v>3.0706916770992172</v>
      </c>
      <c r="P95" s="30">
        <f t="shared" si="23"/>
        <v>4.150319522307838E-3</v>
      </c>
      <c r="R95">
        <f>(D95*(D95-1))/2</f>
        <v>1</v>
      </c>
      <c r="S95">
        <f>N95/R95</f>
        <v>0.61370000000000002</v>
      </c>
      <c r="T95">
        <f>M95/R95</f>
        <v>0.89416810895874854</v>
      </c>
      <c r="U95" s="81">
        <f>J95*(D95+2*(N95*$R$59 + R95*$S$59))</f>
        <v>3.0772832330891737</v>
      </c>
      <c r="V95" s="30">
        <f t="shared" si="17"/>
        <v>6.3058316184348932E-3</v>
      </c>
      <c r="W95" t="b">
        <f t="shared" si="24"/>
        <v>0</v>
      </c>
      <c r="Y95">
        <v>4.95</v>
      </c>
      <c r="Z95">
        <v>713.76985089560003</v>
      </c>
      <c r="AB95">
        <f>AD31</f>
        <v>0.67439061396833044</v>
      </c>
      <c r="AC95">
        <f t="shared" si="26"/>
        <v>0.51134547778843087</v>
      </c>
      <c r="AD95">
        <f t="shared" si="27"/>
        <v>2.4843202110767812</v>
      </c>
      <c r="AE95" s="30">
        <f t="shared" si="18"/>
        <v>0.18759966936665096</v>
      </c>
      <c r="AF95">
        <f t="shared" si="28"/>
        <v>3.0753914202081143</v>
      </c>
      <c r="AG95" s="30">
        <f t="shared" si="19"/>
        <v>5.6871877724376917E-3</v>
      </c>
      <c r="AH95" t="b">
        <f t="shared" si="29"/>
        <v>0</v>
      </c>
    </row>
    <row r="96" spans="1:34" x14ac:dyDescent="0.25">
      <c r="A96" s="114"/>
      <c r="B96" t="str">
        <v>top in4</v>
      </c>
      <c r="C96" t="str">
        <v>Circular</v>
      </c>
      <c r="D96">
        <v>2</v>
      </c>
      <c r="E96">
        <v>8</v>
      </c>
      <c r="F96">
        <v>1</v>
      </c>
      <c r="G96">
        <v>0.1</v>
      </c>
      <c r="H96">
        <v>24</v>
      </c>
      <c r="I96" s="112"/>
      <c r="J96" s="37">
        <v>0.80721451953940515</v>
      </c>
      <c r="K96">
        <v>2.9470000000000001</v>
      </c>
      <c r="M96">
        <f t="shared" si="20"/>
        <v>0.82541315143931748</v>
      </c>
      <c r="N96">
        <f>D33</f>
        <v>0.97889999999999999</v>
      </c>
      <c r="O96" s="89">
        <f t="shared" si="22"/>
        <v>2.9520859754682651</v>
      </c>
      <c r="P96" s="30">
        <f t="shared" si="23"/>
        <v>1.7258145464082314E-3</v>
      </c>
      <c r="R96">
        <f>(D96*(D96-1))/2</f>
        <v>1</v>
      </c>
      <c r="S96">
        <f>N96/R96</f>
        <v>0.97889999999999999</v>
      </c>
      <c r="T96">
        <f>M96/R96</f>
        <v>0.82541315143931748</v>
      </c>
      <c r="U96" s="81">
        <f>J96*(D96+2*(N96*$R$59 + R96*$S$59))</f>
        <v>2.9654287402036665</v>
      </c>
      <c r="V96" s="30">
        <f t="shared" si="17"/>
        <v>6.2533899571314798E-3</v>
      </c>
      <c r="W96" t="b">
        <f t="shared" si="24"/>
        <v>0</v>
      </c>
      <c r="Y96">
        <v>4.95</v>
      </c>
      <c r="Z96">
        <v>713.76985089560003</v>
      </c>
      <c r="AB96">
        <f>AD33</f>
        <v>0.59290308331096531</v>
      </c>
      <c r="AC96">
        <f t="shared" si="26"/>
        <v>0.51134547778843087</v>
      </c>
      <c r="AD96">
        <f t="shared" si="27"/>
        <v>2.3792100833873637</v>
      </c>
      <c r="AE96" s="30">
        <f t="shared" si="18"/>
        <v>0.19266709080849553</v>
      </c>
      <c r="AF96">
        <f t="shared" si="28"/>
        <v>2.8988613583186083</v>
      </c>
      <c r="AG96" s="30">
        <f t="shared" si="19"/>
        <v>1.6334795277024708E-2</v>
      </c>
      <c r="AH96" t="b">
        <f t="shared" si="29"/>
        <v>0</v>
      </c>
    </row>
    <row r="97" spans="1:34" x14ac:dyDescent="0.25">
      <c r="A97" s="114"/>
      <c r="B97" t="str">
        <v>top in1 in2</v>
      </c>
      <c r="C97" t="str">
        <v>Circular</v>
      </c>
      <c r="D97">
        <v>3</v>
      </c>
      <c r="E97">
        <v>8</v>
      </c>
      <c r="F97">
        <v>1</v>
      </c>
      <c r="G97">
        <v>0.1</v>
      </c>
      <c r="H97">
        <v>24</v>
      </c>
      <c r="I97" s="112"/>
      <c r="J97" s="37">
        <v>0.80721451953940515</v>
      </c>
      <c r="K97">
        <v>7.1379999999999999</v>
      </c>
      <c r="M97">
        <f t="shared" si="20"/>
        <v>2.9213773583216316</v>
      </c>
      <c r="N97">
        <f>SUM($D$27:E29)</f>
        <v>0.97940000000000005</v>
      </c>
      <c r="O97" s="89">
        <f t="shared" si="22"/>
        <v>7.0702850682308913</v>
      </c>
      <c r="P97" s="30">
        <f t="shared" si="23"/>
        <v>9.4865412957563164E-3</v>
      </c>
      <c r="R97">
        <f>(D97*(D97-1))/2</f>
        <v>3</v>
      </c>
      <c r="S97">
        <f>N97/R97</f>
        <v>0.32646666666666668</v>
      </c>
      <c r="T97">
        <f>M97/R97</f>
        <v>0.97379245277387716</v>
      </c>
      <c r="U97" s="81">
        <f>J97*(D97+2*(N97*$R$59 + R97*$S$59))</f>
        <v>7.0741300632107542</v>
      </c>
      <c r="V97" s="30">
        <f t="shared" si="17"/>
        <v>8.9478757059744587E-3</v>
      </c>
      <c r="W97" t="b">
        <f t="shared" si="24"/>
        <v>1</v>
      </c>
      <c r="Y97">
        <v>4.95</v>
      </c>
      <c r="Z97">
        <v>1070.6547763434</v>
      </c>
      <c r="AB97">
        <f>SUM(AD$27:AE29)</f>
        <v>2.360782793754447</v>
      </c>
      <c r="AC97">
        <f t="shared" si="26"/>
        <v>0.51134547778843087</v>
      </c>
      <c r="AD97">
        <f t="shared" si="27"/>
        <v>5.4667987976680568</v>
      </c>
      <c r="AE97" s="30">
        <f t="shared" si="18"/>
        <v>0.23412737494143221</v>
      </c>
      <c r="AF97">
        <f t="shared" si="28"/>
        <v>7.5359123225286133</v>
      </c>
      <c r="AG97" s="30">
        <f t="shared" si="19"/>
        <v>5.5745632183890927E-2</v>
      </c>
      <c r="AH97" t="b">
        <f t="shared" si="29"/>
        <v>0</v>
      </c>
    </row>
    <row r="98" spans="1:34" x14ac:dyDescent="0.25">
      <c r="A98" s="114"/>
      <c r="B98" t="str">
        <v>top in1 in2 in3</v>
      </c>
      <c r="C98" t="str">
        <v>Circular</v>
      </c>
      <c r="D98">
        <v>4</v>
      </c>
      <c r="E98">
        <v>8</v>
      </c>
      <c r="F98">
        <v>1</v>
      </c>
      <c r="G98">
        <v>0.1</v>
      </c>
      <c r="H98">
        <v>24</v>
      </c>
      <c r="I98" s="112"/>
      <c r="J98" s="37">
        <v>0.80721451953940515</v>
      </c>
      <c r="K98">
        <v>12.28</v>
      </c>
      <c r="M98">
        <f t="shared" si="20"/>
        <v>5.6064043093569111</v>
      </c>
      <c r="N98">
        <f>SUM($D$27:F31)</f>
        <v>2.2063000000000001</v>
      </c>
      <c r="O98" s="89">
        <f t="shared" si="22"/>
        <v>12.445760727301757</v>
      </c>
      <c r="P98" s="30">
        <f t="shared" si="23"/>
        <v>1.3498430562032343E-2</v>
      </c>
      <c r="R98">
        <f>(D98*(D98-1))/2</f>
        <v>6</v>
      </c>
      <c r="S98">
        <f>N98/R98</f>
        <v>0.36771666666666669</v>
      </c>
      <c r="T98">
        <f>M98/R98</f>
        <v>0.93440071822615189</v>
      </c>
      <c r="U98" s="81">
        <f>J98*(D98+2*(N98*$R$59 + R98*$S$59))</f>
        <v>12.458026084634149</v>
      </c>
      <c r="V98" s="30">
        <f t="shared" si="17"/>
        <v>1.4497238162390024E-2</v>
      </c>
      <c r="W98" t="b">
        <f t="shared" si="24"/>
        <v>0</v>
      </c>
      <c r="Y98">
        <v>4.95</v>
      </c>
      <c r="Z98">
        <v>1427.5397017912001</v>
      </c>
      <c r="AB98">
        <f>SUM(AD$27:AF31)</f>
        <v>4.6383475003258736</v>
      </c>
      <c r="AC98">
        <f t="shared" si="26"/>
        <v>0.51134547778843087</v>
      </c>
      <c r="AD98">
        <f t="shared" si="27"/>
        <v>9.2118261972569346</v>
      </c>
      <c r="AE98" s="30">
        <f t="shared" si="18"/>
        <v>0.24985128686832775</v>
      </c>
      <c r="AF98">
        <f t="shared" si="28"/>
        <v>13.277116562519424</v>
      </c>
      <c r="AG98" s="30">
        <f t="shared" si="19"/>
        <v>8.119841714327565E-2</v>
      </c>
      <c r="AH98" t="b">
        <f t="shared" si="29"/>
        <v>0</v>
      </c>
    </row>
    <row r="99" spans="1:34" x14ac:dyDescent="0.25">
      <c r="A99" s="114"/>
      <c r="B99" t="str">
        <v>all except bot</v>
      </c>
      <c r="C99" t="str">
        <v>Circular</v>
      </c>
      <c r="D99">
        <v>5</v>
      </c>
      <c r="E99">
        <v>8</v>
      </c>
      <c r="F99">
        <v>1</v>
      </c>
      <c r="G99">
        <v>0.1</v>
      </c>
      <c r="H99">
        <v>24</v>
      </c>
      <c r="I99" s="112"/>
      <c r="J99" s="37">
        <v>0.80721451953940515</v>
      </c>
      <c r="K99">
        <v>18.956</v>
      </c>
      <c r="M99">
        <f t="shared" si="20"/>
        <v>9.2416123850300984</v>
      </c>
      <c r="N99">
        <f>SUM($D$27:G33)</f>
        <v>4.8940000000000001</v>
      </c>
      <c r="O99" s="89">
        <f t="shared" si="22"/>
        <v>19.002387058753431</v>
      </c>
      <c r="P99" s="30">
        <f t="shared" si="23"/>
        <v>2.4470910927111011E-3</v>
      </c>
      <c r="R99">
        <f>(D99*(D99-1))/2</f>
        <v>10</v>
      </c>
      <c r="S99">
        <f>N99/R99</f>
        <v>0.4894</v>
      </c>
      <c r="T99">
        <f>M99/R99</f>
        <v>0.9241612385030098</v>
      </c>
      <c r="U99" s="81">
        <f>J99*(D99+2*(N99*$R$59 + R99*$S$59))</f>
        <v>19.045324106959164</v>
      </c>
      <c r="V99" s="30">
        <f t="shared" si="17"/>
        <v>4.7121812069616268E-3</v>
      </c>
      <c r="W99" t="b">
        <f t="shared" si="24"/>
        <v>0</v>
      </c>
      <c r="Y99">
        <v>4.95</v>
      </c>
      <c r="Z99">
        <v>1784.4246272390001</v>
      </c>
      <c r="AB99">
        <f>SUM(AD$27:AG33)</f>
        <v>7.3188102537981505</v>
      </c>
      <c r="AC99">
        <f t="shared" si="26"/>
        <v>0.51134547778843087</v>
      </c>
      <c r="AD99">
        <f t="shared" si="27"/>
        <v>13.47654863256399</v>
      </c>
      <c r="AE99" s="30">
        <f t="shared" si="18"/>
        <v>0.28906158300464285</v>
      </c>
      <c r="AF99">
        <f t="shared" si="28"/>
        <v>19.89113676074102</v>
      </c>
      <c r="AG99" s="30">
        <f t="shared" si="19"/>
        <v>4.9331966698724437E-2</v>
      </c>
      <c r="AH99" t="b">
        <f t="shared" si="29"/>
        <v>0</v>
      </c>
    </row>
    <row r="100" spans="1:34" x14ac:dyDescent="0.25">
      <c r="A100" s="114"/>
      <c r="B100" t="str">
        <v>all 6 layers</v>
      </c>
      <c r="C100" t="str">
        <v>Circular</v>
      </c>
      <c r="D100">
        <v>6</v>
      </c>
      <c r="E100">
        <v>8</v>
      </c>
      <c r="F100">
        <v>1</v>
      </c>
      <c r="G100">
        <v>0.1</v>
      </c>
      <c r="H100">
        <v>24</v>
      </c>
      <c r="I100" s="112"/>
      <c r="J100" s="37">
        <v>0.80721451953940515</v>
      </c>
      <c r="K100">
        <v>26.43</v>
      </c>
      <c r="M100">
        <f t="shared" si="20"/>
        <v>13.371112858005144</v>
      </c>
      <c r="N100">
        <f>SUM($D$27:H35)</f>
        <v>8.2041999999999984</v>
      </c>
      <c r="O100" s="89">
        <f t="shared" si="22"/>
        <v>27.012418059511521</v>
      </c>
      <c r="P100" s="30">
        <f t="shared" si="23"/>
        <v>2.2036248941033735E-2</v>
      </c>
      <c r="R100">
        <f>(D100*(D100-1))/2</f>
        <v>15</v>
      </c>
      <c r="S100">
        <f>N100/R100</f>
        <v>0.54694666666666658</v>
      </c>
      <c r="T100">
        <f>M100/R100</f>
        <v>0.89140752386700961</v>
      </c>
      <c r="U100" s="81">
        <f>J100*(D100+2*(N100*$R$59 + R100*$S$59))</f>
        <v>27.092781034309343</v>
      </c>
      <c r="V100" s="30">
        <f t="shared" si="17"/>
        <v>2.5076845793013381E-2</v>
      </c>
      <c r="W100" t="b">
        <f t="shared" si="24"/>
        <v>0</v>
      </c>
      <c r="Y100">
        <v>4.95</v>
      </c>
      <c r="Z100">
        <v>2141.3095526868001</v>
      </c>
      <c r="AB100">
        <f>SUM(AD$27:AH35)</f>
        <v>10.758766881323115</v>
      </c>
      <c r="AC100">
        <f t="shared" si="26"/>
        <v>0.51134547778843087</v>
      </c>
      <c r="AD100">
        <f t="shared" si="27"/>
        <v>18.72093626863257</v>
      </c>
      <c r="AE100" s="30">
        <f t="shared" si="18"/>
        <v>0.29167853694163559</v>
      </c>
      <c r="AF100">
        <f t="shared" si="28"/>
        <v>28.150482317451718</v>
      </c>
      <c r="AG100" s="30">
        <f t="shared" si="19"/>
        <v>6.5095812238052164E-2</v>
      </c>
      <c r="AH100" t="b">
        <f t="shared" si="29"/>
        <v>0</v>
      </c>
    </row>
    <row r="101" spans="1:34" x14ac:dyDescent="0.25">
      <c r="A101" s="114"/>
      <c r="B101" t="str">
        <v>in1 in2</v>
      </c>
      <c r="C101" t="str">
        <v>Circular</v>
      </c>
      <c r="D101">
        <v>2</v>
      </c>
      <c r="E101">
        <v>8</v>
      </c>
      <c r="F101">
        <v>1</v>
      </c>
      <c r="G101">
        <v>0.1</v>
      </c>
      <c r="H101">
        <v>24</v>
      </c>
      <c r="I101" s="112"/>
      <c r="J101" s="37">
        <v>0.80721451953940515</v>
      </c>
      <c r="K101">
        <v>3.137</v>
      </c>
      <c r="M101">
        <f t="shared" si="20"/>
        <v>0.94310181746356925</v>
      </c>
      <c r="N101">
        <f>E29</f>
        <v>0.36519999999999997</v>
      </c>
      <c r="O101" s="89">
        <f t="shared" si="22"/>
        <v>3.1513968163524799</v>
      </c>
      <c r="P101" s="30">
        <f t="shared" si="23"/>
        <v>4.5893580976984101E-3</v>
      </c>
      <c r="R101">
        <f>(D101*(D101-1))/2</f>
        <v>1</v>
      </c>
      <c r="S101">
        <f>N101/R101</f>
        <v>0.36519999999999997</v>
      </c>
      <c r="T101">
        <f>M101/R101</f>
        <v>0.94310181746356925</v>
      </c>
      <c r="U101" s="81">
        <f>J101*(D101+2*(N101*$R$59 + R101*$S$59))</f>
        <v>3.1533945186369516</v>
      </c>
      <c r="V101" s="30">
        <f t="shared" si="17"/>
        <v>5.2261774424455301E-3</v>
      </c>
      <c r="W101" t="b">
        <f t="shared" si="24"/>
        <v>0</v>
      </c>
      <c r="Y101">
        <v>4.95</v>
      </c>
      <c r="Z101">
        <v>713.76985089560003</v>
      </c>
      <c r="AB101">
        <f>AE29</f>
        <v>0.75813866916196748</v>
      </c>
      <c r="AC101">
        <f t="shared" si="26"/>
        <v>0.51134547778843087</v>
      </c>
      <c r="AD101">
        <f t="shared" si="27"/>
        <v>2.5923461716640159</v>
      </c>
      <c r="AE101" s="30">
        <f t="shared" si="18"/>
        <v>0.1736225146114071</v>
      </c>
      <c r="AF101">
        <f t="shared" si="28"/>
        <v>3.256818556939276</v>
      </c>
      <c r="AG101" s="30">
        <f t="shared" si="19"/>
        <v>3.8195268389950909E-2</v>
      </c>
      <c r="AH101" t="b">
        <f t="shared" si="29"/>
        <v>0</v>
      </c>
    </row>
    <row r="102" spans="1:34" x14ac:dyDescent="0.25">
      <c r="A102" s="114"/>
      <c r="B102" t="str">
        <v>in1 in4</v>
      </c>
      <c r="C102" t="str">
        <v>Circular</v>
      </c>
      <c r="D102">
        <v>2</v>
      </c>
      <c r="E102">
        <v>8</v>
      </c>
      <c r="F102">
        <v>1</v>
      </c>
      <c r="G102">
        <v>0.1</v>
      </c>
      <c r="H102">
        <v>24</v>
      </c>
      <c r="I102" s="112"/>
      <c r="J102" s="37">
        <v>0.80721451953940515</v>
      </c>
      <c r="K102">
        <v>2.9769999999999999</v>
      </c>
      <c r="M102">
        <f t="shared" si="20"/>
        <v>0.84399557239051504</v>
      </c>
      <c r="N102">
        <f>E33</f>
        <v>0.85439999999999994</v>
      </c>
      <c r="O102" s="89">
        <f t="shared" si="22"/>
        <v>2.9925197373879082</v>
      </c>
      <c r="P102" s="30">
        <f t="shared" si="23"/>
        <v>5.2132137681922576E-3</v>
      </c>
      <c r="R102">
        <f>(D102*(D102-1))/2</f>
        <v>1</v>
      </c>
      <c r="S102">
        <f>N102/R102</f>
        <v>0.85439999999999994</v>
      </c>
      <c r="T102">
        <f>M102/R102</f>
        <v>0.84399557239051504</v>
      </c>
      <c r="U102" s="81">
        <f>J102*(D102+2*(N102*$R$59 + R102*$S$59))</f>
        <v>3.0035609536873622</v>
      </c>
      <c r="V102" s="30">
        <f t="shared" si="17"/>
        <v>8.9220536403635652E-3</v>
      </c>
      <c r="W102" t="b">
        <f t="shared" si="24"/>
        <v>0</v>
      </c>
      <c r="Y102">
        <v>4.95</v>
      </c>
      <c r="Z102">
        <v>713.76985089560003</v>
      </c>
      <c r="AB102">
        <f>AE33</f>
        <v>0.61752011646452021</v>
      </c>
      <c r="AC102">
        <f t="shared" si="26"/>
        <v>0.51134547778843087</v>
      </c>
      <c r="AD102">
        <f t="shared" si="27"/>
        <v>2.4109634016831971</v>
      </c>
      <c r="AE102" s="30">
        <f t="shared" si="18"/>
        <v>0.19013657988471708</v>
      </c>
      <c r="AF102">
        <f t="shared" si="28"/>
        <v>2.9521903321024059</v>
      </c>
      <c r="AG102" s="30">
        <f t="shared" si="19"/>
        <v>8.3337816249895794E-3</v>
      </c>
      <c r="AH102" t="b">
        <f t="shared" si="29"/>
        <v>0</v>
      </c>
    </row>
    <row r="103" spans="1:34" x14ac:dyDescent="0.25">
      <c r="A103" s="114"/>
      <c r="B103" t="str">
        <v>top in2 in4</v>
      </c>
      <c r="C103" t="str">
        <v>Circular</v>
      </c>
      <c r="D103">
        <v>3</v>
      </c>
      <c r="E103">
        <v>8</v>
      </c>
      <c r="F103">
        <v>1</v>
      </c>
      <c r="G103">
        <v>0.1</v>
      </c>
      <c r="H103">
        <v>24</v>
      </c>
      <c r="I103" s="112"/>
      <c r="J103" s="37">
        <v>0.80721451953940515</v>
      </c>
      <c r="K103">
        <v>6.8380000000000001</v>
      </c>
      <c r="M103">
        <f t="shared" si="20"/>
        <v>2.7355531488096547</v>
      </c>
      <c r="N103">
        <f>SUM(D29, E31,D33)</f>
        <v>1.9578</v>
      </c>
      <c r="O103" s="89">
        <f t="shared" si="22"/>
        <v>6.7525309103017479</v>
      </c>
      <c r="P103" s="30">
        <f t="shared" si="23"/>
        <v>1.2499135668068467E-2</v>
      </c>
      <c r="R103">
        <f>(D103*(D103-1))/2</f>
        <v>3</v>
      </c>
      <c r="S103">
        <f>N103/R103</f>
        <v>0.65259999999999996</v>
      </c>
      <c r="T103">
        <f>M103/R103</f>
        <v>0.91185104960321828</v>
      </c>
      <c r="U103" s="81">
        <f>J103*(D103+2*(N103*$R$59 + R103*$S$59))</f>
        <v>6.7744629333115762</v>
      </c>
      <c r="V103" s="30">
        <f t="shared" si="17"/>
        <v>9.291761726882692E-3</v>
      </c>
      <c r="W103" t="b">
        <f t="shared" si="24"/>
        <v>1</v>
      </c>
      <c r="Y103">
        <v>4.95</v>
      </c>
      <c r="Z103">
        <v>1070.6547763434</v>
      </c>
      <c r="AB103">
        <f>SUM(AD29,AE31,AD33)</f>
        <v>2.0165385799730364</v>
      </c>
      <c r="AC103">
        <f t="shared" si="26"/>
        <v>0.51134547778843087</v>
      </c>
      <c r="AD103">
        <f t="shared" si="27"/>
        <v>5.0227608819892753</v>
      </c>
      <c r="AE103" s="30">
        <f t="shared" si="18"/>
        <v>0.26546345686029904</v>
      </c>
      <c r="AF103">
        <f t="shared" si="28"/>
        <v>6.7901607716630306</v>
      </c>
      <c r="AG103" s="30">
        <f t="shared" si="19"/>
        <v>6.9960848694018019E-3</v>
      </c>
      <c r="AH103" t="b">
        <f t="shared" si="29"/>
        <v>1</v>
      </c>
    </row>
    <row r="104" spans="1:34" s="90" customFormat="1" x14ac:dyDescent="0.25">
      <c r="A104" s="115"/>
      <c r="B104" s="90" t="str">
        <v>in2 in3</v>
      </c>
      <c r="C104" s="90" t="str">
        <v>Circular</v>
      </c>
      <c r="D104" s="90">
        <v>2</v>
      </c>
      <c r="E104" s="90">
        <v>8</v>
      </c>
      <c r="F104" s="90">
        <v>1</v>
      </c>
      <c r="G104" s="90">
        <v>0.1</v>
      </c>
      <c r="H104" s="90">
        <v>24</v>
      </c>
      <c r="I104" s="110"/>
      <c r="J104" s="92">
        <v>0.80721451953940515</v>
      </c>
      <c r="K104" s="90">
        <v>3.2360000000000002</v>
      </c>
      <c r="M104" s="90">
        <f t="shared" si="20"/>
        <v>1.0044238066025217</v>
      </c>
      <c r="N104" s="90">
        <f>F31</f>
        <v>0.124</v>
      </c>
      <c r="O104" s="93">
        <f t="shared" si="22"/>
        <v>3.2297311406498124</v>
      </c>
      <c r="P104" s="106">
        <f t="shared" si="23"/>
        <v>1.9372247682904321E-3</v>
      </c>
      <c r="R104" s="90">
        <f>(D104*(D104-1))/2</f>
        <v>1</v>
      </c>
      <c r="S104" s="90">
        <f>N104/R104</f>
        <v>0.124</v>
      </c>
      <c r="T104" s="90">
        <f>M104/R104</f>
        <v>1.0044238066025217</v>
      </c>
      <c r="U104" s="93">
        <f>J104*(D104+2*(N104*$R$59 + R104*$S$59))</f>
        <v>3.2272699394583761</v>
      </c>
      <c r="V104" s="106">
        <f t="shared" si="17"/>
        <v>2.6977937396860515E-3</v>
      </c>
      <c r="W104" s="90" t="b">
        <f t="shared" si="24"/>
        <v>0</v>
      </c>
      <c r="Y104" s="90">
        <v>4.95</v>
      </c>
      <c r="Z104" s="90">
        <v>713.76985089560003</v>
      </c>
      <c r="AB104" s="90">
        <f>AF31</f>
        <v>0.89127320806827171</v>
      </c>
      <c r="AC104" s="90">
        <f t="shared" si="26"/>
        <v>0.51134547778843087</v>
      </c>
      <c r="AD104" s="90">
        <f t="shared" si="27"/>
        <v>2.7640753708608083</v>
      </c>
      <c r="AE104" s="106">
        <f t="shared" si="18"/>
        <v>0.14583579392434853</v>
      </c>
      <c r="AF104" s="90">
        <f t="shared" si="28"/>
        <v>3.5452338298425849</v>
      </c>
      <c r="AG104" s="106">
        <f t="shared" si="19"/>
        <v>9.5560516020576247E-2</v>
      </c>
      <c r="AH104" s="90" t="b">
        <f t="shared" si="29"/>
        <v>0</v>
      </c>
    </row>
    <row r="105" spans="1:34" s="83" customFormat="1" ht="15" customHeight="1" x14ac:dyDescent="0.25">
      <c r="A105" s="101" t="s">
        <v>141</v>
      </c>
      <c r="C105" s="83" t="str" cm="1">
        <f t="array" ref="C105:H106">'2L &amp; 4L'!B44:G45</f>
        <v>Circular</v>
      </c>
      <c r="D105" s="83">
        <v>4</v>
      </c>
      <c r="E105" s="83">
        <v>9</v>
      </c>
      <c r="F105" s="86">
        <v>0.4</v>
      </c>
      <c r="G105" s="86">
        <v>0.1</v>
      </c>
      <c r="H105" s="86">
        <v>12</v>
      </c>
      <c r="I105" s="113" t="s">
        <v>129</v>
      </c>
      <c r="J105" s="87" cm="1">
        <f t="array" ref="J105:J106">'2L &amp; 4L'!P44:P45</f>
        <v>0.50900000000000001</v>
      </c>
      <c r="K105" s="99" cm="1">
        <f t="array" ref="K105:K106">'2L &amp; 4L'!R44:R45</f>
        <v>7.1719999999999997</v>
      </c>
      <c r="M105" s="83">
        <f t="shared" si="20"/>
        <v>5.0451866404715124</v>
      </c>
      <c r="N105" s="99">
        <f>SUM($L$27:N31)</f>
        <v>2.3330000000000002</v>
      </c>
      <c r="O105" s="84">
        <f>J105*(D105+2*(N105*$N$5 + ((D105*(D105-1))/2)*$O$5))</f>
        <v>7.8218956622130191</v>
      </c>
      <c r="P105" s="30">
        <f t="shared" ref="P105:P106" si="33">ABS(O105-$K105)/$K105</f>
        <v>9.0615680732434395E-2</v>
      </c>
      <c r="R105" s="83">
        <f t="shared" ref="R105:R106" si="34">(D105*(D105-1))/2</f>
        <v>6</v>
      </c>
      <c r="U105" s="84">
        <f>J105*(D105+2*(N105*$R$59 + R105*$S$59))</f>
        <v>7.8311066660435964</v>
      </c>
      <c r="V105" s="30">
        <f t="shared" ref="V105:V106" si="35">ABS(U105-$K105)/$K105</f>
        <v>9.1899981322308519E-2</v>
      </c>
      <c r="W105" s="83" t="b">
        <f t="shared" si="24"/>
        <v>0</v>
      </c>
      <c r="Y105" s="86" cm="1">
        <f t="array" ref="Y105:Y106">'2L &amp; 4L'!Y44:Y45</f>
        <v>2.4500000000000002</v>
      </c>
      <c r="Z105" s="83" cm="1">
        <f t="array" ref="Z105:Z106">'2L &amp; 4L'!I44:I45</f>
        <v>802.99</v>
      </c>
      <c r="AB105" s="83">
        <f>SUM(AL$31:AN35)</f>
        <v>4.5564025840172944</v>
      </c>
      <c r="AC105" s="83">
        <f t="shared" si="26"/>
        <v>0.54837180962697185</v>
      </c>
      <c r="AD105" s="83">
        <f t="shared" si="27"/>
        <v>6.0103399680211442</v>
      </c>
      <c r="AE105" s="30">
        <f t="shared" ref="AE105:AE106" si="36">ABS(AD105-$K105)/$K105</f>
        <v>0.16197156051015832</v>
      </c>
      <c r="AF105" s="83">
        <f t="shared" ref="AF105:AF106" si="37">J105*(D105+2*AB105*$AM$27)</f>
        <v>8.2601266730086476</v>
      </c>
      <c r="AG105" s="30">
        <f t="shared" ref="AG105:AG106" si="38">ABS(AF105-$K105)/$K105</f>
        <v>0.15171872183611934</v>
      </c>
      <c r="AH105" s="83" t="b">
        <f>ABS(AG105)&lt;ABS($P105)</f>
        <v>0</v>
      </c>
    </row>
    <row r="106" spans="1:34" s="90" customFormat="1" x14ac:dyDescent="0.25">
      <c r="A106" s="101"/>
      <c r="C106" s="90" t="str">
        <v>Square</v>
      </c>
      <c r="D106" s="90">
        <v>4</v>
      </c>
      <c r="E106" s="90">
        <v>9</v>
      </c>
      <c r="F106" s="91">
        <v>0.4</v>
      </c>
      <c r="G106" s="91">
        <v>0.1</v>
      </c>
      <c r="H106" s="91">
        <v>12</v>
      </c>
      <c r="I106" s="110"/>
      <c r="J106" s="92">
        <v>0.69799999999999995</v>
      </c>
      <c r="K106" s="100">
        <v>9.5670000000000002</v>
      </c>
      <c r="M106" s="90">
        <f t="shared" si="20"/>
        <v>4.8531518624641841</v>
      </c>
      <c r="N106" s="100">
        <f>SUM($L$27:N31)</f>
        <v>2.3330000000000002</v>
      </c>
      <c r="O106" s="93">
        <f>J106*(D106+2*(N106*$N$5 + ((D106*(D106-1))/2)*$O$5))</f>
        <v>10.726293069203708</v>
      </c>
      <c r="P106" s="30">
        <f t="shared" si="33"/>
        <v>0.12117623802693714</v>
      </c>
      <c r="R106" s="90">
        <f t="shared" si="34"/>
        <v>6</v>
      </c>
      <c r="U106" s="93">
        <f>J106*(D106+2*(N106*$R$59 + R106*$S$59))</f>
        <v>10.738924268955659</v>
      </c>
      <c r="V106" s="30">
        <f t="shared" si="35"/>
        <v>0.12249652649269974</v>
      </c>
      <c r="W106" s="90" t="b">
        <f t="shared" si="24"/>
        <v>0</v>
      </c>
      <c r="Y106" s="91">
        <v>3.2</v>
      </c>
      <c r="Z106" s="88">
        <v>1094.4000000000001</v>
      </c>
      <c r="AA106"/>
      <c r="AB106" s="90">
        <f>SUM(AL$31:AN35)</f>
        <v>4.5564025840172944</v>
      </c>
      <c r="AC106">
        <f t="shared" si="26"/>
        <v>0.54837180962697185</v>
      </c>
      <c r="AD106" s="90">
        <f t="shared" si="27"/>
        <v>8.2420772056557148</v>
      </c>
      <c r="AE106" s="30">
        <f t="shared" si="36"/>
        <v>0.13848884648732993</v>
      </c>
      <c r="AF106" s="90">
        <f t="shared" si="37"/>
        <v>11.327246400314412</v>
      </c>
      <c r="AG106" s="30">
        <f t="shared" si="38"/>
        <v>0.18399147071332825</v>
      </c>
      <c r="AH106" s="90" t="b">
        <f>ABS(AG106)&lt;ABS($P106)</f>
        <v>0</v>
      </c>
    </row>
    <row r="107" spans="1:34" x14ac:dyDescent="0.25">
      <c r="Z107" s="83"/>
      <c r="AA107" s="83"/>
      <c r="AB107" s="83"/>
      <c r="AC107" s="83"/>
    </row>
    <row r="154" spans="2:8" x14ac:dyDescent="0.25">
      <c r="B154" t="s">
        <v>170</v>
      </c>
    </row>
    <row r="155" spans="2:8" x14ac:dyDescent="0.25">
      <c r="E155" t="s">
        <v>166</v>
      </c>
      <c r="F155" t="s">
        <v>171</v>
      </c>
      <c r="G155" t="s">
        <v>172</v>
      </c>
      <c r="H155" t="s">
        <v>173</v>
      </c>
    </row>
    <row r="156" spans="2:8" x14ac:dyDescent="0.25">
      <c r="B156" t="s">
        <v>174</v>
      </c>
      <c r="E156" s="2">
        <f>AVERAGE(AE$61:AE$106)</f>
        <v>0.1946607920203538</v>
      </c>
      <c r="F156" s="2">
        <f>AVERAGE(AG$61:AG$106)</f>
        <v>3.3718172854490372E-2</v>
      </c>
      <c r="G156" s="2">
        <f>AVERAGE(P$61:P$106)</f>
        <v>1.2539859581588821E-2</v>
      </c>
      <c r="H156" s="2">
        <f>AVERAGE(V$61:V$106)</f>
        <v>1.2826263592629328E-2</v>
      </c>
    </row>
    <row r="157" spans="2:8" x14ac:dyDescent="0.25">
      <c r="B157" t="s">
        <v>175</v>
      </c>
      <c r="E157" s="2" cm="1">
        <f t="array" ref="E157">SUM(AE$61:AE$106^2)</f>
        <v>1.8710020662690761</v>
      </c>
      <c r="F157" s="2" cm="1">
        <f t="array" ref="F157">SUM(AG$61:AG$106^2)</f>
        <v>0.12542716766209183</v>
      </c>
      <c r="G157" s="2" cm="1">
        <f t="array" ref="G157">SUM(P$61:P$106^2)</f>
        <v>2.7719717306097957E-2</v>
      </c>
      <c r="H157" s="2" cm="1">
        <f t="array" ref="H157">SUM(V$61:V$106^2)</f>
        <v>2.8265336612451127E-2</v>
      </c>
    </row>
    <row r="158" spans="2:8" x14ac:dyDescent="0.25">
      <c r="B158" t="s">
        <v>177</v>
      </c>
      <c r="E158" s="107">
        <f>SQRT(E157/COUNT(AE$61:AE$106))</f>
        <v>0.2016778568965151</v>
      </c>
      <c r="F158" s="107">
        <f>SQRT(F157/COUNT(AG$61:AG$106))</f>
        <v>5.2217598162607612E-2</v>
      </c>
      <c r="G158" s="107">
        <f>SQRT(G157/COUNT(P$61:P$106))</f>
        <v>2.4547964276749393E-2</v>
      </c>
      <c r="H158" s="107">
        <f>SQRT(H157/COUNT(V$61:V$106))</f>
        <v>2.4788381137160035E-2</v>
      </c>
    </row>
    <row r="159" spans="2:8" x14ac:dyDescent="0.25">
      <c r="B159" t="s">
        <v>176</v>
      </c>
      <c r="E159" s="2">
        <f>_xlfn.STDEV.S(AE$61:AE$106)</f>
        <v>5.3319199079062234E-2</v>
      </c>
      <c r="F159" s="2">
        <f>_xlfn.STDEV.S(AG$61:AG$106)</f>
        <v>4.0312410372657211E-2</v>
      </c>
      <c r="G159" s="2">
        <f>_xlfn.STDEV.S(P$61:P$106)</f>
        <v>2.1336617300939387E-2</v>
      </c>
      <c r="H159" s="2">
        <f>_xlfn.STDEV.S(V$61:V$106)</f>
        <v>2.144643812750532E-2</v>
      </c>
    </row>
    <row r="160" spans="2:8" x14ac:dyDescent="0.25">
      <c r="B160" t="s">
        <v>178</v>
      </c>
      <c r="E160" s="2">
        <f>MAX(AE$61:AE$106)</f>
        <v>0.36295455853446207</v>
      </c>
      <c r="F160" s="2">
        <f>MAX(AG$61:AG$106)</f>
        <v>0.18399147071332825</v>
      </c>
      <c r="G160" s="2">
        <f>MAX(P$61:P$106)</f>
        <v>0.12117623802693714</v>
      </c>
      <c r="H160" s="2">
        <f>MAX(V$61:V$106)</f>
        <v>0.12249652649269974</v>
      </c>
    </row>
    <row r="161" spans="2:8" x14ac:dyDescent="0.25">
      <c r="B161" t="s">
        <v>179</v>
      </c>
      <c r="E161" s="2">
        <f>MAX(AE$61:AE$104)</f>
        <v>0.36295455853446207</v>
      </c>
      <c r="F161" s="2">
        <f>MAX(AG$61:AG$104)</f>
        <v>9.9393901948527166E-2</v>
      </c>
      <c r="G161" s="2">
        <f>MAX(P$61:P$104)</f>
        <v>2.2036248941033735E-2</v>
      </c>
      <c r="H161" s="2">
        <f>MAX(V$61:V$104)</f>
        <v>2.5076845793013381E-2</v>
      </c>
    </row>
    <row r="167" spans="2:8" x14ac:dyDescent="0.25">
      <c r="B167" t="s">
        <v>165</v>
      </c>
      <c r="C167" t="s">
        <v>168</v>
      </c>
      <c r="D167" t="s">
        <v>167</v>
      </c>
    </row>
    <row r="168" spans="2:8" x14ac:dyDescent="0.25">
      <c r="B168">
        <v>0.05</v>
      </c>
      <c r="C168">
        <f>(1 / (($AF$26*(B168^3)) + ($AG$26*(B168^2)) + ($AH$26*B168) + $AI$26)) * $AM$27</f>
        <v>1.2760087179102555</v>
      </c>
      <c r="D168">
        <f>B168*$N$5 + $O$5</f>
        <v>1.0154271142432849</v>
      </c>
    </row>
    <row r="169" spans="2:8" x14ac:dyDescent="0.25">
      <c r="B169">
        <v>0.1</v>
      </c>
      <c r="C169">
        <f t="shared" ref="C169:C199" si="39">(1 / (($AF$26*(B169^3)) + ($AG$26*(B169^2)) + ($AH$26*B169) + $AI$26)) * $AM$27</f>
        <v>1.2201715740769699</v>
      </c>
      <c r="D169">
        <f t="shared" ref="D169:D199" si="40">B169*$N$5 + $O$5</f>
        <v>1.0053687851317545</v>
      </c>
    </row>
    <row r="170" spans="2:8" x14ac:dyDescent="0.25">
      <c r="B170">
        <v>0.15</v>
      </c>
      <c r="C170">
        <f t="shared" si="39"/>
        <v>1.1714135389182732</v>
      </c>
      <c r="D170">
        <f t="shared" si="40"/>
        <v>0.99531045602022439</v>
      </c>
    </row>
    <row r="171" spans="2:8" x14ac:dyDescent="0.25">
      <c r="B171">
        <v>0.2</v>
      </c>
      <c r="C171">
        <f t="shared" si="39"/>
        <v>1.1284969840732626</v>
      </c>
      <c r="D171">
        <f t="shared" si="40"/>
        <v>0.98525212690869424</v>
      </c>
    </row>
    <row r="172" spans="2:8" x14ac:dyDescent="0.25">
      <c r="B172">
        <v>0.25</v>
      </c>
      <c r="C172">
        <f t="shared" si="39"/>
        <v>1.0904477959030627</v>
      </c>
      <c r="D172">
        <f t="shared" si="40"/>
        <v>0.97519379779716397</v>
      </c>
    </row>
    <row r="173" spans="2:8" x14ac:dyDescent="0.25">
      <c r="B173">
        <v>0.3</v>
      </c>
      <c r="C173">
        <f t="shared" si="39"/>
        <v>1.0564877955008611</v>
      </c>
      <c r="D173">
        <f t="shared" si="40"/>
        <v>0.96513546868563371</v>
      </c>
    </row>
    <row r="174" spans="2:8" x14ac:dyDescent="0.25">
      <c r="B174">
        <v>0.35</v>
      </c>
      <c r="C174">
        <f t="shared" si="39"/>
        <v>1.0259869076674768</v>
      </c>
      <c r="D174">
        <f t="shared" si="40"/>
        <v>0.95507713957410356</v>
      </c>
    </row>
    <row r="175" spans="2:8" x14ac:dyDescent="0.25">
      <c r="B175">
        <v>0.4</v>
      </c>
      <c r="C175">
        <f t="shared" si="39"/>
        <v>0.99842866676634312</v>
      </c>
      <c r="D175">
        <f t="shared" si="40"/>
        <v>0.9450188104625733</v>
      </c>
    </row>
    <row r="176" spans="2:8" x14ac:dyDescent="0.25">
      <c r="B176">
        <v>0.45</v>
      </c>
      <c r="C176">
        <f t="shared" si="39"/>
        <v>0.97338492300882007</v>
      </c>
      <c r="D176">
        <f t="shared" si="40"/>
        <v>0.93496048135104315</v>
      </c>
    </row>
    <row r="177" spans="2:4" x14ac:dyDescent="0.25">
      <c r="B177">
        <v>0.5</v>
      </c>
      <c r="C177">
        <f t="shared" si="39"/>
        <v>0.95049701848483281</v>
      </c>
      <c r="D177">
        <f t="shared" si="40"/>
        <v>0.92490215223951289</v>
      </c>
    </row>
    <row r="178" spans="2:4" x14ac:dyDescent="0.25">
      <c r="B178">
        <v>0.55000000000000004</v>
      </c>
      <c r="C178">
        <f t="shared" si="39"/>
        <v>0.92946159251587335</v>
      </c>
      <c r="D178">
        <f t="shared" si="40"/>
        <v>0.91484382312798262</v>
      </c>
    </row>
    <row r="179" spans="2:4" x14ac:dyDescent="0.25">
      <c r="B179">
        <v>0.6</v>
      </c>
      <c r="C179">
        <f t="shared" si="39"/>
        <v>0.91001975244276367</v>
      </c>
      <c r="D179">
        <f t="shared" si="40"/>
        <v>0.90478549401645247</v>
      </c>
    </row>
    <row r="180" spans="2:4" x14ac:dyDescent="0.25">
      <c r="B180">
        <v>0.65</v>
      </c>
      <c r="C180">
        <f t="shared" si="39"/>
        <v>0.89194872693067961</v>
      </c>
      <c r="D180">
        <f t="shared" si="40"/>
        <v>0.89472716490492221</v>
      </c>
    </row>
    <row r="181" spans="2:4" x14ac:dyDescent="0.25">
      <c r="B181">
        <v>0.7</v>
      </c>
      <c r="C181">
        <f t="shared" si="39"/>
        <v>0.87505537525283483</v>
      </c>
      <c r="D181">
        <f t="shared" si="40"/>
        <v>0.88466883579339206</v>
      </c>
    </row>
    <row r="182" spans="2:4" x14ac:dyDescent="0.25">
      <c r="B182">
        <v>0.75</v>
      </c>
      <c r="C182">
        <f t="shared" si="39"/>
        <v>0.85917110142604358</v>
      </c>
      <c r="D182">
        <f t="shared" si="40"/>
        <v>0.8746105066818618</v>
      </c>
    </row>
    <row r="183" spans="2:4" x14ac:dyDescent="0.25">
      <c r="B183">
        <v>0.8</v>
      </c>
      <c r="C183">
        <f t="shared" si="39"/>
        <v>0.8441478438998562</v>
      </c>
      <c r="D183">
        <f t="shared" si="40"/>
        <v>0.86455217757033154</v>
      </c>
    </row>
    <row r="184" spans="2:4" x14ac:dyDescent="0.25">
      <c r="B184">
        <v>0.85</v>
      </c>
      <c r="C184">
        <f t="shared" si="39"/>
        <v>0.82985489727091877</v>
      </c>
      <c r="D184">
        <f t="shared" si="40"/>
        <v>0.85449384845880139</v>
      </c>
    </row>
    <row r="185" spans="2:4" x14ac:dyDescent="0.25">
      <c r="B185">
        <v>0.9</v>
      </c>
      <c r="C185">
        <f t="shared" si="39"/>
        <v>0.81617638362346179</v>
      </c>
      <c r="D185">
        <f t="shared" si="40"/>
        <v>0.84443551934727112</v>
      </c>
    </row>
    <row r="186" spans="2:4" x14ac:dyDescent="0.25">
      <c r="B186">
        <v>0.95</v>
      </c>
      <c r="C186">
        <f t="shared" si="39"/>
        <v>0.80300923514961009</v>
      </c>
      <c r="D186">
        <f t="shared" si="40"/>
        <v>0.83437719023574097</v>
      </c>
    </row>
    <row r="187" spans="2:4" x14ac:dyDescent="0.25">
      <c r="B187">
        <v>1</v>
      </c>
      <c r="C187">
        <f t="shared" si="39"/>
        <v>0.79026158177029582</v>
      </c>
      <c r="D187">
        <f t="shared" si="40"/>
        <v>0.82431886112421071</v>
      </c>
    </row>
    <row r="188" spans="2:4" x14ac:dyDescent="0.25">
      <c r="B188">
        <v>1.05</v>
      </c>
      <c r="C188">
        <f t="shared" si="39"/>
        <v>0.77785146103695002</v>
      </c>
      <c r="D188">
        <f t="shared" si="40"/>
        <v>0.81426053201268045</v>
      </c>
    </row>
    <row r="189" spans="2:4" x14ac:dyDescent="0.25">
      <c r="B189">
        <v>1.1000000000000001</v>
      </c>
      <c r="C189">
        <f t="shared" si="39"/>
        <v>0.76570578505681886</v>
      </c>
      <c r="D189">
        <f t="shared" si="40"/>
        <v>0.8042022029011503</v>
      </c>
    </row>
    <row r="190" spans="2:4" x14ac:dyDescent="0.25">
      <c r="B190">
        <v>1.1499999999999999</v>
      </c>
      <c r="C190">
        <f t="shared" si="39"/>
        <v>0.75375951224573845</v>
      </c>
      <c r="D190">
        <f t="shared" si="40"/>
        <v>0.79414387378962004</v>
      </c>
    </row>
    <row r="191" spans="2:4" x14ac:dyDescent="0.25">
      <c r="B191">
        <v>1.2</v>
      </c>
      <c r="C191">
        <f t="shared" si="39"/>
        <v>0.74195498157971818</v>
      </c>
      <c r="D191">
        <f t="shared" si="40"/>
        <v>0.78408554467808989</v>
      </c>
    </row>
    <row r="192" spans="2:4" x14ac:dyDescent="0.25">
      <c r="B192">
        <v>1.25</v>
      </c>
      <c r="C192">
        <f t="shared" si="39"/>
        <v>0.73024137456329374</v>
      </c>
      <c r="D192">
        <f t="shared" si="40"/>
        <v>0.77402721556655962</v>
      </c>
    </row>
    <row r="193" spans="2:4" x14ac:dyDescent="0.25">
      <c r="B193">
        <v>1.3</v>
      </c>
      <c r="C193">
        <f t="shared" si="39"/>
        <v>0.71857427599577728</v>
      </c>
      <c r="D193">
        <f t="shared" si="40"/>
        <v>0.76396888645502936</v>
      </c>
    </row>
    <row r="194" spans="2:4" x14ac:dyDescent="0.25">
      <c r="B194">
        <v>1.35</v>
      </c>
      <c r="C194">
        <f t="shared" si="39"/>
        <v>0.70691530926643387</v>
      </c>
      <c r="D194">
        <f t="shared" si="40"/>
        <v>0.75391055734349921</v>
      </c>
    </row>
    <row r="195" spans="2:4" x14ac:dyDescent="0.25">
      <c r="B195">
        <v>1.4</v>
      </c>
      <c r="C195">
        <f t="shared" si="39"/>
        <v>0.69523182569466102</v>
      </c>
      <c r="D195">
        <f t="shared" si="40"/>
        <v>0.74385222823196906</v>
      </c>
    </row>
    <row r="196" spans="2:4" x14ac:dyDescent="0.25">
      <c r="B196">
        <v>1.45</v>
      </c>
      <c r="C196">
        <f t="shared" si="39"/>
        <v>0.68349663060931454</v>
      </c>
      <c r="D196">
        <f t="shared" si="40"/>
        <v>0.73379389912043869</v>
      </c>
    </row>
    <row r="197" spans="2:4" x14ac:dyDescent="0.25">
      <c r="B197">
        <v>1.5</v>
      </c>
      <c r="C197">
        <f t="shared" si="39"/>
        <v>0.67168773162105511</v>
      </c>
      <c r="D197">
        <f t="shared" si="40"/>
        <v>0.72373557000890854</v>
      </c>
    </row>
    <row r="198" spans="2:4" x14ac:dyDescent="0.25">
      <c r="B198">
        <v>1.55</v>
      </c>
      <c r="C198">
        <f t="shared" si="39"/>
        <v>0.65978809701733432</v>
      </c>
      <c r="D198">
        <f t="shared" si="40"/>
        <v>0.71367724089737838</v>
      </c>
    </row>
    <row r="199" spans="2:4" x14ac:dyDescent="0.25">
      <c r="B199">
        <v>1.6</v>
      </c>
      <c r="C199">
        <f t="shared" si="39"/>
        <v>0.64778541449234095</v>
      </c>
      <c r="D199">
        <f t="shared" si="40"/>
        <v>0.70361891178584801</v>
      </c>
    </row>
  </sheetData>
  <mergeCells count="23">
    <mergeCell ref="T59:U59"/>
    <mergeCell ref="AC27:AC35"/>
    <mergeCell ref="AK31:AK35"/>
    <mergeCell ref="AB57:AC59"/>
    <mergeCell ref="N59:O59"/>
    <mergeCell ref="N58:O58"/>
    <mergeCell ref="I83:I104"/>
    <mergeCell ref="I105:I106"/>
    <mergeCell ref="A83:A91"/>
    <mergeCell ref="A56:D59"/>
    <mergeCell ref="A52:A54"/>
    <mergeCell ref="I41:I48"/>
    <mergeCell ref="A50:A51"/>
    <mergeCell ref="I52:I54"/>
    <mergeCell ref="J25:K25"/>
    <mergeCell ref="A41:A48"/>
    <mergeCell ref="A61:A82"/>
    <mergeCell ref="A92:A104"/>
    <mergeCell ref="E40:I40"/>
    <mergeCell ref="C6:H6"/>
    <mergeCell ref="A7:A15"/>
    <mergeCell ref="A19:A21"/>
    <mergeCell ref="B25:C25"/>
  </mergeCells>
  <conditionalFormatting sqref="P61:P106 V61:V106 O7:O21 P41:P54">
    <cfRule type="colorScale" priority="10">
      <colorScale>
        <cfvo type="num" val="0"/>
        <cfvo type="num" val="0.05"/>
        <cfvo type="num" val="0.1"/>
        <color rgb="FF63BE7B"/>
        <color rgb="FFFFEB84"/>
        <color rgb="FFF8696B"/>
      </colorScale>
    </cfRule>
  </conditionalFormatting>
  <conditionalFormatting sqref="V59">
    <cfRule type="expression" dxfId="4" priority="8">
      <formula>$V$59&gt;$P$59</formula>
    </cfRule>
  </conditionalFormatting>
  <conditionalFormatting sqref="V57:V58">
    <cfRule type="expression" dxfId="3" priority="7">
      <formula>$V$58&gt;$V$57</formula>
    </cfRule>
  </conditionalFormatting>
  <conditionalFormatting sqref="AE61:AE106">
    <cfRule type="colorScale" priority="5">
      <colorScale>
        <cfvo type="num" val="0"/>
        <cfvo type="num" val="0.05"/>
        <cfvo type="num" val="0.1"/>
        <color rgb="FF63BE7B"/>
        <color rgb="FFFFEB84"/>
        <color rgb="FFF8696B"/>
      </colorScale>
    </cfRule>
  </conditionalFormatting>
  <conditionalFormatting sqref="AG61:AG106">
    <cfRule type="colorScale" priority="4">
      <colorScale>
        <cfvo type="num" val="0"/>
        <cfvo type="num" val="0.05"/>
        <cfvo type="num" val="0.1"/>
        <color rgb="FF63BE7B"/>
        <color rgb="FFFFEB84"/>
        <color rgb="FFF8696B"/>
      </colorScale>
    </cfRule>
  </conditionalFormatting>
  <conditionalFormatting sqref="AG59">
    <cfRule type="expression" dxfId="2" priority="3">
      <formula>$AG$59&gt;$P$59</formula>
    </cfRule>
  </conditionalFormatting>
  <conditionalFormatting sqref="AG57:AG58">
    <cfRule type="expression" dxfId="1" priority="2">
      <formula>$AG$58&gt;$AG$57</formula>
    </cfRule>
  </conditionalFormatting>
  <conditionalFormatting sqref="AE59">
    <cfRule type="expression" dxfId="0" priority="1">
      <formula>$AE$59&gt;$P$59</formula>
    </cfRule>
  </conditionalFormatting>
  <pageMargins left="0.7" right="0.7" top="0.75" bottom="0.75" header="0.3" footer="0.3"/>
  <pageSetup paperSize="9" orientation="portrait" horizontalDpi="4294967295" verticalDpi="4294967295" r:id="rId1"/>
  <ignoredErrors>
    <ignoredError sqref="C29 C31 C3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2L &amp; 4L</vt:lpstr>
      <vt:lpstr>6L</vt:lpstr>
      <vt:lpstr>new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</dc:creator>
  <cp:lastModifiedBy>Thijs van Liempd</cp:lastModifiedBy>
  <dcterms:created xsi:type="dcterms:W3CDTF">2022-11-23T15:17:37Z</dcterms:created>
  <dcterms:modified xsi:type="dcterms:W3CDTF">2023-06-02T14:19:45Z</dcterms:modified>
</cp:coreProperties>
</file>